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showInkAnnotation="0" codeName="ThisWorkbook" defaultThemeVersion="124226"/>
  <mc:AlternateContent xmlns:mc="http://schemas.openxmlformats.org/markup-compatibility/2006">
    <mc:Choice Requires="x15">
      <x15ac:absPath xmlns:x15ac="http://schemas.microsoft.com/office/spreadsheetml/2010/11/ac" url="N:\ESD\Planning\P&amp;E 13 Infrastructure Charges-2023\14_IC WEBSITE REPORTING\MONTHLY - IC Register\"/>
    </mc:Choice>
  </mc:AlternateContent>
  <xr:revisionPtr revIDLastSave="0" documentId="13_ncr:1_{03015306-1ED8-4C55-AD89-476EA32658BE}" xr6:coauthVersionLast="47" xr6:coauthVersionMax="47" xr10:uidLastSave="{00000000-0000-0000-0000-000000000000}"/>
  <bookViews>
    <workbookView xWindow="-120" yWindow="-120" windowWidth="29040" windowHeight="15720" tabRatio="879" xr2:uid="{00000000-000D-0000-FFFF-FFFF00000000}"/>
  </bookViews>
  <sheets>
    <sheet name="EXPLANATORY" sheetId="20" r:id="rId1"/>
    <sheet name="1) PSP+ICP (Issued)" sheetId="8" r:id="rId2"/>
    <sheet name="2) AICN (Issued)" sheetId="11" r:id="rId3"/>
    <sheet name="3) PSP+ICP (Paid-NSA-2014+)" sheetId="14" r:id="rId4"/>
    <sheet name="4) AICN (Paid-NSA-2014+)" sheetId="13" r:id="rId5"/>
    <sheet name="5a) PSP+ICP (Lapsed-Cancelled)" sheetId="15" r:id="rId6"/>
    <sheet name="5b) AICN (Lapsed-Cancelled)" sheetId="19" r:id="rId7"/>
  </sheets>
  <definedNames>
    <definedName name="ApplAddr" localSheetId="1">#REF!</definedName>
    <definedName name="_xlnm.Print_Titles" localSheetId="3">'3) PSP+ICP (Paid-NSA-2014+)'!$C:$C,'3) PSP+ICP (Paid-NSA-2014+)'!$1:$6</definedName>
    <definedName name="_xlnm.Print_Titles" localSheetId="5">'5a) PSP+ICP (Lapsed-Cancelled)'!$C:$C,'5a) PSP+ICP (Lapsed-Cancelled)'!$1:$6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219" i="14" l="1"/>
  <c r="BF2" i="13" l="1"/>
  <c r="BI954" i="13"/>
  <c r="BH954" i="13"/>
  <c r="BG954" i="13"/>
  <c r="BF954" i="13"/>
  <c r="BC943" i="13"/>
  <c r="BD943" i="13"/>
  <c r="BC944" i="13"/>
  <c r="BD944" i="13"/>
  <c r="BC945" i="13"/>
  <c r="BD945" i="13"/>
  <c r="BC946" i="13"/>
  <c r="BD946" i="13"/>
  <c r="BC947" i="13"/>
  <c r="BD947" i="13"/>
  <c r="BC948" i="13"/>
  <c r="BD948" i="13"/>
  <c r="BC949" i="13"/>
  <c r="BD949" i="13"/>
  <c r="BC950" i="13"/>
  <c r="BD950" i="13"/>
  <c r="BC951" i="13"/>
  <c r="BD951" i="13"/>
  <c r="BC952" i="13"/>
  <c r="BD952" i="13"/>
  <c r="BC953" i="13"/>
  <c r="BD953" i="13"/>
  <c r="BC954" i="13"/>
  <c r="BD954" i="13"/>
  <c r="AL82" i="19"/>
  <c r="AW82" i="19" s="1"/>
  <c r="AZ954" i="13"/>
  <c r="AQ147" i="11"/>
  <c r="AL953" i="13" l="1"/>
  <c r="AW953" i="13" s="1"/>
  <c r="BB32" i="8"/>
  <c r="AC32" i="8"/>
  <c r="AQ146" i="11"/>
  <c r="V81" i="19" l="1"/>
  <c r="Y81" i="19"/>
  <c r="AB81" i="19"/>
  <c r="AI81" i="19"/>
  <c r="AJ81" i="19"/>
  <c r="AL81" i="19" s="1"/>
  <c r="AW81" i="19" s="1"/>
  <c r="AL952" i="13"/>
  <c r="AW952" i="13" s="1"/>
  <c r="AQ188" i="11"/>
  <c r="AL954" i="13" l="1"/>
  <c r="AL950" i="13"/>
  <c r="AW950" i="13" s="1"/>
  <c r="AL951" i="13"/>
  <c r="AW951" i="13" s="1"/>
  <c r="AL80" i="19"/>
  <c r="AW80" i="19" s="1"/>
  <c r="AL948" i="13"/>
  <c r="AW948" i="13" s="1"/>
  <c r="AL949" i="13"/>
  <c r="AW949" i="13" s="1"/>
  <c r="AL947" i="13"/>
  <c r="AW947" i="13" s="1"/>
  <c r="AL946" i="13"/>
  <c r="AW946" i="13" s="1"/>
  <c r="AL945" i="13"/>
  <c r="AL944" i="13"/>
  <c r="AW944" i="13" s="1"/>
  <c r="AL943" i="13"/>
  <c r="AW943" i="13" s="1"/>
  <c r="BC932" i="13"/>
  <c r="BD932" i="13"/>
  <c r="BC934" i="13"/>
  <c r="BD934" i="13"/>
  <c r="BC935" i="13"/>
  <c r="BD935" i="13"/>
  <c r="BC936" i="13"/>
  <c r="BD936" i="13"/>
  <c r="BD937" i="13"/>
  <c r="BC938" i="13"/>
  <c r="BD938" i="13"/>
  <c r="BC939" i="13"/>
  <c r="BD939" i="13"/>
  <c r="BC940" i="13"/>
  <c r="BD940" i="13"/>
  <c r="AL942" i="13"/>
  <c r="AW942" i="13" s="1"/>
  <c r="AL335" i="11"/>
  <c r="AP335" i="11"/>
  <c r="AQ335" i="11"/>
  <c r="AL336" i="11"/>
  <c r="AP336" i="11"/>
  <c r="AQ336" i="11"/>
  <c r="AL337" i="11"/>
  <c r="AP337" i="11"/>
  <c r="AQ337" i="11"/>
  <c r="AL338" i="11"/>
  <c r="AP338" i="11"/>
  <c r="AQ338" i="11"/>
  <c r="AL339" i="11"/>
  <c r="AP339" i="11"/>
  <c r="AQ339" i="11"/>
  <c r="AL340" i="11"/>
  <c r="AP340" i="11"/>
  <c r="AQ340" i="11"/>
  <c r="AL341" i="11"/>
  <c r="AP341" i="11"/>
  <c r="AQ341" i="11"/>
  <c r="AL342" i="11"/>
  <c r="AP342" i="11"/>
  <c r="AQ342" i="11"/>
  <c r="AL343" i="11"/>
  <c r="AP343" i="11"/>
  <c r="AQ343" i="11"/>
  <c r="AL344" i="11"/>
  <c r="AP344" i="11"/>
  <c r="AQ344" i="11"/>
  <c r="AL332" i="11"/>
  <c r="AP332" i="11"/>
  <c r="AQ332" i="11"/>
  <c r="AL333" i="11"/>
  <c r="AP333" i="11"/>
  <c r="AQ333" i="11"/>
  <c r="AL334" i="11"/>
  <c r="AP334" i="11"/>
  <c r="AQ334" i="11"/>
  <c r="AL295" i="11"/>
  <c r="AP295" i="11"/>
  <c r="AQ295" i="11"/>
  <c r="AL296" i="11"/>
  <c r="AP296" i="11"/>
  <c r="AQ296" i="11"/>
  <c r="AL297" i="11"/>
  <c r="AP297" i="11"/>
  <c r="AQ297" i="11"/>
  <c r="AL298" i="11"/>
  <c r="AP298" i="11"/>
  <c r="AQ298" i="11"/>
  <c r="AL299" i="11"/>
  <c r="AP299" i="11"/>
  <c r="AQ299" i="11"/>
  <c r="AL300" i="11"/>
  <c r="AP300" i="11"/>
  <c r="AQ300" i="11"/>
  <c r="AL301" i="11"/>
  <c r="AP301" i="11"/>
  <c r="AQ301" i="11"/>
  <c r="AL302" i="11"/>
  <c r="AP302" i="11"/>
  <c r="AQ302" i="11"/>
  <c r="AL303" i="11"/>
  <c r="AP303" i="11"/>
  <c r="AQ303" i="11"/>
  <c r="AL304" i="11"/>
  <c r="AP304" i="11"/>
  <c r="AQ304" i="11"/>
  <c r="AL305" i="11"/>
  <c r="AP305" i="11"/>
  <c r="AQ305" i="11"/>
  <c r="AL306" i="11"/>
  <c r="AP306" i="11"/>
  <c r="AQ306" i="11"/>
  <c r="AL307" i="11"/>
  <c r="AP307" i="11"/>
  <c r="AQ307" i="11"/>
  <c r="AL308" i="11"/>
  <c r="AP308" i="11"/>
  <c r="AQ308" i="11"/>
  <c r="AL309" i="11"/>
  <c r="AP309" i="11"/>
  <c r="AQ309" i="11"/>
  <c r="AL310" i="11"/>
  <c r="AP310" i="11"/>
  <c r="AQ310" i="11"/>
  <c r="AL311" i="11"/>
  <c r="AP311" i="11"/>
  <c r="AQ311" i="11"/>
  <c r="AL312" i="11"/>
  <c r="AP312" i="11"/>
  <c r="AQ312" i="11"/>
  <c r="AL313" i="11"/>
  <c r="AP313" i="11"/>
  <c r="AQ313" i="11"/>
  <c r="AL314" i="11"/>
  <c r="AP314" i="11"/>
  <c r="AQ314" i="11"/>
  <c r="AL315" i="11"/>
  <c r="AP315" i="11"/>
  <c r="AQ315" i="11"/>
  <c r="AL316" i="11"/>
  <c r="AP316" i="11"/>
  <c r="AQ316" i="11"/>
  <c r="AL317" i="11"/>
  <c r="AP317" i="11"/>
  <c r="AQ317" i="11"/>
  <c r="AL318" i="11"/>
  <c r="AP318" i="11"/>
  <c r="AQ318" i="11"/>
  <c r="AL319" i="11"/>
  <c r="AP319" i="11"/>
  <c r="AQ319" i="11"/>
  <c r="AL320" i="11"/>
  <c r="AP320" i="11"/>
  <c r="AQ320" i="11"/>
  <c r="AL321" i="11"/>
  <c r="AP321" i="11"/>
  <c r="AQ321" i="11"/>
  <c r="AL322" i="11"/>
  <c r="AP322" i="11"/>
  <c r="AQ322" i="11"/>
  <c r="AL323" i="11"/>
  <c r="AP323" i="11"/>
  <c r="AQ323" i="11"/>
  <c r="AL324" i="11"/>
  <c r="AP324" i="11"/>
  <c r="AQ324" i="11"/>
  <c r="AL325" i="11"/>
  <c r="AP325" i="11"/>
  <c r="AQ325" i="11"/>
  <c r="AL326" i="11"/>
  <c r="AP326" i="11"/>
  <c r="AQ326" i="11"/>
  <c r="AL327" i="11"/>
  <c r="AP327" i="11"/>
  <c r="AQ327" i="11"/>
  <c r="AL328" i="11"/>
  <c r="AP328" i="11"/>
  <c r="AQ328" i="11"/>
  <c r="AL329" i="11"/>
  <c r="AP329" i="11"/>
  <c r="AQ329" i="11"/>
  <c r="AL330" i="11"/>
  <c r="AP330" i="11"/>
  <c r="AQ330" i="11"/>
  <c r="AL331" i="11"/>
  <c r="AP331" i="11"/>
  <c r="AQ331" i="11"/>
  <c r="AL941" i="13"/>
  <c r="AW941" i="13" s="1"/>
  <c r="AL940" i="13"/>
  <c r="AW940" i="13" s="1"/>
  <c r="AL939" i="13"/>
  <c r="AW939" i="13" s="1"/>
  <c r="AL936" i="13"/>
  <c r="AW936" i="13" s="1"/>
  <c r="AL935" i="13"/>
  <c r="AW935" i="13" s="1"/>
  <c r="AL934" i="13"/>
  <c r="AW934" i="13" s="1"/>
  <c r="AL938" i="13"/>
  <c r="AJ937" i="13"/>
  <c r="AL937" i="13" s="1"/>
  <c r="AB937" i="13"/>
  <c r="Y937" i="13"/>
  <c r="V937" i="13"/>
  <c r="AW954" i="13" l="1"/>
  <c r="AW945" i="13"/>
  <c r="AW322" i="11"/>
  <c r="AW325" i="11"/>
  <c r="AW309" i="11"/>
  <c r="AW344" i="11"/>
  <c r="BD942" i="13"/>
  <c r="AW308" i="11"/>
  <c r="AW300" i="11"/>
  <c r="AW316" i="11"/>
  <c r="AW310" i="11"/>
  <c r="AW312" i="11"/>
  <c r="AW306" i="11"/>
  <c r="AW319" i="11"/>
  <c r="AW341" i="11"/>
  <c r="AW337" i="11"/>
  <c r="BD941" i="13"/>
  <c r="AW330" i="11"/>
  <c r="BC941" i="13"/>
  <c r="AW307" i="11"/>
  <c r="AW303" i="11"/>
  <c r="AW295" i="11"/>
  <c r="AW318" i="11"/>
  <c r="AW334" i="11"/>
  <c r="AW321" i="11"/>
  <c r="AW343" i="11"/>
  <c r="AW335" i="11"/>
  <c r="AW328" i="11"/>
  <c r="AW327" i="11"/>
  <c r="AW324" i="11"/>
  <c r="AW301" i="11"/>
  <c r="AW297" i="11"/>
  <c r="AW333" i="11"/>
  <c r="AW304" i="11"/>
  <c r="AW338" i="11"/>
  <c r="BC937" i="13"/>
  <c r="BC942" i="13"/>
  <c r="AW313" i="11"/>
  <c r="AW331" i="11"/>
  <c r="AW320" i="11"/>
  <c r="AW340" i="11"/>
  <c r="AW298" i="11"/>
  <c r="AW323" i="11"/>
  <c r="AW305" i="11"/>
  <c r="AW315" i="11"/>
  <c r="AW336" i="11"/>
  <c r="AW296" i="11"/>
  <c r="AW339" i="11"/>
  <c r="AW299" i="11"/>
  <c r="AW342" i="11"/>
  <c r="AW302" i="11"/>
  <c r="AW332" i="11"/>
  <c r="AW326" i="11"/>
  <c r="AW329" i="11"/>
  <c r="AW311" i="11"/>
  <c r="AW314" i="11"/>
  <c r="AW317" i="11"/>
  <c r="AL933" i="13"/>
  <c r="AP933" i="13"/>
  <c r="AQ933" i="13"/>
  <c r="AL932" i="13"/>
  <c r="AW932" i="13" s="1"/>
  <c r="BC927" i="13"/>
  <c r="BD927" i="13"/>
  <c r="BC928" i="13"/>
  <c r="BD928" i="13"/>
  <c r="BC929" i="13"/>
  <c r="BD929" i="13"/>
  <c r="BC930" i="13"/>
  <c r="BD930" i="13"/>
  <c r="BC931" i="13"/>
  <c r="BD931" i="13"/>
  <c r="V931" i="13"/>
  <c r="Y931" i="13"/>
  <c r="AB931" i="13"/>
  <c r="AL931" i="13"/>
  <c r="AW931" i="13" s="1"/>
  <c r="AL930" i="13"/>
  <c r="AW930" i="13" s="1"/>
  <c r="V79" i="19"/>
  <c r="Y79" i="19"/>
  <c r="AB79" i="19"/>
  <c r="AI79" i="19"/>
  <c r="AJ79" i="19"/>
  <c r="BC922" i="13"/>
  <c r="BD922" i="13"/>
  <c r="BD923" i="13"/>
  <c r="BC924" i="13"/>
  <c r="BD924" i="13"/>
  <c r="BC925" i="13"/>
  <c r="BD925" i="13"/>
  <c r="BC926" i="13"/>
  <c r="BD926" i="13"/>
  <c r="AL929" i="13"/>
  <c r="AL79" i="19" l="1"/>
  <c r="AW79" i="19" s="1"/>
  <c r="BA954" i="13"/>
  <c r="BC933" i="13"/>
  <c r="BD933" i="13"/>
  <c r="AW933" i="13"/>
  <c r="AZ942" i="13" s="1"/>
  <c r="AW929" i="13"/>
  <c r="AL928" i="13"/>
  <c r="AW928" i="13" s="1"/>
  <c r="AL927" i="13"/>
  <c r="AW927" i="13" s="1"/>
  <c r="AL926" i="13"/>
  <c r="AW926" i="13" s="1"/>
  <c r="AL263" i="11"/>
  <c r="AP263" i="11"/>
  <c r="AQ263" i="11"/>
  <c r="AL925" i="13"/>
  <c r="AW925" i="13" s="1"/>
  <c r="BA942" i="13" l="1"/>
  <c r="AZ931" i="13"/>
  <c r="BA931" i="13" s="1"/>
  <c r="AW263" i="11"/>
  <c r="AL924" i="13"/>
  <c r="AW924" i="13" s="1"/>
  <c r="AJ923" i="13"/>
  <c r="AB923" i="13"/>
  <c r="Y923" i="13"/>
  <c r="V923" i="13"/>
  <c r="AL923" i="13" l="1"/>
  <c r="BC923" i="13"/>
  <c r="AL922" i="13"/>
  <c r="AW922" i="13" s="1"/>
  <c r="AZ926" i="13" s="1"/>
  <c r="BC914" i="13"/>
  <c r="BD914" i="13"/>
  <c r="BC915" i="13"/>
  <c r="BD915" i="13"/>
  <c r="BC916" i="13"/>
  <c r="BD916" i="13"/>
  <c r="BC917" i="13"/>
  <c r="BD917" i="13"/>
  <c r="BC918" i="13"/>
  <c r="BD918" i="13"/>
  <c r="BC919" i="13"/>
  <c r="BD919" i="13"/>
  <c r="BC920" i="13"/>
  <c r="BD920" i="13"/>
  <c r="BC921" i="13"/>
  <c r="BD921" i="13"/>
  <c r="AL921" i="13"/>
  <c r="AW921" i="13" s="1"/>
  <c r="AL920" i="13"/>
  <c r="AW920" i="13" s="1"/>
  <c r="AL919" i="13"/>
  <c r="AW919" i="13" s="1"/>
  <c r="AL918" i="13"/>
  <c r="AW918" i="13" s="1"/>
  <c r="AL917" i="13"/>
  <c r="AW917" i="13" s="1"/>
  <c r="AL916" i="13"/>
  <c r="AW916" i="13" s="1"/>
  <c r="AL915" i="13"/>
  <c r="AW915" i="13" s="1"/>
  <c r="AL914" i="13"/>
  <c r="AW914" i="13" s="1"/>
  <c r="AQ261" i="11"/>
  <c r="AP261" i="11"/>
  <c r="AL261" i="11"/>
  <c r="AZ921" i="13" l="1"/>
  <c r="BA921" i="13" s="1"/>
  <c r="AW261" i="11"/>
  <c r="BA926" i="13"/>
  <c r="BC907" i="13"/>
  <c r="BD907" i="13"/>
  <c r="BC908" i="13"/>
  <c r="BD908" i="13"/>
  <c r="BC909" i="13"/>
  <c r="BD909" i="13"/>
  <c r="BC910" i="13"/>
  <c r="BD910" i="13"/>
  <c r="BC911" i="13"/>
  <c r="BD911" i="13"/>
  <c r="BC912" i="13"/>
  <c r="BD912" i="13"/>
  <c r="AL913" i="13"/>
  <c r="AW913" i="13" s="1"/>
  <c r="AQ258" i="11"/>
  <c r="AP258" i="11"/>
  <c r="AL258" i="11"/>
  <c r="AL912" i="13"/>
  <c r="AW912" i="13"/>
  <c r="AL911" i="13"/>
  <c r="AW911" i="13" s="1"/>
  <c r="AW910" i="13"/>
  <c r="AL909" i="13"/>
  <c r="AW909" i="13" s="1"/>
  <c r="AL908" i="13"/>
  <c r="AW908" i="13" s="1"/>
  <c r="AL907" i="13"/>
  <c r="AW907" i="13" s="1"/>
  <c r="BC901" i="13"/>
  <c r="BD901" i="13"/>
  <c r="BD902" i="13"/>
  <c r="BC903" i="13"/>
  <c r="BD903" i="13"/>
  <c r="BC904" i="13"/>
  <c r="BD904" i="13"/>
  <c r="BD905" i="13"/>
  <c r="BD906" i="13"/>
  <c r="V906" i="13"/>
  <c r="Y906" i="13"/>
  <c r="AB906" i="13"/>
  <c r="AI906" i="13"/>
  <c r="AJ906" i="13"/>
  <c r="BC906" i="13" s="1"/>
  <c r="AL280" i="11"/>
  <c r="AP280" i="11"/>
  <c r="AQ280" i="11"/>
  <c r="AL281" i="11"/>
  <c r="AP281" i="11"/>
  <c r="AQ281" i="11"/>
  <c r="AL282" i="11"/>
  <c r="AP282" i="11"/>
  <c r="AQ282" i="11"/>
  <c r="AL283" i="11"/>
  <c r="AP283" i="11"/>
  <c r="AQ283" i="11"/>
  <c r="AL284" i="11"/>
  <c r="AP284" i="11"/>
  <c r="AQ284" i="11"/>
  <c r="AL285" i="11"/>
  <c r="AP285" i="11"/>
  <c r="AQ285" i="11"/>
  <c r="AL286" i="11"/>
  <c r="AP286" i="11"/>
  <c r="AQ286" i="11"/>
  <c r="AL287" i="11"/>
  <c r="AP287" i="11"/>
  <c r="AQ287" i="11"/>
  <c r="AL288" i="11"/>
  <c r="AP288" i="11"/>
  <c r="AQ288" i="11"/>
  <c r="AL289" i="11"/>
  <c r="AP289" i="11"/>
  <c r="AQ289" i="11"/>
  <c r="AL290" i="11"/>
  <c r="AP290" i="11"/>
  <c r="AQ290" i="11"/>
  <c r="AL291" i="11"/>
  <c r="AP291" i="11"/>
  <c r="AQ291" i="11"/>
  <c r="AL292" i="11"/>
  <c r="AP292" i="11"/>
  <c r="AQ292" i="11"/>
  <c r="AL293" i="11"/>
  <c r="AP293" i="11"/>
  <c r="AQ293" i="11"/>
  <c r="AL294" i="11"/>
  <c r="AP294" i="11"/>
  <c r="AQ294" i="11"/>
  <c r="AL78" i="19"/>
  <c r="AQ254" i="11"/>
  <c r="AP254" i="11"/>
  <c r="AL254" i="11"/>
  <c r="AL277" i="11"/>
  <c r="AP277" i="11"/>
  <c r="AQ277" i="11"/>
  <c r="AL278" i="11"/>
  <c r="AP278" i="11"/>
  <c r="AQ278" i="11"/>
  <c r="AL279" i="11"/>
  <c r="AP279" i="11"/>
  <c r="AQ279" i="11"/>
  <c r="AL257" i="11"/>
  <c r="AP257" i="11"/>
  <c r="AQ257" i="11"/>
  <c r="AL259" i="11"/>
  <c r="AP259" i="11"/>
  <c r="AQ259" i="11"/>
  <c r="AL260" i="11"/>
  <c r="AP260" i="11"/>
  <c r="AQ260" i="11"/>
  <c r="AL262" i="11"/>
  <c r="AP262" i="11"/>
  <c r="AQ262" i="11"/>
  <c r="AL264" i="11"/>
  <c r="AP264" i="11"/>
  <c r="AQ264" i="11"/>
  <c r="AL265" i="11"/>
  <c r="AP265" i="11"/>
  <c r="AQ265" i="11"/>
  <c r="AL266" i="11"/>
  <c r="AP266" i="11"/>
  <c r="AQ266" i="11"/>
  <c r="AL267" i="11"/>
  <c r="AP267" i="11"/>
  <c r="AQ267" i="11"/>
  <c r="AL268" i="11"/>
  <c r="AP268" i="11"/>
  <c r="AQ268" i="11"/>
  <c r="AL269" i="11"/>
  <c r="AP269" i="11"/>
  <c r="AQ269" i="11"/>
  <c r="AL270" i="11"/>
  <c r="AP270" i="11"/>
  <c r="AQ270" i="11"/>
  <c r="AL271" i="11"/>
  <c r="AP271" i="11"/>
  <c r="AQ271" i="11"/>
  <c r="AL272" i="11"/>
  <c r="AP272" i="11"/>
  <c r="AQ272" i="11"/>
  <c r="AL273" i="11"/>
  <c r="AP273" i="11"/>
  <c r="AQ273" i="11"/>
  <c r="AL274" i="11"/>
  <c r="AP274" i="11"/>
  <c r="AQ274" i="11"/>
  <c r="AL275" i="11"/>
  <c r="AP275" i="11"/>
  <c r="AQ275" i="11"/>
  <c r="AL276" i="11"/>
  <c r="AP276" i="11"/>
  <c r="AQ276" i="11"/>
  <c r="V905" i="13"/>
  <c r="Y905" i="13"/>
  <c r="AB905" i="13"/>
  <c r="AJ905" i="13"/>
  <c r="BC905" i="13" s="1"/>
  <c r="AL904" i="13"/>
  <c r="AW904" i="13" s="1"/>
  <c r="AL903" i="13"/>
  <c r="AJ902" i="13"/>
  <c r="BC902" i="13" s="1"/>
  <c r="AI902" i="13"/>
  <c r="AB902" i="13"/>
  <c r="Y902" i="13"/>
  <c r="V902" i="13"/>
  <c r="AL901" i="13"/>
  <c r="BC899" i="13"/>
  <c r="BD899" i="13"/>
  <c r="BC900" i="13"/>
  <c r="BD900" i="13"/>
  <c r="AL900" i="13"/>
  <c r="AW900" i="13" s="1"/>
  <c r="AL899" i="13"/>
  <c r="AW899" i="13" s="1"/>
  <c r="BC889" i="13"/>
  <c r="BD889" i="13"/>
  <c r="BC890" i="13"/>
  <c r="BD890" i="13"/>
  <c r="BC891" i="13"/>
  <c r="BD891" i="13"/>
  <c r="BC892" i="13"/>
  <c r="BD892" i="13"/>
  <c r="BC893" i="13"/>
  <c r="BD893" i="13"/>
  <c r="BC894" i="13"/>
  <c r="BD894" i="13"/>
  <c r="BC895" i="13"/>
  <c r="BD895" i="13"/>
  <c r="BC896" i="13"/>
  <c r="BD896" i="13"/>
  <c r="BC897" i="13"/>
  <c r="BD897" i="13"/>
  <c r="BC898" i="13"/>
  <c r="BD898" i="13"/>
  <c r="AL898" i="13"/>
  <c r="AW898" i="13" s="1"/>
  <c r="AI897" i="13"/>
  <c r="AL897" i="13" s="1"/>
  <c r="AL896" i="13"/>
  <c r="AW896" i="13" s="1"/>
  <c r="AL895" i="13"/>
  <c r="AW895" i="13" s="1"/>
  <c r="AL894" i="13"/>
  <c r="AW894" i="13" s="1"/>
  <c r="AL893" i="13"/>
  <c r="AW893" i="13" s="1"/>
  <c r="AL905" i="13" l="1"/>
  <c r="AW905" i="13" s="1"/>
  <c r="AL906" i="13"/>
  <c r="AW906" i="13" s="1"/>
  <c r="AW281" i="11"/>
  <c r="AW292" i="11"/>
  <c r="AW258" i="11"/>
  <c r="AW266" i="11"/>
  <c r="AW284" i="11"/>
  <c r="AW269" i="11"/>
  <c r="AW268" i="11"/>
  <c r="AW260" i="11"/>
  <c r="AW289" i="11"/>
  <c r="AW279" i="11"/>
  <c r="AW293" i="11"/>
  <c r="AW271" i="11"/>
  <c r="AW254" i="11"/>
  <c r="AW276" i="11"/>
  <c r="AW282" i="11"/>
  <c r="AW270" i="11"/>
  <c r="AW286" i="11"/>
  <c r="AW259" i="11"/>
  <c r="AW288" i="11"/>
  <c r="AW285" i="11"/>
  <c r="AW287" i="11"/>
  <c r="AW257" i="11"/>
  <c r="AW290" i="11"/>
  <c r="AW274" i="11"/>
  <c r="AW267" i="11"/>
  <c r="AW275" i="11"/>
  <c r="AW262" i="11"/>
  <c r="AW291" i="11"/>
  <c r="AW272" i="11"/>
  <c r="AW277" i="11"/>
  <c r="AW265" i="11"/>
  <c r="AW294" i="11"/>
  <c r="AW280" i="11"/>
  <c r="AW283" i="11"/>
  <c r="AW278" i="11"/>
  <c r="AW264" i="11"/>
  <c r="AW273" i="11"/>
  <c r="AW78" i="19"/>
  <c r="AZ913" i="13"/>
  <c r="BA913" i="13" s="1"/>
  <c r="BC913" i="13"/>
  <c r="BD913" i="13"/>
  <c r="AW901" i="13"/>
  <c r="AW903" i="13"/>
  <c r="AL902" i="13"/>
  <c r="AW902" i="13" s="1"/>
  <c r="AW897" i="13"/>
  <c r="AL891" i="13"/>
  <c r="AW891" i="13" s="1"/>
  <c r="AL892" i="13"/>
  <c r="AW892" i="13" s="1"/>
  <c r="AL77" i="19"/>
  <c r="AL890" i="13"/>
  <c r="AW890" i="13" s="1"/>
  <c r="AL889" i="13"/>
  <c r="AW889" i="13" s="1"/>
  <c r="BD880" i="13"/>
  <c r="BD881" i="13"/>
  <c r="BD882" i="13"/>
  <c r="BC883" i="13"/>
  <c r="BD883" i="13"/>
  <c r="BD884" i="13"/>
  <c r="BC885" i="13"/>
  <c r="BD885" i="13"/>
  <c r="BC886" i="13"/>
  <c r="BD886" i="13"/>
  <c r="BC887" i="13"/>
  <c r="BD887" i="13"/>
  <c r="BC888" i="13"/>
  <c r="BD888" i="13"/>
  <c r="AL888" i="13"/>
  <c r="AW888" i="13" s="1"/>
  <c r="AL887" i="13"/>
  <c r="AW887" i="13" s="1"/>
  <c r="AL886" i="13"/>
  <c r="AW886" i="13" s="1"/>
  <c r="AL885" i="13"/>
  <c r="V884" i="13"/>
  <c r="Y884" i="13"/>
  <c r="AB884" i="13"/>
  <c r="AI884" i="13"/>
  <c r="AJ884" i="13"/>
  <c r="AL883" i="13"/>
  <c r="AW883" i="13" s="1"/>
  <c r="V882" i="13"/>
  <c r="Y882" i="13"/>
  <c r="AB882" i="13"/>
  <c r="AI882" i="13"/>
  <c r="AJ882" i="13"/>
  <c r="BC882" i="13" s="1"/>
  <c r="V881" i="13"/>
  <c r="Y881" i="13"/>
  <c r="AB881" i="13"/>
  <c r="AI881" i="13"/>
  <c r="AJ881" i="13"/>
  <c r="AJ880" i="13"/>
  <c r="AL880" i="13" s="1"/>
  <c r="AB880" i="13"/>
  <c r="Y880" i="13"/>
  <c r="V880" i="13"/>
  <c r="BC875" i="13"/>
  <c r="BD875" i="13"/>
  <c r="BC876" i="13"/>
  <c r="BD876" i="13"/>
  <c r="BC877" i="13"/>
  <c r="BD877" i="13"/>
  <c r="BD878" i="13"/>
  <c r="AL879" i="13"/>
  <c r="AW879" i="13" s="1"/>
  <c r="BI217" i="14"/>
  <c r="BH217" i="14"/>
  <c r="BG218" i="14"/>
  <c r="BG217" i="14"/>
  <c r="V878" i="13"/>
  <c r="Y878" i="13"/>
  <c r="AB878" i="13"/>
  <c r="AI878" i="13"/>
  <c r="AJ878" i="13"/>
  <c r="BC878" i="13" s="1"/>
  <c r="AL877" i="13"/>
  <c r="AW877" i="13" s="1"/>
  <c r="BD219" i="14"/>
  <c r="BE219" i="14" s="1"/>
  <c r="AC219" i="14"/>
  <c r="BB219" i="14"/>
  <c r="AL76" i="19"/>
  <c r="AL876" i="13"/>
  <c r="BC869" i="13"/>
  <c r="BD869" i="13"/>
  <c r="BC870" i="13"/>
  <c r="BD870" i="13"/>
  <c r="BC871" i="13"/>
  <c r="BD871" i="13"/>
  <c r="BC872" i="13"/>
  <c r="BD872" i="13"/>
  <c r="BC873" i="13"/>
  <c r="BD873" i="13"/>
  <c r="BC874" i="13"/>
  <c r="BD874" i="13"/>
  <c r="AL875" i="13"/>
  <c r="AW875" i="13" s="1"/>
  <c r="AL874" i="13"/>
  <c r="AW874" i="13" s="1"/>
  <c r="AL873" i="13"/>
  <c r="AL872" i="13"/>
  <c r="AQ256" i="11"/>
  <c r="AP256" i="11"/>
  <c r="AQ255" i="11"/>
  <c r="AP255" i="11"/>
  <c r="AQ253" i="11"/>
  <c r="AP253" i="11"/>
  <c r="AQ252" i="11"/>
  <c r="AP252" i="11"/>
  <c r="AQ251" i="11"/>
  <c r="AP251" i="11"/>
  <c r="AQ250" i="11"/>
  <c r="AP250" i="11"/>
  <c r="AQ249" i="11"/>
  <c r="AP249" i="11"/>
  <c r="AQ248" i="11"/>
  <c r="AP248" i="11"/>
  <c r="AQ247" i="11"/>
  <c r="AP247" i="11"/>
  <c r="AQ246" i="11"/>
  <c r="AP246" i="11"/>
  <c r="AQ245" i="11"/>
  <c r="AP245" i="11"/>
  <c r="AQ244" i="11"/>
  <c r="AP244" i="11"/>
  <c r="AQ243" i="11"/>
  <c r="AP243" i="11"/>
  <c r="AQ242" i="11"/>
  <c r="AP242" i="11"/>
  <c r="AQ241" i="11"/>
  <c r="AP241" i="11"/>
  <c r="AQ240" i="11"/>
  <c r="AP240" i="11"/>
  <c r="AQ239" i="11"/>
  <c r="AP239" i="11"/>
  <c r="AQ238" i="11"/>
  <c r="AP238" i="11"/>
  <c r="AQ237" i="11"/>
  <c r="AP237" i="11"/>
  <c r="AQ236" i="11"/>
  <c r="AP236" i="11"/>
  <c r="AQ235" i="11"/>
  <c r="AP235" i="11"/>
  <c r="AQ234" i="11"/>
  <c r="AP234" i="11"/>
  <c r="AQ233" i="11"/>
  <c r="AP233" i="11"/>
  <c r="AQ232" i="11"/>
  <c r="AP232" i="11"/>
  <c r="AQ231" i="11"/>
  <c r="AP231" i="11"/>
  <c r="AQ230" i="11"/>
  <c r="AP230" i="11"/>
  <c r="AZ906" i="13" l="1"/>
  <c r="BA906" i="13" s="1"/>
  <c r="AZ900" i="13"/>
  <c r="AL881" i="13"/>
  <c r="AW881" i="13" s="1"/>
  <c r="AW77" i="19"/>
  <c r="BC880" i="13"/>
  <c r="AL884" i="13"/>
  <c r="AW884" i="13" s="1"/>
  <c r="BC884" i="13"/>
  <c r="BC881" i="13"/>
  <c r="AL882" i="13"/>
  <c r="AW882" i="13" s="1"/>
  <c r="AW76" i="19"/>
  <c r="AL878" i="13"/>
  <c r="AW878" i="13" s="1"/>
  <c r="BC879" i="13"/>
  <c r="BD879" i="13"/>
  <c r="AW876" i="13"/>
  <c r="AW873" i="13"/>
  <c r="AL871" i="13"/>
  <c r="AW871" i="13" s="1"/>
  <c r="AW870" i="13"/>
  <c r="AL870" i="13"/>
  <c r="AQ229" i="11"/>
  <c r="AP229" i="11"/>
  <c r="AL869" i="13"/>
  <c r="AW869" i="13" s="1"/>
  <c r="AQ228" i="11"/>
  <c r="AP228" i="11"/>
  <c r="BD868" i="13"/>
  <c r="BC868" i="13"/>
  <c r="BD867" i="13"/>
  <c r="BC867" i="13"/>
  <c r="BD866" i="13"/>
  <c r="BD865" i="13"/>
  <c r="BC865" i="13"/>
  <c r="BD864" i="13"/>
  <c r="BC864" i="13"/>
  <c r="BD863" i="13"/>
  <c r="BC863" i="13"/>
  <c r="BD862" i="13"/>
  <c r="BC862" i="13"/>
  <c r="AQ227" i="11"/>
  <c r="AP227" i="11"/>
  <c r="AZ888" i="13" l="1"/>
  <c r="BA888" i="13" s="1"/>
  <c r="BA900" i="13"/>
  <c r="AZ878" i="13"/>
  <c r="BA878" i="13" s="1"/>
  <c r="AZ874" i="13"/>
  <c r="BA874" i="13" s="1"/>
  <c r="AQ89" i="11"/>
  <c r="AP89" i="11"/>
  <c r="AL89" i="11"/>
  <c r="AL868" i="13"/>
  <c r="AL149" i="11"/>
  <c r="AP149" i="11"/>
  <c r="AQ149" i="11"/>
  <c r="AL867" i="13"/>
  <c r="AW867" i="13" s="1"/>
  <c r="AQ226" i="11"/>
  <c r="AP226" i="11"/>
  <c r="AQ225" i="11"/>
  <c r="AP225" i="11"/>
  <c r="AQ224" i="11"/>
  <c r="AP224" i="11"/>
  <c r="AQ223" i="11"/>
  <c r="AP223" i="11"/>
  <c r="AI223" i="11"/>
  <c r="AW149" i="11" l="1"/>
  <c r="AW89" i="11"/>
  <c r="AQ222" i="11"/>
  <c r="AP222" i="11"/>
  <c r="AQ221" i="11"/>
  <c r="AP221" i="11"/>
  <c r="AQ220" i="11"/>
  <c r="AP220" i="11"/>
  <c r="V866" i="13"/>
  <c r="Y866" i="13"/>
  <c r="AB866" i="13"/>
  <c r="AI866" i="13"/>
  <c r="AJ866" i="13"/>
  <c r="BC866" i="13" s="1"/>
  <c r="AI865" i="13"/>
  <c r="AL865" i="13" s="1"/>
  <c r="AW865" i="13" s="1"/>
  <c r="AI121" i="11"/>
  <c r="AL121" i="11" s="1"/>
  <c r="AQ121" i="11"/>
  <c r="AP121" i="11"/>
  <c r="AL864" i="13"/>
  <c r="AW864" i="13" s="1"/>
  <c r="AL863" i="13"/>
  <c r="AW863" i="13" s="1"/>
  <c r="AQ219" i="11"/>
  <c r="AP219" i="11"/>
  <c r="AQ218" i="11"/>
  <c r="AP218" i="11"/>
  <c r="AQ217" i="11"/>
  <c r="AP217" i="11"/>
  <c r="AL862" i="13"/>
  <c r="AW862" i="13" s="1"/>
  <c r="BI861" i="13"/>
  <c r="BD848" i="13"/>
  <c r="BC849" i="13"/>
  <c r="BD849" i="13"/>
  <c r="BC850" i="13"/>
  <c r="BD850" i="13"/>
  <c r="BC851" i="13"/>
  <c r="BD851" i="13"/>
  <c r="BC852" i="13"/>
  <c r="BD852" i="13"/>
  <c r="BC853" i="13"/>
  <c r="BD853" i="13"/>
  <c r="BC854" i="13"/>
  <c r="BD854" i="13"/>
  <c r="BC855" i="13"/>
  <c r="BD855" i="13"/>
  <c r="BC856" i="13"/>
  <c r="BD856" i="13"/>
  <c r="BC857" i="13"/>
  <c r="BD857" i="13"/>
  <c r="BC858" i="13"/>
  <c r="BD858" i="13"/>
  <c r="BC859" i="13"/>
  <c r="BD859" i="13"/>
  <c r="BC860" i="13"/>
  <c r="BD860" i="13"/>
  <c r="BC861" i="13"/>
  <c r="BD861" i="13"/>
  <c r="AI861" i="13"/>
  <c r="AL861" i="13" s="1"/>
  <c r="AW861" i="13" s="1"/>
  <c r="AL859" i="13"/>
  <c r="AW859" i="13" s="1"/>
  <c r="AL860" i="13"/>
  <c r="AW860" i="13" s="1"/>
  <c r="AQ216" i="11"/>
  <c r="AP216" i="11"/>
  <c r="AL858" i="13"/>
  <c r="AW858" i="13" s="1"/>
  <c r="AL857" i="13"/>
  <c r="AW857" i="13" s="1"/>
  <c r="AQ215" i="11"/>
  <c r="AP215" i="11"/>
  <c r="AQ214" i="11"/>
  <c r="AP214" i="11"/>
  <c r="AQ213" i="11"/>
  <c r="AP213" i="11"/>
  <c r="AL856" i="13"/>
  <c r="AQ212" i="11"/>
  <c r="AP212" i="11"/>
  <c r="AQ211" i="11"/>
  <c r="AP211" i="11"/>
  <c r="AW121" i="11" l="1"/>
  <c r="AL866" i="13"/>
  <c r="AW866" i="13" s="1"/>
  <c r="AZ868" i="13" s="1"/>
  <c r="BA868" i="13" s="1"/>
  <c r="AI855" i="13"/>
  <c r="AL855" i="13" s="1"/>
  <c r="AQ210" i="11"/>
  <c r="AP210" i="11"/>
  <c r="AL854" i="13"/>
  <c r="AW854" i="13" s="1"/>
  <c r="AL853" i="13"/>
  <c r="AL852" i="13"/>
  <c r="AW852" i="13" s="1"/>
  <c r="AL851" i="13"/>
  <c r="AQ209" i="11"/>
  <c r="AP209" i="11"/>
  <c r="AL850" i="13" l="1"/>
  <c r="AW850" i="13" s="1"/>
  <c r="BC843" i="13"/>
  <c r="BD843" i="13"/>
  <c r="BC844" i="13"/>
  <c r="BD844" i="13"/>
  <c r="BC845" i="13"/>
  <c r="BD845" i="13"/>
  <c r="BC846" i="13"/>
  <c r="BD846" i="13"/>
  <c r="BC847" i="13"/>
  <c r="BD847" i="13"/>
  <c r="AQ208" i="11"/>
  <c r="AP208" i="11"/>
  <c r="AL849" i="13"/>
  <c r="AW849" i="13" s="1"/>
  <c r="AQ207" i="11"/>
  <c r="AP207" i="11"/>
  <c r="V848" i="13"/>
  <c r="Y848" i="13"/>
  <c r="AB848" i="13"/>
  <c r="AI848" i="13"/>
  <c r="AJ848" i="13"/>
  <c r="BC848" i="13" s="1"/>
  <c r="AL848" i="13" l="1"/>
  <c r="AW848" i="13" s="1"/>
  <c r="AZ861" i="13" s="1"/>
  <c r="BA861" i="13" s="1"/>
  <c r="AL75" i="19"/>
  <c r="AL846" i="13"/>
  <c r="AW846" i="13" s="1"/>
  <c r="AL232" i="11"/>
  <c r="AW232" i="11" s="1"/>
  <c r="AL233" i="11"/>
  <c r="AW233" i="11" s="1"/>
  <c r="AL234" i="11"/>
  <c r="AW234" i="11" s="1"/>
  <c r="AL235" i="11"/>
  <c r="AW235" i="11" s="1"/>
  <c r="AL236" i="11"/>
  <c r="AW236" i="11" s="1"/>
  <c r="AL237" i="11"/>
  <c r="AW237" i="11" s="1"/>
  <c r="AL238" i="11"/>
  <c r="AW238" i="11" s="1"/>
  <c r="AL239" i="11"/>
  <c r="AW239" i="11" s="1"/>
  <c r="AL240" i="11"/>
  <c r="AW240" i="11" s="1"/>
  <c r="AL241" i="11"/>
  <c r="AW241" i="11" s="1"/>
  <c r="AL242" i="11"/>
  <c r="AW242" i="11" s="1"/>
  <c r="AL243" i="11"/>
  <c r="AW243" i="11" s="1"/>
  <c r="AL244" i="11"/>
  <c r="AW244" i="11" s="1"/>
  <c r="AL245" i="11"/>
  <c r="AW245" i="11" s="1"/>
  <c r="AL246" i="11"/>
  <c r="AW246" i="11" s="1"/>
  <c r="AL247" i="11"/>
  <c r="AW247" i="11" s="1"/>
  <c r="AL248" i="11"/>
  <c r="AW248" i="11" s="1"/>
  <c r="AL249" i="11"/>
  <c r="AW249" i="11" s="1"/>
  <c r="AL250" i="11"/>
  <c r="AW250" i="11" s="1"/>
  <c r="AL251" i="11"/>
  <c r="AW251" i="11" s="1"/>
  <c r="AL252" i="11"/>
  <c r="AW252" i="11" s="1"/>
  <c r="AL253" i="11"/>
  <c r="AW253" i="11" s="1"/>
  <c r="AL255" i="11"/>
  <c r="AW255" i="11" s="1"/>
  <c r="AL256" i="11"/>
  <c r="AW256" i="11" s="1"/>
  <c r="AL226" i="11"/>
  <c r="AW226" i="11" s="1"/>
  <c r="AL227" i="11"/>
  <c r="AW227" i="11" s="1"/>
  <c r="AL228" i="11"/>
  <c r="AW228" i="11" s="1"/>
  <c r="AL229" i="11"/>
  <c r="AW229" i="11" s="1"/>
  <c r="AL230" i="11"/>
  <c r="AW230" i="11" s="1"/>
  <c r="AL231" i="11"/>
  <c r="AW231" i="11" s="1"/>
  <c r="AL847" i="13"/>
  <c r="AW847" i="13" s="1"/>
  <c r="BC812" i="13"/>
  <c r="BD812" i="13"/>
  <c r="BC813" i="13"/>
  <c r="BD813" i="13"/>
  <c r="BC814" i="13"/>
  <c r="BD814" i="13"/>
  <c r="BC815" i="13"/>
  <c r="BD815" i="13"/>
  <c r="BC816" i="13"/>
  <c r="BD816" i="13"/>
  <c r="BC817" i="13"/>
  <c r="BD817" i="13"/>
  <c r="BC818" i="13"/>
  <c r="BD818" i="13"/>
  <c r="BC819" i="13"/>
  <c r="BD819" i="13"/>
  <c r="BC820" i="13"/>
  <c r="BD820" i="13"/>
  <c r="BC821" i="13"/>
  <c r="BD821" i="13"/>
  <c r="BC822" i="13"/>
  <c r="BD822" i="13"/>
  <c r="BC823" i="13"/>
  <c r="BD823" i="13"/>
  <c r="BC824" i="13"/>
  <c r="BD824" i="13"/>
  <c r="BC825" i="13"/>
  <c r="BD825" i="13"/>
  <c r="BD826" i="13"/>
  <c r="BC827" i="13"/>
  <c r="BD827" i="13"/>
  <c r="BC828" i="13"/>
  <c r="BD828" i="13"/>
  <c r="BC829" i="13"/>
  <c r="BD829" i="13"/>
  <c r="BC830" i="13"/>
  <c r="BD830" i="13"/>
  <c r="BC831" i="13"/>
  <c r="BD831" i="13"/>
  <c r="BC832" i="13"/>
  <c r="BD832" i="13"/>
  <c r="BC833" i="13"/>
  <c r="BD833" i="13"/>
  <c r="BC834" i="13"/>
  <c r="BD834" i="13"/>
  <c r="BC835" i="13"/>
  <c r="BD835" i="13"/>
  <c r="BC836" i="13"/>
  <c r="BD836" i="13"/>
  <c r="BC837" i="13"/>
  <c r="BD837" i="13"/>
  <c r="BC838" i="13"/>
  <c r="BD838" i="13"/>
  <c r="BC839" i="13"/>
  <c r="BD839" i="13"/>
  <c r="BC840" i="13"/>
  <c r="BD840" i="13"/>
  <c r="BC841" i="13"/>
  <c r="BD841" i="13"/>
  <c r="BC842" i="13"/>
  <c r="BD842" i="13"/>
  <c r="AL845" i="13"/>
  <c r="AW845" i="13" s="1"/>
  <c r="AL844" i="13"/>
  <c r="AW844" i="13" s="1"/>
  <c r="AK206" i="11"/>
  <c r="AQ206" i="11"/>
  <c r="AP206" i="11"/>
  <c r="AQ205" i="11"/>
  <c r="AP205" i="11"/>
  <c r="AQ204" i="11"/>
  <c r="AP204" i="11"/>
  <c r="AW75" i="19" l="1"/>
  <c r="AL843" i="13"/>
  <c r="AP203" i="11"/>
  <c r="AQ203" i="11"/>
  <c r="AI842" i="13"/>
  <c r="AL842" i="13" s="1"/>
  <c r="AW842" i="13" s="1"/>
  <c r="AL841" i="13"/>
  <c r="AW841" i="13" s="1"/>
  <c r="AL840" i="13"/>
  <c r="AL839" i="13"/>
  <c r="AW843" i="13" l="1"/>
  <c r="AZ847" i="13" s="1"/>
  <c r="AL838" i="13"/>
  <c r="AQ202" i="11"/>
  <c r="AP202" i="11"/>
  <c r="AQ201" i="11"/>
  <c r="AP201" i="11"/>
  <c r="BA847" i="13" l="1"/>
  <c r="AL837" i="13"/>
  <c r="AW837" i="13" s="1"/>
  <c r="AL836" i="13"/>
  <c r="AL835" i="13"/>
  <c r="AW835" i="13" s="1"/>
  <c r="AL834" i="13"/>
  <c r="AW834" i="13" s="1"/>
  <c r="AL833" i="13"/>
  <c r="AL832" i="13"/>
  <c r="AW832" i="13" s="1"/>
  <c r="AL831" i="13"/>
  <c r="AW831" i="13" s="1"/>
  <c r="AL830" i="13"/>
  <c r="AW830" i="13" s="1"/>
  <c r="AL829" i="13"/>
  <c r="AW829" i="13" s="1"/>
  <c r="AL828" i="13"/>
  <c r="AL827" i="13"/>
  <c r="AW827" i="13" s="1"/>
  <c r="V826" i="13"/>
  <c r="Y826" i="13"/>
  <c r="AB826" i="13"/>
  <c r="AI826" i="13"/>
  <c r="AJ826" i="13"/>
  <c r="BC826" i="13" s="1"/>
  <c r="AQ200" i="11"/>
  <c r="AP200" i="11"/>
  <c r="AW836" i="13" l="1"/>
  <c r="AW833" i="13"/>
  <c r="AL826" i="13"/>
  <c r="AW826" i="13" s="1"/>
  <c r="AQ199" i="11"/>
  <c r="AP199" i="11"/>
  <c r="AQ198" i="11"/>
  <c r="AP198" i="11"/>
  <c r="AL825" i="13"/>
  <c r="AW825" i="13" s="1"/>
  <c r="AL824" i="13"/>
  <c r="AW824" i="13" s="1"/>
  <c r="AL823" i="13"/>
  <c r="AW823" i="13" s="1"/>
  <c r="AL822" i="13"/>
  <c r="AW822" i="13" s="1"/>
  <c r="AL74" i="19"/>
  <c r="AL821" i="13"/>
  <c r="AW821" i="13" s="1"/>
  <c r="AL820" i="13"/>
  <c r="AL819" i="13"/>
  <c r="AW819" i="13" s="1"/>
  <c r="AL818" i="13"/>
  <c r="AW818" i="13" s="1"/>
  <c r="AL817" i="13"/>
  <c r="AW817" i="13" s="1"/>
  <c r="AL816" i="13"/>
  <c r="AL73" i="19"/>
  <c r="AL815" i="13"/>
  <c r="AW815" i="13" s="1"/>
  <c r="AQ197" i="11"/>
  <c r="AP197" i="11"/>
  <c r="AL814" i="13"/>
  <c r="AW814" i="13" s="1"/>
  <c r="AL72" i="19"/>
  <c r="AL813" i="13"/>
  <c r="AL812" i="13"/>
  <c r="AW812" i="13" s="1"/>
  <c r="BC793" i="13"/>
  <c r="BD793" i="13"/>
  <c r="BC794" i="13"/>
  <c r="BD794" i="13"/>
  <c r="BC795" i="13"/>
  <c r="BD795" i="13"/>
  <c r="BC796" i="13"/>
  <c r="BD796" i="13"/>
  <c r="BC797" i="13"/>
  <c r="BD797" i="13"/>
  <c r="BC798" i="13"/>
  <c r="BD798" i="13"/>
  <c r="BC799" i="13"/>
  <c r="BD799" i="13"/>
  <c r="BC800" i="13"/>
  <c r="BD800" i="13"/>
  <c r="BD801" i="13"/>
  <c r="BC802" i="13"/>
  <c r="BD802" i="13"/>
  <c r="BC803" i="13"/>
  <c r="BD803" i="13"/>
  <c r="BC804" i="13"/>
  <c r="BD804" i="13"/>
  <c r="BC805" i="13"/>
  <c r="BD805" i="13"/>
  <c r="BC806" i="13"/>
  <c r="BD806" i="13"/>
  <c r="BC807" i="13"/>
  <c r="BD807" i="13"/>
  <c r="BC808" i="13"/>
  <c r="BD808" i="13"/>
  <c r="BD811" i="13"/>
  <c r="AZ842" i="13" l="1"/>
  <c r="BA842" i="13" s="1"/>
  <c r="AW74" i="19"/>
  <c r="AW73" i="19"/>
  <c r="AW820" i="13"/>
  <c r="AW72" i="19"/>
  <c r="AW813" i="13"/>
  <c r="AQ196" i="11"/>
  <c r="AP196" i="11"/>
  <c r="AJ811" i="13"/>
  <c r="BC811" i="13" s="1"/>
  <c r="AB811" i="13"/>
  <c r="Y811" i="13"/>
  <c r="V811" i="13"/>
  <c r="AL810" i="13"/>
  <c r="AQ195" i="11"/>
  <c r="AP195" i="11"/>
  <c r="AC31" i="8"/>
  <c r="BB31" i="8"/>
  <c r="AQ194" i="11"/>
  <c r="AP194" i="11"/>
  <c r="AL809" i="13"/>
  <c r="AQ193" i="11"/>
  <c r="AP193" i="11"/>
  <c r="AL808" i="13"/>
  <c r="AW808" i="13" s="1"/>
  <c r="AC21" i="8"/>
  <c r="AC22" i="8"/>
  <c r="AC23" i="8"/>
  <c r="AC24" i="8"/>
  <c r="AC25" i="8"/>
  <c r="AC26" i="8"/>
  <c r="AC27" i="8"/>
  <c r="BB21" i="8"/>
  <c r="BB22" i="8"/>
  <c r="BB23" i="8"/>
  <c r="BB24" i="8"/>
  <c r="BB25" i="8"/>
  <c r="BT25" i="8" s="1"/>
  <c r="BB26" i="8"/>
  <c r="BT26" i="8" s="1"/>
  <c r="BB27" i="8"/>
  <c r="BB28" i="8"/>
  <c r="BB29" i="8"/>
  <c r="BB30" i="8"/>
  <c r="AC28" i="8"/>
  <c r="AQ192" i="11"/>
  <c r="AP192" i="11"/>
  <c r="BT27" i="8"/>
  <c r="BT24" i="8"/>
  <c r="BT23" i="8"/>
  <c r="BT22" i="8"/>
  <c r="BT21" i="8"/>
  <c r="AL807" i="13"/>
  <c r="AW807" i="13" s="1"/>
  <c r="AL806" i="13"/>
  <c r="AW806" i="13" s="1"/>
  <c r="AL805" i="13"/>
  <c r="AW805" i="13" s="1"/>
  <c r="AL804" i="13"/>
  <c r="AL803" i="13"/>
  <c r="AW803" i="13" s="1"/>
  <c r="AL802" i="13"/>
  <c r="AW802" i="13" s="1"/>
  <c r="AQ191" i="11"/>
  <c r="AP191" i="11"/>
  <c r="AZ827" i="13" l="1"/>
  <c r="BA827" i="13" s="1"/>
  <c r="AL811" i="13"/>
  <c r="AW809" i="13"/>
  <c r="BC809" i="13"/>
  <c r="BD809" i="13"/>
  <c r="AW810" i="13"/>
  <c r="BC810" i="13"/>
  <c r="BD810" i="13"/>
  <c r="V801" i="13"/>
  <c r="Y801" i="13"/>
  <c r="AB801" i="13"/>
  <c r="AI801" i="13"/>
  <c r="AJ801" i="13"/>
  <c r="BC801" i="13" s="1"/>
  <c r="AQ190" i="11"/>
  <c r="AP190" i="11"/>
  <c r="AL800" i="13"/>
  <c r="AW800" i="13" s="1"/>
  <c r="AQ189" i="11"/>
  <c r="AP189" i="11"/>
  <c r="AL799" i="13"/>
  <c r="AW799" i="13" s="1"/>
  <c r="AP188" i="11"/>
  <c r="AL798" i="13"/>
  <c r="AW798" i="13" s="1"/>
  <c r="AL797" i="13"/>
  <c r="AW797" i="13" s="1"/>
  <c r="AC79" i="15"/>
  <c r="BB79" i="15"/>
  <c r="AL796" i="13"/>
  <c r="AL794" i="13"/>
  <c r="AW794" i="13" s="1"/>
  <c r="AL795" i="13"/>
  <c r="AW795" i="13" s="1"/>
  <c r="AQ187" i="11"/>
  <c r="AP187" i="11"/>
  <c r="AZ811" i="13" l="1"/>
  <c r="BA811" i="13" s="1"/>
  <c r="AL801" i="13"/>
  <c r="AW801" i="13" s="1"/>
  <c r="AZ801" i="13" s="1"/>
  <c r="BA801" i="13" s="1"/>
  <c r="AL793" i="13"/>
  <c r="AQ186" i="11"/>
  <c r="AP186" i="11"/>
  <c r="AP151" i="11" l="1"/>
  <c r="AQ151" i="11"/>
  <c r="AL151" i="11"/>
  <c r="AC209" i="14"/>
  <c r="AC212" i="14"/>
  <c r="BC782" i="13"/>
  <c r="BD782" i="13"/>
  <c r="BC783" i="13"/>
  <c r="BD783" i="13"/>
  <c r="BC784" i="13"/>
  <c r="BD784" i="13"/>
  <c r="BC785" i="13"/>
  <c r="BD785" i="13"/>
  <c r="BC786" i="13"/>
  <c r="BD786" i="13"/>
  <c r="BD787" i="13"/>
  <c r="BC788" i="13"/>
  <c r="BD788" i="13"/>
  <c r="BD789" i="13"/>
  <c r="BC790" i="13"/>
  <c r="BD790" i="13"/>
  <c r="BC791" i="13"/>
  <c r="BD791" i="13"/>
  <c r="AL792" i="13"/>
  <c r="BD792" i="13"/>
  <c r="AQ185" i="11"/>
  <c r="AP185" i="11"/>
  <c r="AQ184" i="11"/>
  <c r="AP184" i="11"/>
  <c r="AQ183" i="11"/>
  <c r="AP183" i="11"/>
  <c r="AQ182" i="11"/>
  <c r="AP182" i="11"/>
  <c r="AW151" i="11" l="1"/>
  <c r="BC792" i="13"/>
  <c r="AW792" i="13"/>
  <c r="AQ181" i="11"/>
  <c r="AP181" i="11"/>
  <c r="AL791" i="13"/>
  <c r="AW791" i="13" s="1"/>
  <c r="AL786" i="13"/>
  <c r="AW786" i="13" s="1"/>
  <c r="AW790" i="13"/>
  <c r="AJ789" i="13"/>
  <c r="AB789" i="13"/>
  <c r="Y789" i="13"/>
  <c r="V789" i="13"/>
  <c r="AL788" i="13"/>
  <c r="AW788" i="13" s="1"/>
  <c r="V787" i="13"/>
  <c r="Y787" i="13"/>
  <c r="AB787" i="13"/>
  <c r="AI787" i="13"/>
  <c r="AJ787" i="13"/>
  <c r="BC787" i="13" s="1"/>
  <c r="AQ180" i="11"/>
  <c r="AP180" i="11"/>
  <c r="AQ179" i="11"/>
  <c r="AP179" i="11"/>
  <c r="AW789" i="13" l="1"/>
  <c r="BC789" i="13"/>
  <c r="AL787" i="13"/>
  <c r="AW787" i="13" s="1"/>
  <c r="AL785" i="13"/>
  <c r="AW785" i="13" s="1"/>
  <c r="AL784" i="13"/>
  <c r="AW784" i="13" l="1"/>
  <c r="AQ178" i="11"/>
  <c r="AP178" i="11"/>
  <c r="AQ177" i="11"/>
  <c r="AP177" i="11"/>
  <c r="AC218" i="14"/>
  <c r="BB218" i="14"/>
  <c r="BD218" i="14" s="1"/>
  <c r="BE218" i="14" s="1"/>
  <c r="AI783" i="13"/>
  <c r="AL783" i="13" s="1"/>
  <c r="AQ176" i="11"/>
  <c r="AP176" i="11"/>
  <c r="AI45" i="11"/>
  <c r="AQ45" i="11"/>
  <c r="AP45" i="11"/>
  <c r="AJ45" i="11"/>
  <c r="AB45" i="11"/>
  <c r="Y45" i="11"/>
  <c r="V45" i="11"/>
  <c r="BD772" i="13"/>
  <c r="BC773" i="13"/>
  <c r="BD773" i="13"/>
  <c r="BD774" i="13"/>
  <c r="BC775" i="13"/>
  <c r="BD775" i="13"/>
  <c r="BC776" i="13"/>
  <c r="BD776" i="13"/>
  <c r="BD777" i="13"/>
  <c r="BD778" i="13"/>
  <c r="BC779" i="13"/>
  <c r="BD779" i="13"/>
  <c r="BC780" i="13"/>
  <c r="BD780" i="13"/>
  <c r="BC781" i="13"/>
  <c r="BD781" i="13"/>
  <c r="AL782" i="13"/>
  <c r="AW782" i="13" s="1"/>
  <c r="AQ175" i="11"/>
  <c r="AP175" i="11"/>
  <c r="AL781" i="13"/>
  <c r="AW781" i="13" s="1"/>
  <c r="AL780" i="13"/>
  <c r="AQ174" i="11"/>
  <c r="AP174" i="11"/>
  <c r="AL779" i="13"/>
  <c r="AW779" i="13" s="1"/>
  <c r="V778" i="13"/>
  <c r="Y778" i="13"/>
  <c r="AB778" i="13"/>
  <c r="AI778" i="13"/>
  <c r="AJ778" i="13"/>
  <c r="BC778" i="13" s="1"/>
  <c r="AW783" i="13" l="1"/>
  <c r="AZ792" i="13" s="1"/>
  <c r="AL45" i="11"/>
  <c r="AW45" i="11" s="1"/>
  <c r="AW780" i="13"/>
  <c r="AL778" i="13"/>
  <c r="AW778" i="13" s="1"/>
  <c r="AL71" i="19"/>
  <c r="V777" i="13"/>
  <c r="Y777" i="13"/>
  <c r="AB777" i="13"/>
  <c r="AI777" i="13"/>
  <c r="AJ777" i="13"/>
  <c r="BC777" i="13" s="1"/>
  <c r="AQ173" i="11"/>
  <c r="AP173" i="11"/>
  <c r="V70" i="19"/>
  <c r="Y70" i="19"/>
  <c r="AB70" i="19"/>
  <c r="AI70" i="19"/>
  <c r="AJ70" i="19"/>
  <c r="AL224" i="11"/>
  <c r="AW224" i="11" s="1"/>
  <c r="AL225" i="11"/>
  <c r="AW225" i="11" s="1"/>
  <c r="AL218" i="11"/>
  <c r="AW218" i="11" s="1"/>
  <c r="AL219" i="11"/>
  <c r="AW219" i="11" s="1"/>
  <c r="AL220" i="11"/>
  <c r="AW220" i="11" s="1"/>
  <c r="AL221" i="11"/>
  <c r="AW221" i="11" s="1"/>
  <c r="AL222" i="11"/>
  <c r="AW222" i="11" s="1"/>
  <c r="AL223" i="11"/>
  <c r="AW223" i="11" s="1"/>
  <c r="AL194" i="11"/>
  <c r="AW194" i="11" s="1"/>
  <c r="AL195" i="11"/>
  <c r="AW195" i="11" s="1"/>
  <c r="AL196" i="11"/>
  <c r="AW196" i="11" s="1"/>
  <c r="AL197" i="11"/>
  <c r="AW197" i="11" s="1"/>
  <c r="AL198" i="11"/>
  <c r="AW198" i="11" s="1"/>
  <c r="AL199" i="11"/>
  <c r="AW199" i="11" s="1"/>
  <c r="AL200" i="11"/>
  <c r="AW200" i="11" s="1"/>
  <c r="AL201" i="11"/>
  <c r="AW201" i="11" s="1"/>
  <c r="AL202" i="11"/>
  <c r="AW202" i="11" s="1"/>
  <c r="AL203" i="11"/>
  <c r="AW203" i="11" s="1"/>
  <c r="AL204" i="11"/>
  <c r="AW204" i="11" s="1"/>
  <c r="AL205" i="11"/>
  <c r="AW205" i="11" s="1"/>
  <c r="AL206" i="11"/>
  <c r="AW206" i="11" s="1"/>
  <c r="AL207" i="11"/>
  <c r="AW207" i="11" s="1"/>
  <c r="AL208" i="11"/>
  <c r="AW208" i="11" s="1"/>
  <c r="AL209" i="11"/>
  <c r="AW209" i="11" s="1"/>
  <c r="AL210" i="11"/>
  <c r="AW210" i="11" s="1"/>
  <c r="AL211" i="11"/>
  <c r="AW211" i="11" s="1"/>
  <c r="AL212" i="11"/>
  <c r="AW212" i="11" s="1"/>
  <c r="AL213" i="11"/>
  <c r="AW213" i="11" s="1"/>
  <c r="AL214" i="11"/>
  <c r="AW214" i="11" s="1"/>
  <c r="AL215" i="11"/>
  <c r="AW215" i="11" s="1"/>
  <c r="AL216" i="11"/>
  <c r="AW216" i="11" s="1"/>
  <c r="AL217" i="11"/>
  <c r="AW217" i="11" s="1"/>
  <c r="AL189" i="11"/>
  <c r="AW189" i="11" s="1"/>
  <c r="AL190" i="11"/>
  <c r="AW190" i="11" s="1"/>
  <c r="AL191" i="11"/>
  <c r="AW191" i="11" s="1"/>
  <c r="AL192" i="11"/>
  <c r="AW192" i="11" s="1"/>
  <c r="AL193" i="11"/>
  <c r="AW193" i="11" s="1"/>
  <c r="AL187" i="11"/>
  <c r="AW187" i="11" s="1"/>
  <c r="AL188" i="11"/>
  <c r="AW188" i="11" s="1"/>
  <c r="AL776" i="13"/>
  <c r="AL775" i="13"/>
  <c r="AW775" i="13" s="1"/>
  <c r="V774" i="13"/>
  <c r="Y774" i="13"/>
  <c r="AB774" i="13"/>
  <c r="AI774" i="13"/>
  <c r="AJ774" i="13"/>
  <c r="BC774" i="13" s="1"/>
  <c r="AQ172" i="11"/>
  <c r="AP172" i="11"/>
  <c r="AQ171" i="11"/>
  <c r="AP171" i="11"/>
  <c r="AL70" i="19" l="1"/>
  <c r="BA792" i="13"/>
  <c r="AL774" i="13"/>
  <c r="AW774" i="13" s="1"/>
  <c r="AL777" i="13"/>
  <c r="AW777" i="13" s="1"/>
  <c r="AW71" i="19"/>
  <c r="AW70" i="19"/>
  <c r="AL773" i="13"/>
  <c r="AW773" i="13" s="1"/>
  <c r="V772" i="13"/>
  <c r="Y772" i="13"/>
  <c r="AB772" i="13"/>
  <c r="AI772" i="13"/>
  <c r="AJ772" i="13"/>
  <c r="BC772" i="13" s="1"/>
  <c r="BC768" i="13"/>
  <c r="BD768" i="13"/>
  <c r="BC769" i="13"/>
  <c r="BD769" i="13"/>
  <c r="BC770" i="13"/>
  <c r="BD770" i="13"/>
  <c r="AQ170" i="11"/>
  <c r="AP170" i="11"/>
  <c r="AQ169" i="11"/>
  <c r="AP169" i="11"/>
  <c r="AL771" i="13"/>
  <c r="BC771" i="13"/>
  <c r="AL770" i="13"/>
  <c r="AW770" i="13" s="1"/>
  <c r="AL769" i="13"/>
  <c r="AW769" i="13" s="1"/>
  <c r="AL768" i="13"/>
  <c r="AW768" i="13" s="1"/>
  <c r="BC758" i="13"/>
  <c r="BD758" i="13"/>
  <c r="BC759" i="13"/>
  <c r="BD759" i="13"/>
  <c r="BC760" i="13"/>
  <c r="BD760" i="13"/>
  <c r="BC761" i="13"/>
  <c r="BD761" i="13"/>
  <c r="BC762" i="13"/>
  <c r="BD762" i="13"/>
  <c r="BC763" i="13"/>
  <c r="BD763" i="13"/>
  <c r="BC764" i="13"/>
  <c r="BD764" i="13"/>
  <c r="BC765" i="13"/>
  <c r="BD765" i="13"/>
  <c r="BC766" i="13"/>
  <c r="BD766" i="13"/>
  <c r="BC767" i="13"/>
  <c r="BD767" i="13"/>
  <c r="BD188" i="13"/>
  <c r="AL767" i="13"/>
  <c r="AW767" i="13" s="1"/>
  <c r="AL766" i="13"/>
  <c r="AW766" i="13" s="1"/>
  <c r="AL765" i="13"/>
  <c r="AW765" i="13" s="1"/>
  <c r="AQ168" i="11"/>
  <c r="AP168" i="11"/>
  <c r="AL764" i="13"/>
  <c r="AW764" i="13" s="1"/>
  <c r="AQ167" i="11"/>
  <c r="AP167" i="11"/>
  <c r="AL762" i="13"/>
  <c r="AW762" i="13" s="1"/>
  <c r="AL763" i="13"/>
  <c r="AW763" i="13" s="1"/>
  <c r="AQ166" i="11"/>
  <c r="AP166" i="11"/>
  <c r="AL760" i="13"/>
  <c r="AL759" i="13"/>
  <c r="AQ165" i="11"/>
  <c r="AP165" i="11"/>
  <c r="BC749" i="13"/>
  <c r="BD749" i="13"/>
  <c r="BC750" i="13"/>
  <c r="BD750" i="13"/>
  <c r="BC751" i="13"/>
  <c r="BD751" i="13"/>
  <c r="BC752" i="13"/>
  <c r="BD752" i="13"/>
  <c r="BD753" i="13"/>
  <c r="BD754" i="13"/>
  <c r="BC755" i="13"/>
  <c r="BD755" i="13"/>
  <c r="BC756" i="13"/>
  <c r="BD756" i="13"/>
  <c r="BC757" i="13"/>
  <c r="BD757" i="13"/>
  <c r="AL761" i="13"/>
  <c r="AQ164" i="11"/>
  <c r="AP164" i="11"/>
  <c r="AL758" i="13"/>
  <c r="AW758" i="13" s="1"/>
  <c r="AL772" i="13" l="1"/>
  <c r="AW772" i="13" s="1"/>
  <c r="AZ781" i="13" s="1"/>
  <c r="AW771" i="13"/>
  <c r="BD771" i="13"/>
  <c r="AW761" i="13"/>
  <c r="AL757" i="13"/>
  <c r="AL756" i="13"/>
  <c r="AQ163" i="11"/>
  <c r="AP163" i="11"/>
  <c r="BA781" i="13" l="1"/>
  <c r="AZ771" i="13"/>
  <c r="BA771" i="13" s="1"/>
  <c r="AW756" i="13"/>
  <c r="AL755" i="13"/>
  <c r="AQ162" i="11"/>
  <c r="AP162" i="11"/>
  <c r="AW755" i="13" l="1"/>
  <c r="AQ161" i="11"/>
  <c r="AP161" i="11"/>
  <c r="AJ754" i="13" l="1"/>
  <c r="AB754" i="13"/>
  <c r="Y754" i="13"/>
  <c r="V754" i="13"/>
  <c r="AJ753" i="13"/>
  <c r="AB753" i="13"/>
  <c r="Y753" i="13"/>
  <c r="V753" i="13"/>
  <c r="AQ157" i="11"/>
  <c r="AP157" i="11"/>
  <c r="AL157" i="11"/>
  <c r="AQ156" i="11"/>
  <c r="AP156" i="11"/>
  <c r="AL156" i="11"/>
  <c r="AL753" i="13" l="1"/>
  <c r="BC753" i="13"/>
  <c r="AL754" i="13"/>
  <c r="BC754" i="13"/>
  <c r="AW156" i="11"/>
  <c r="AW157" i="11"/>
  <c r="AL69" i="19"/>
  <c r="AL752" i="13"/>
  <c r="AQ160" i="11"/>
  <c r="AP160" i="11"/>
  <c r="AQ159" i="11"/>
  <c r="AP159" i="11"/>
  <c r="AL751" i="13"/>
  <c r="AW751" i="13" s="1"/>
  <c r="AQ158" i="11"/>
  <c r="AP158" i="11"/>
  <c r="AL750" i="13"/>
  <c r="AW750" i="13" s="1"/>
  <c r="AL749" i="13"/>
  <c r="BC729" i="13"/>
  <c r="BD729" i="13"/>
  <c r="BC730" i="13"/>
  <c r="BD730" i="13"/>
  <c r="BC731" i="13"/>
  <c r="BD731" i="13"/>
  <c r="BC732" i="13"/>
  <c r="BD732" i="13"/>
  <c r="BC733" i="13"/>
  <c r="BD733" i="13"/>
  <c r="BC734" i="13"/>
  <c r="BD734" i="13"/>
  <c r="BD735" i="13"/>
  <c r="BD736" i="13"/>
  <c r="BC737" i="13"/>
  <c r="BD737" i="13"/>
  <c r="BC738" i="13"/>
  <c r="BD738" i="13"/>
  <c r="BC739" i="13"/>
  <c r="BD739" i="13"/>
  <c r="BC740" i="13"/>
  <c r="BD740" i="13"/>
  <c r="BC741" i="13"/>
  <c r="BD741" i="13"/>
  <c r="BC742" i="13"/>
  <c r="BD742" i="13"/>
  <c r="BC743" i="13"/>
  <c r="BD743" i="13"/>
  <c r="BC744" i="13"/>
  <c r="BD744" i="13"/>
  <c r="BC745" i="13"/>
  <c r="BD745" i="13"/>
  <c r="BC746" i="13"/>
  <c r="BD746" i="13"/>
  <c r="BD747" i="13"/>
  <c r="BC748" i="13"/>
  <c r="BD748" i="13"/>
  <c r="AL748" i="13"/>
  <c r="AW748" i="13" s="1"/>
  <c r="AQ155" i="11"/>
  <c r="AP155" i="11"/>
  <c r="V747" i="13"/>
  <c r="Y747" i="13"/>
  <c r="AB747" i="13"/>
  <c r="AJ747" i="13"/>
  <c r="BC747" i="13" s="1"/>
  <c r="AL746" i="13"/>
  <c r="AL745" i="13"/>
  <c r="AL744" i="13"/>
  <c r="AQ127" i="11"/>
  <c r="AQ154" i="11"/>
  <c r="AP154" i="11"/>
  <c r="AQ153" i="11"/>
  <c r="AP153" i="11"/>
  <c r="AQ152" i="11"/>
  <c r="AP152" i="11"/>
  <c r="AW69" i="19" l="1"/>
  <c r="AL747" i="13"/>
  <c r="AW747" i="13" s="1"/>
  <c r="AW749" i="13"/>
  <c r="AW745" i="13"/>
  <c r="AW746" i="13"/>
  <c r="AL743" i="13"/>
  <c r="AW743" i="13" s="1"/>
  <c r="AL182" i="11"/>
  <c r="AW182" i="11" s="1"/>
  <c r="AL183" i="11"/>
  <c r="AW183" i="11" s="1"/>
  <c r="AL184" i="11"/>
  <c r="AW184" i="11" s="1"/>
  <c r="AL185" i="11"/>
  <c r="AW185" i="11" s="1"/>
  <c r="AL186" i="11"/>
  <c r="AW186" i="11" s="1"/>
  <c r="AL163" i="11"/>
  <c r="AW163" i="11" s="1"/>
  <c r="AL164" i="11"/>
  <c r="AW164" i="11" s="1"/>
  <c r="AL165" i="11"/>
  <c r="AW165" i="11" s="1"/>
  <c r="AL166" i="11"/>
  <c r="AW166" i="11" s="1"/>
  <c r="AL167" i="11"/>
  <c r="AW167" i="11" s="1"/>
  <c r="AL168" i="11"/>
  <c r="AW168" i="11" s="1"/>
  <c r="AL169" i="11"/>
  <c r="AW169" i="11" s="1"/>
  <c r="AL170" i="11"/>
  <c r="AW170" i="11" s="1"/>
  <c r="AL171" i="11"/>
  <c r="AW171" i="11" s="1"/>
  <c r="AL172" i="11"/>
  <c r="AW172" i="11" s="1"/>
  <c r="AL173" i="11"/>
  <c r="AW173" i="11" s="1"/>
  <c r="AL174" i="11"/>
  <c r="AW174" i="11" s="1"/>
  <c r="AL175" i="11"/>
  <c r="AW175" i="11" s="1"/>
  <c r="AL176" i="11"/>
  <c r="AW176" i="11" s="1"/>
  <c r="AL177" i="11"/>
  <c r="AW177" i="11" s="1"/>
  <c r="AL178" i="11"/>
  <c r="AW178" i="11" s="1"/>
  <c r="AL179" i="11"/>
  <c r="AW179" i="11" s="1"/>
  <c r="AL180" i="11"/>
  <c r="AW180" i="11" s="1"/>
  <c r="AL181" i="11"/>
  <c r="AW181" i="11" s="1"/>
  <c r="AL742" i="13"/>
  <c r="AQ150" i="11"/>
  <c r="AP150" i="11"/>
  <c r="AQ148" i="11"/>
  <c r="AP148" i="11"/>
  <c r="AL741" i="13"/>
  <c r="AW741" i="13" s="1"/>
  <c r="AL740" i="13"/>
  <c r="AW740" i="13" s="1"/>
  <c r="AL739" i="13"/>
  <c r="AW739" i="13" s="1"/>
  <c r="AW738" i="13"/>
  <c r="AL738" i="13"/>
  <c r="AL737" i="13"/>
  <c r="AW737" i="13" s="1"/>
  <c r="V736" i="13"/>
  <c r="Y736" i="13"/>
  <c r="AB736" i="13"/>
  <c r="AJ736" i="13"/>
  <c r="AJ735" i="13"/>
  <c r="AB735" i="13"/>
  <c r="Y735" i="13"/>
  <c r="V735" i="13"/>
  <c r="AL734" i="13"/>
  <c r="AW734" i="13" s="1"/>
  <c r="AL733" i="13"/>
  <c r="AW733" i="13" s="1"/>
  <c r="AL732" i="13"/>
  <c r="AL731" i="13"/>
  <c r="AP147" i="11"/>
  <c r="AZ757" i="13" l="1"/>
  <c r="BA757" i="13" s="1"/>
  <c r="AL735" i="13"/>
  <c r="BC735" i="13"/>
  <c r="AL736" i="13"/>
  <c r="AW736" i="13" s="1"/>
  <c r="BC736" i="13"/>
  <c r="AW742" i="13"/>
  <c r="AZ747" i="13" l="1"/>
  <c r="BA747" i="13" s="1"/>
  <c r="BC728" i="13"/>
  <c r="BG861" i="13" s="1"/>
  <c r="BD728" i="13"/>
  <c r="BH861" i="13" s="1"/>
  <c r="BI727" i="13"/>
  <c r="BC710" i="13"/>
  <c r="BD710" i="13"/>
  <c r="BD711" i="13"/>
  <c r="BC712" i="13"/>
  <c r="BD712" i="13"/>
  <c r="BC713" i="13"/>
  <c r="BD713" i="13"/>
  <c r="BC714" i="13"/>
  <c r="BD714" i="13"/>
  <c r="BC715" i="13"/>
  <c r="BD715" i="13"/>
  <c r="BD716" i="13"/>
  <c r="BD717" i="13"/>
  <c r="BC718" i="13"/>
  <c r="BD718" i="13"/>
  <c r="BD719" i="13"/>
  <c r="BC720" i="13"/>
  <c r="BD720" i="13"/>
  <c r="BD721" i="13"/>
  <c r="BC722" i="13"/>
  <c r="BD722" i="13"/>
  <c r="BC723" i="13"/>
  <c r="BD723" i="13"/>
  <c r="BC724" i="13"/>
  <c r="BD724" i="13"/>
  <c r="BC725" i="13"/>
  <c r="BD725" i="13"/>
  <c r="BD726" i="13"/>
  <c r="BD727" i="13"/>
  <c r="AL730" i="13"/>
  <c r="AW730" i="13" s="1"/>
  <c r="AL68" i="19"/>
  <c r="AP146" i="11"/>
  <c r="AW68" i="19" l="1"/>
  <c r="AL729" i="13"/>
  <c r="AW729" i="13" s="1"/>
  <c r="AZ735" i="13" s="1"/>
  <c r="BH204" i="14"/>
  <c r="AQ145" i="11"/>
  <c r="AP145" i="11"/>
  <c r="AL728" i="13"/>
  <c r="BA735" i="13" l="1"/>
  <c r="BF861" i="13" s="1"/>
  <c r="AQ144" i="11"/>
  <c r="AP144" i="11"/>
  <c r="AQ143" i="11"/>
  <c r="AP143" i="11"/>
  <c r="V727" i="13" l="1"/>
  <c r="Y727" i="13"/>
  <c r="AB727" i="13"/>
  <c r="AJ727" i="13"/>
  <c r="BC727" i="13" s="1"/>
  <c r="AL727" i="13" l="1"/>
  <c r="AQ142" i="11"/>
  <c r="AP142" i="11"/>
  <c r="AJ726" i="13"/>
  <c r="AB726" i="13"/>
  <c r="Y726" i="13"/>
  <c r="V726" i="13"/>
  <c r="AL725" i="13"/>
  <c r="AW725" i="13" s="1"/>
  <c r="AQ141" i="11"/>
  <c r="AP141" i="11"/>
  <c r="AL726" i="13" l="1"/>
  <c r="BC726" i="13"/>
  <c r="AQ140" i="11" l="1"/>
  <c r="AP140" i="11"/>
  <c r="AL724" i="13" l="1"/>
  <c r="AW724" i="13" s="1"/>
  <c r="AQ139" i="11" l="1"/>
  <c r="AP139" i="11"/>
  <c r="AL723" i="13"/>
  <c r="AW723" i="13" s="1"/>
  <c r="AL722" i="13"/>
  <c r="AW722" i="13" s="1"/>
  <c r="AL148" i="11"/>
  <c r="AW148" i="11" s="1"/>
  <c r="AL150" i="11"/>
  <c r="AW150" i="11" s="1"/>
  <c r="AL152" i="11"/>
  <c r="AW152" i="11" s="1"/>
  <c r="AL153" i="11"/>
  <c r="AW153" i="11" s="1"/>
  <c r="AL154" i="11"/>
  <c r="AW154" i="11" s="1"/>
  <c r="AL155" i="11"/>
  <c r="AW155" i="11" s="1"/>
  <c r="AL158" i="11"/>
  <c r="AW158" i="11" s="1"/>
  <c r="AL159" i="11"/>
  <c r="AW159" i="11" s="1"/>
  <c r="AL160" i="11"/>
  <c r="AW160" i="11" s="1"/>
  <c r="AL161" i="11"/>
  <c r="AW161" i="11" s="1"/>
  <c r="AL162" i="11"/>
  <c r="AW162" i="11" s="1"/>
  <c r="V719" i="13" l="1"/>
  <c r="Y719" i="13"/>
  <c r="AB719" i="13"/>
  <c r="AI719" i="13"/>
  <c r="AJ719" i="13"/>
  <c r="BC719" i="13" s="1"/>
  <c r="V721" i="13"/>
  <c r="Y721" i="13"/>
  <c r="AB721" i="13"/>
  <c r="AJ721" i="13"/>
  <c r="BC721" i="13" s="1"/>
  <c r="AL718" i="13"/>
  <c r="AW718" i="13" s="1"/>
  <c r="AL720" i="13"/>
  <c r="AW720" i="13" s="1"/>
  <c r="V717" i="13"/>
  <c r="Y717" i="13"/>
  <c r="AB717" i="13"/>
  <c r="AJ717" i="13"/>
  <c r="V67" i="19"/>
  <c r="Y67" i="19"/>
  <c r="AB67" i="19"/>
  <c r="AI67" i="19"/>
  <c r="AJ67" i="19"/>
  <c r="V716" i="13"/>
  <c r="Y716" i="13"/>
  <c r="AB716" i="13"/>
  <c r="AJ716" i="13"/>
  <c r="AQ138" i="11"/>
  <c r="AP138" i="11"/>
  <c r="AL67" i="19" l="1"/>
  <c r="AL719" i="13"/>
  <c r="AW719" i="13" s="1"/>
  <c r="AL721" i="13"/>
  <c r="AW721" i="13" s="1"/>
  <c r="AL716" i="13"/>
  <c r="AW716" i="13" s="1"/>
  <c r="BC716" i="13"/>
  <c r="AL717" i="13"/>
  <c r="AW717" i="13" s="1"/>
  <c r="BC717" i="13"/>
  <c r="AW67" i="19"/>
  <c r="AQ137" i="11"/>
  <c r="AP137" i="11"/>
  <c r="AL715" i="13"/>
  <c r="AW715" i="13" s="1"/>
  <c r="AL714" i="13"/>
  <c r="AW714" i="13" s="1"/>
  <c r="AC217" i="14"/>
  <c r="BB217" i="14"/>
  <c r="AL713" i="13"/>
  <c r="AW713" i="13" s="1"/>
  <c r="AL712" i="13"/>
  <c r="V711" i="13"/>
  <c r="Y711" i="13"/>
  <c r="AB711" i="13"/>
  <c r="AJ711" i="13"/>
  <c r="AL710" i="13"/>
  <c r="AW710" i="13" s="1"/>
  <c r="BC701" i="13"/>
  <c r="BD701" i="13"/>
  <c r="BC702" i="13"/>
  <c r="BD702" i="13"/>
  <c r="BC703" i="13"/>
  <c r="BD703" i="13"/>
  <c r="BC704" i="13"/>
  <c r="BD704" i="13"/>
  <c r="BC705" i="13"/>
  <c r="BD705" i="13"/>
  <c r="BC706" i="13"/>
  <c r="BD706" i="13"/>
  <c r="BC707" i="13"/>
  <c r="BD707" i="13"/>
  <c r="BC708" i="13"/>
  <c r="BD708" i="13"/>
  <c r="BC709" i="13"/>
  <c r="BD709" i="13"/>
  <c r="AL709" i="13"/>
  <c r="AW709" i="13" s="1"/>
  <c r="AL708" i="13"/>
  <c r="AL707" i="13"/>
  <c r="AW707" i="13" s="1"/>
  <c r="AQ136" i="11"/>
  <c r="AP136" i="11"/>
  <c r="AI706" i="13"/>
  <c r="AL706" i="13" s="1"/>
  <c r="AW706" i="13" s="1"/>
  <c r="AL705" i="13"/>
  <c r="AW705" i="13" s="1"/>
  <c r="AQ135" i="11"/>
  <c r="AP135" i="11"/>
  <c r="AL704" i="13"/>
  <c r="AW704" i="13" s="1"/>
  <c r="AQ134" i="11"/>
  <c r="AP134" i="11"/>
  <c r="AL703" i="13"/>
  <c r="AW703" i="13" s="1"/>
  <c r="AL702" i="13"/>
  <c r="AW702" i="13" s="1"/>
  <c r="AQ133" i="11"/>
  <c r="AP133" i="11"/>
  <c r="AQ132" i="11"/>
  <c r="AP132" i="11"/>
  <c r="AL701" i="13"/>
  <c r="AQ131" i="11"/>
  <c r="AP131" i="11"/>
  <c r="BC697" i="13"/>
  <c r="BD697" i="13"/>
  <c r="BC698" i="13"/>
  <c r="BD698" i="13"/>
  <c r="BC700" i="13"/>
  <c r="BD700" i="13"/>
  <c r="AL700" i="13"/>
  <c r="AW700" i="13" s="1"/>
  <c r="AQ130" i="11"/>
  <c r="AP130" i="11"/>
  <c r="AQ129" i="11"/>
  <c r="AP129" i="11"/>
  <c r="BD217" i="14" l="1"/>
  <c r="BE217" i="14" s="1"/>
  <c r="AL711" i="13"/>
  <c r="AW711" i="13" s="1"/>
  <c r="AZ727" i="13" s="1"/>
  <c r="BA727" i="13" s="1"/>
  <c r="BC711" i="13"/>
  <c r="AW701" i="13"/>
  <c r="AZ709" i="13" s="1"/>
  <c r="BC696" i="13"/>
  <c r="BD696" i="13"/>
  <c r="BC689" i="13"/>
  <c r="BD689" i="13"/>
  <c r="BC690" i="13"/>
  <c r="BD690" i="13"/>
  <c r="BC691" i="13"/>
  <c r="BD691" i="13"/>
  <c r="BD693" i="13"/>
  <c r="BC694" i="13"/>
  <c r="BD694" i="13"/>
  <c r="BD695" i="13"/>
  <c r="AL699" i="13"/>
  <c r="AL66" i="19"/>
  <c r="AC78" i="15"/>
  <c r="BB78" i="15"/>
  <c r="V65" i="19"/>
  <c r="Y65" i="19"/>
  <c r="AB65" i="19"/>
  <c r="AI65" i="19"/>
  <c r="AJ65" i="19"/>
  <c r="AL698" i="13"/>
  <c r="AW698" i="13" s="1"/>
  <c r="AL697" i="13"/>
  <c r="AW697" i="13" s="1"/>
  <c r="AI696" i="13"/>
  <c r="AI54" i="11"/>
  <c r="AL65" i="19" l="1"/>
  <c r="AW65" i="19" s="1"/>
  <c r="AW66" i="19"/>
  <c r="BA709" i="13"/>
  <c r="BC699" i="13"/>
  <c r="BD699" i="13"/>
  <c r="AW699" i="13"/>
  <c r="AL696" i="13"/>
  <c r="AW696" i="13" s="1"/>
  <c r="AQ128" i="11"/>
  <c r="AP128" i="11"/>
  <c r="AL145" i="11"/>
  <c r="AW145" i="11" s="1"/>
  <c r="AL146" i="11"/>
  <c r="AW146" i="11" s="1"/>
  <c r="AL147" i="11"/>
  <c r="AW147" i="11" s="1"/>
  <c r="AL137" i="11"/>
  <c r="AW137" i="11" s="1"/>
  <c r="AL138" i="11"/>
  <c r="AW138" i="11" s="1"/>
  <c r="AL139" i="11"/>
  <c r="AW139" i="11" s="1"/>
  <c r="AL140" i="11"/>
  <c r="AW140" i="11" s="1"/>
  <c r="AL141" i="11"/>
  <c r="AW141" i="11" s="1"/>
  <c r="AL142" i="11"/>
  <c r="AW142" i="11" s="1"/>
  <c r="AL143" i="11"/>
  <c r="AW143" i="11" s="1"/>
  <c r="AL144" i="11"/>
  <c r="AW144" i="11" s="1"/>
  <c r="AJ695" i="13"/>
  <c r="AB695" i="13"/>
  <c r="Y695" i="13"/>
  <c r="V695" i="13"/>
  <c r="AL694" i="13"/>
  <c r="AP127" i="11"/>
  <c r="AQ126" i="11"/>
  <c r="AP126" i="11"/>
  <c r="V693" i="13"/>
  <c r="Y693" i="13"/>
  <c r="AB693" i="13"/>
  <c r="AJ693" i="13"/>
  <c r="V692" i="13"/>
  <c r="Y692" i="13"/>
  <c r="AB692" i="13"/>
  <c r="AL692" i="13"/>
  <c r="AQ125" i="11"/>
  <c r="AP125" i="11"/>
  <c r="AC216" i="14"/>
  <c r="BB216" i="14"/>
  <c r="BD216" i="14" s="1"/>
  <c r="BE216" i="14" s="1"/>
  <c r="AL691" i="13"/>
  <c r="AW691" i="13" s="1"/>
  <c r="AL132" i="11"/>
  <c r="AW132" i="11" s="1"/>
  <c r="AL133" i="11"/>
  <c r="AW133" i="11" s="1"/>
  <c r="AL134" i="11"/>
  <c r="AW134" i="11" s="1"/>
  <c r="AL135" i="11"/>
  <c r="AW135" i="11" s="1"/>
  <c r="AL136" i="11"/>
  <c r="AW136" i="11" s="1"/>
  <c r="AL690" i="13"/>
  <c r="AW690" i="13" s="1"/>
  <c r="AL689" i="13"/>
  <c r="AW689" i="13" s="1"/>
  <c r="BC678" i="13"/>
  <c r="BD678" i="13"/>
  <c r="BC679" i="13"/>
  <c r="BD679" i="13"/>
  <c r="BC680" i="13"/>
  <c r="BD680" i="13"/>
  <c r="BC681" i="13"/>
  <c r="BD681" i="13"/>
  <c r="BC682" i="13"/>
  <c r="BD682" i="13"/>
  <c r="BD683" i="13"/>
  <c r="BC684" i="13"/>
  <c r="BD684" i="13"/>
  <c r="BC685" i="13"/>
  <c r="BD685" i="13"/>
  <c r="BC686" i="13"/>
  <c r="BD686" i="13"/>
  <c r="BD687" i="13"/>
  <c r="BD688" i="13"/>
  <c r="AZ700" i="13" l="1"/>
  <c r="BA700" i="13" s="1"/>
  <c r="AL695" i="13"/>
  <c r="BC695" i="13"/>
  <c r="AL693" i="13"/>
  <c r="AW693" i="13" s="1"/>
  <c r="BC693" i="13"/>
  <c r="BD692" i="13"/>
  <c r="BC692" i="13"/>
  <c r="AW692" i="13"/>
  <c r="AQ124" i="11"/>
  <c r="AP124" i="11"/>
  <c r="AQ123" i="11"/>
  <c r="AP123" i="11"/>
  <c r="AQ122" i="11"/>
  <c r="AP122" i="11"/>
  <c r="AZ696" i="13" l="1"/>
  <c r="BA696" i="13" s="1"/>
  <c r="V688" i="13"/>
  <c r="Y688" i="13"/>
  <c r="AB688" i="13"/>
  <c r="AJ688" i="13"/>
  <c r="V687" i="13"/>
  <c r="Y687" i="13"/>
  <c r="AB687" i="13"/>
  <c r="AI687" i="13"/>
  <c r="AJ687" i="13"/>
  <c r="BC687" i="13" s="1"/>
  <c r="AL686" i="13"/>
  <c r="AL684" i="13"/>
  <c r="AW684" i="13" s="1"/>
  <c r="AL685" i="13"/>
  <c r="AW685" i="13" s="1"/>
  <c r="AQ120" i="11"/>
  <c r="AP120" i="11"/>
  <c r="AL687" i="13" l="1"/>
  <c r="AL688" i="13"/>
  <c r="BC688" i="13"/>
  <c r="V683" i="13" l="1"/>
  <c r="Y683" i="13"/>
  <c r="AB683" i="13"/>
  <c r="AI683" i="13"/>
  <c r="AJ683" i="13"/>
  <c r="AL682" i="13"/>
  <c r="AW682" i="13" s="1"/>
  <c r="AL681" i="13"/>
  <c r="AW681" i="13" s="1"/>
  <c r="AL680" i="13"/>
  <c r="AW680" i="13" s="1"/>
  <c r="BC615" i="13"/>
  <c r="BD615" i="13"/>
  <c r="BC616" i="13"/>
  <c r="BD616" i="13"/>
  <c r="BC617" i="13"/>
  <c r="BD617" i="13"/>
  <c r="BC618" i="13"/>
  <c r="BD618" i="13"/>
  <c r="BC619" i="13"/>
  <c r="BD619" i="13"/>
  <c r="BC620" i="13"/>
  <c r="BD620" i="13"/>
  <c r="BD621" i="13"/>
  <c r="BD622" i="13"/>
  <c r="BC623" i="13"/>
  <c r="BD623" i="13"/>
  <c r="BD624" i="13"/>
  <c r="BD625" i="13"/>
  <c r="BC626" i="13"/>
  <c r="BD626" i="13"/>
  <c r="BC627" i="13"/>
  <c r="BD627" i="13"/>
  <c r="BD628" i="13"/>
  <c r="BC629" i="13"/>
  <c r="BD629" i="13"/>
  <c r="BD630" i="13"/>
  <c r="BD631" i="13"/>
  <c r="BD632" i="13"/>
  <c r="BC633" i="13"/>
  <c r="BD633" i="13"/>
  <c r="BD634" i="13"/>
  <c r="BC635" i="13"/>
  <c r="BD635" i="13"/>
  <c r="BD636" i="13"/>
  <c r="BC637" i="13"/>
  <c r="BD637" i="13"/>
  <c r="BC638" i="13"/>
  <c r="BD638" i="13"/>
  <c r="BC639" i="13"/>
  <c r="BD639" i="13"/>
  <c r="BC640" i="13"/>
  <c r="BD640" i="13"/>
  <c r="BC641" i="13"/>
  <c r="BD641" i="13"/>
  <c r="BC642" i="13"/>
  <c r="BD642" i="13"/>
  <c r="BC643" i="13"/>
  <c r="BD643" i="13"/>
  <c r="BC644" i="13"/>
  <c r="BD644" i="13"/>
  <c r="BC645" i="13"/>
  <c r="BD645" i="13"/>
  <c r="BC646" i="13"/>
  <c r="BD646" i="13"/>
  <c r="BD647" i="13"/>
  <c r="BC648" i="13"/>
  <c r="BD648" i="13"/>
  <c r="BC649" i="13"/>
  <c r="BD649" i="13"/>
  <c r="BD650" i="13"/>
  <c r="BC651" i="13"/>
  <c r="BD651" i="13"/>
  <c r="BC652" i="13"/>
  <c r="BD652" i="13"/>
  <c r="BC653" i="13"/>
  <c r="BD653" i="13"/>
  <c r="BC654" i="13"/>
  <c r="BD654" i="13"/>
  <c r="BC655" i="13"/>
  <c r="BD655" i="13"/>
  <c r="BD656" i="13"/>
  <c r="BD657" i="13"/>
  <c r="BD658" i="13"/>
  <c r="BD659" i="13"/>
  <c r="BD660" i="13"/>
  <c r="BC661" i="13"/>
  <c r="BD661" i="13"/>
  <c r="BC662" i="13"/>
  <c r="BD662" i="13"/>
  <c r="BC663" i="13"/>
  <c r="BD663" i="13"/>
  <c r="BD665" i="13"/>
  <c r="BD666" i="13"/>
  <c r="BC667" i="13"/>
  <c r="BD667" i="13"/>
  <c r="BC668" i="13"/>
  <c r="BD668" i="13"/>
  <c r="BD669" i="13"/>
  <c r="BC670" i="13"/>
  <c r="BD670" i="13"/>
  <c r="BC671" i="13"/>
  <c r="BD671" i="13"/>
  <c r="BD672" i="13"/>
  <c r="BC673" i="13"/>
  <c r="BD673" i="13"/>
  <c r="BD674" i="13"/>
  <c r="BC675" i="13"/>
  <c r="BD675" i="13"/>
  <c r="BC676" i="13"/>
  <c r="BD676" i="13"/>
  <c r="BC677" i="13"/>
  <c r="BD677" i="13"/>
  <c r="BD614" i="13"/>
  <c r="BD612" i="13"/>
  <c r="BC608" i="13"/>
  <c r="BD607" i="13"/>
  <c r="BD597" i="13"/>
  <c r="BD596" i="13"/>
  <c r="BD595" i="13"/>
  <c r="BD593" i="13"/>
  <c r="BD592" i="13"/>
  <c r="BC590" i="13"/>
  <c r="BD534" i="13"/>
  <c r="BD527" i="13"/>
  <c r="BD526" i="13"/>
  <c r="BC525" i="13"/>
  <c r="BD525" i="13"/>
  <c r="BD517" i="13"/>
  <c r="BD509" i="13"/>
  <c r="BD498" i="13"/>
  <c r="BD497" i="13"/>
  <c r="BD496" i="13"/>
  <c r="BD495" i="13"/>
  <c r="BD494" i="13"/>
  <c r="BD493" i="13"/>
  <c r="BD492" i="13"/>
  <c r="BD491" i="13"/>
  <c r="BD490" i="13"/>
  <c r="BD489" i="13"/>
  <c r="BD488" i="13"/>
  <c r="BD487" i="13"/>
  <c r="BD486" i="13"/>
  <c r="BD485" i="13"/>
  <c r="BD484" i="13"/>
  <c r="BD482" i="13"/>
  <c r="BD481" i="13"/>
  <c r="BD480" i="13"/>
  <c r="BD479" i="13"/>
  <c r="BD477" i="13"/>
  <c r="BD476" i="13"/>
  <c r="BD475" i="13"/>
  <c r="BD474" i="13"/>
  <c r="BD473" i="13"/>
  <c r="BD471" i="13"/>
  <c r="BD470" i="13"/>
  <c r="BD469" i="13"/>
  <c r="BD467" i="13"/>
  <c r="BD466" i="13"/>
  <c r="BD465" i="13"/>
  <c r="BD464" i="13"/>
  <c r="BD463" i="13"/>
  <c r="BD462" i="13"/>
  <c r="BD460" i="13"/>
  <c r="BD458" i="13"/>
  <c r="BD457" i="13"/>
  <c r="BD455" i="13"/>
  <c r="BD454" i="13"/>
  <c r="BD453" i="13"/>
  <c r="BD452" i="13"/>
  <c r="BD451" i="13"/>
  <c r="BC451" i="13"/>
  <c r="AL679" i="13"/>
  <c r="AW679" i="13" s="1"/>
  <c r="AL683" i="13" l="1"/>
  <c r="AW683" i="13" s="1"/>
  <c r="AZ688" i="13" s="1"/>
  <c r="BC683" i="13"/>
  <c r="AL678" i="13"/>
  <c r="AW678" i="13" s="1"/>
  <c r="AL677" i="13" l="1"/>
  <c r="AL676" i="13"/>
  <c r="AW676" i="13" s="1"/>
  <c r="BA688" i="13" s="1"/>
  <c r="AQ119" i="11"/>
  <c r="AP119" i="11"/>
  <c r="AL675" i="13"/>
  <c r="AJ674" i="13"/>
  <c r="AB674" i="13"/>
  <c r="Y674" i="13"/>
  <c r="V674" i="13"/>
  <c r="AQ118" i="11"/>
  <c r="AP118" i="11"/>
  <c r="AQ117" i="11"/>
  <c r="AP117" i="11"/>
  <c r="AL673" i="13"/>
  <c r="AL674" i="13" l="1"/>
  <c r="BC674" i="13"/>
  <c r="AW673" i="13"/>
  <c r="V672" i="13"/>
  <c r="Y672" i="13"/>
  <c r="AB672" i="13"/>
  <c r="AI672" i="13"/>
  <c r="AJ672" i="13"/>
  <c r="BC672" i="13" s="1"/>
  <c r="AL670" i="13"/>
  <c r="AW670" i="13" s="1"/>
  <c r="AZ678" i="13" l="1"/>
  <c r="BA678" i="13" s="1"/>
  <c r="AL672" i="13"/>
  <c r="AW672" i="13" s="1"/>
  <c r="V660" i="13"/>
  <c r="Y660" i="13"/>
  <c r="AB660" i="13"/>
  <c r="AJ660" i="13"/>
  <c r="BC660" i="13" s="1"/>
  <c r="AL671" i="13"/>
  <c r="AW671" i="13" s="1"/>
  <c r="AQ116" i="11"/>
  <c r="AP116" i="11"/>
  <c r="V669" i="13"/>
  <c r="Y669" i="13"/>
  <c r="AB669" i="13"/>
  <c r="AJ669" i="13"/>
  <c r="BC669" i="13" s="1"/>
  <c r="AQ115" i="11"/>
  <c r="AP115" i="11"/>
  <c r="AL668" i="13"/>
  <c r="AW668" i="13" s="1"/>
  <c r="V666" i="13"/>
  <c r="Y666" i="13"/>
  <c r="AB666" i="13"/>
  <c r="AJ666" i="13"/>
  <c r="BC666" i="13" s="1"/>
  <c r="AL669" i="13" l="1"/>
  <c r="AW669" i="13" s="1"/>
  <c r="AL660" i="13"/>
  <c r="AW660" i="13" s="1"/>
  <c r="AL666" i="13"/>
  <c r="AW666" i="13" s="1"/>
  <c r="V665" i="13"/>
  <c r="Y665" i="13"/>
  <c r="AB665" i="13"/>
  <c r="AJ665" i="13"/>
  <c r="BC665" i="13" s="1"/>
  <c r="AL665" i="13" l="1"/>
  <c r="AW665" i="13" s="1"/>
  <c r="AQ114" i="11"/>
  <c r="AP114" i="11"/>
  <c r="AQ113" i="11"/>
  <c r="AP113" i="11"/>
  <c r="V664" i="13"/>
  <c r="Y664" i="13"/>
  <c r="AB664" i="13"/>
  <c r="AJ664" i="13"/>
  <c r="BD664" i="13"/>
  <c r="BC664" i="13" l="1"/>
  <c r="AL664" i="13"/>
  <c r="AW664" i="13" s="1"/>
  <c r="AL663" i="13"/>
  <c r="AW663" i="13" s="1"/>
  <c r="AL662" i="13" l="1"/>
  <c r="AW662" i="13" s="1"/>
  <c r="AL661" i="13"/>
  <c r="V659" i="13"/>
  <c r="Y659" i="13"/>
  <c r="AB659" i="13"/>
  <c r="AJ659" i="13"/>
  <c r="BC659" i="13" s="1"/>
  <c r="V658" i="13"/>
  <c r="Y658" i="13"/>
  <c r="AB658" i="13"/>
  <c r="AI658" i="13"/>
  <c r="AJ658" i="13"/>
  <c r="BC658" i="13" s="1"/>
  <c r="AJ657" i="13"/>
  <c r="BC657" i="13" s="1"/>
  <c r="AB657" i="13"/>
  <c r="Y657" i="13"/>
  <c r="V657" i="13"/>
  <c r="AL657" i="13" l="1"/>
  <c r="AL659" i="13"/>
  <c r="AW659" i="13" s="1"/>
  <c r="AL658" i="13"/>
  <c r="AW658" i="13" s="1"/>
  <c r="V656" i="13"/>
  <c r="Y656" i="13"/>
  <c r="AB656" i="13"/>
  <c r="AJ656" i="13"/>
  <c r="BC656" i="13" s="1"/>
  <c r="AL656" i="13" l="1"/>
  <c r="AW656" i="13" s="1"/>
  <c r="AL655" i="13"/>
  <c r="AW655" i="13" s="1"/>
  <c r="AL654" i="13" l="1"/>
  <c r="AW654" i="13" s="1"/>
  <c r="AQ112" i="11" l="1"/>
  <c r="AP112" i="11"/>
  <c r="AL653" i="13" l="1"/>
  <c r="AC77" i="15" l="1"/>
  <c r="BB77" i="15"/>
  <c r="AL652" i="13" l="1"/>
  <c r="AW652" i="13" s="1"/>
  <c r="AL651" i="13"/>
  <c r="AW651" i="13" s="1"/>
  <c r="V650" i="13" l="1"/>
  <c r="Y650" i="13"/>
  <c r="AB650" i="13"/>
  <c r="AJ650" i="13"/>
  <c r="BC650" i="13" s="1"/>
  <c r="AL650" i="13" l="1"/>
  <c r="AW650" i="13" s="1"/>
  <c r="AL649" i="13"/>
  <c r="AW649" i="13" s="1"/>
  <c r="AZ672" i="13" l="1"/>
  <c r="BA672" i="13" s="1"/>
  <c r="AQ111" i="11"/>
  <c r="AP111" i="11"/>
  <c r="AL648" i="13" l="1"/>
  <c r="AW648" i="13" s="1"/>
  <c r="T647" i="13" l="1"/>
  <c r="V647" i="13" s="1"/>
  <c r="W647" i="13"/>
  <c r="Y647" i="13" s="1"/>
  <c r="AB647" i="13"/>
  <c r="AI647" i="13"/>
  <c r="AJ647" i="13"/>
  <c r="BC647" i="13" s="1"/>
  <c r="AL647" i="13" l="1"/>
  <c r="AW647" i="13" s="1"/>
  <c r="AL646" i="13" l="1"/>
  <c r="AW646" i="13" l="1"/>
  <c r="AL644" i="13"/>
  <c r="AQ110" i="11"/>
  <c r="AP110" i="11"/>
  <c r="AL645" i="13" l="1"/>
  <c r="AW645" i="13" s="1"/>
  <c r="AL643" i="13" l="1"/>
  <c r="AW643" i="13" s="1"/>
  <c r="AL642" i="13"/>
  <c r="AW642" i="13" s="1"/>
  <c r="AL641" i="13" l="1"/>
  <c r="AL640" i="13" l="1"/>
  <c r="AW640" i="13" s="1"/>
  <c r="AQ109" i="11" l="1"/>
  <c r="AP109" i="11"/>
  <c r="AL639" i="13" l="1"/>
  <c r="AW639" i="13" s="1"/>
  <c r="AQ59" i="11"/>
  <c r="AP59" i="11"/>
  <c r="AL638" i="13" l="1"/>
  <c r="AW638" i="13" s="1"/>
  <c r="AL637" i="13" l="1"/>
  <c r="AW637" i="13" s="1"/>
  <c r="V64" i="19" l="1"/>
  <c r="Y64" i="19"/>
  <c r="AB64" i="19"/>
  <c r="AE64" i="19"/>
  <c r="AH64" i="19"/>
  <c r="AI64" i="19"/>
  <c r="AJ64" i="19"/>
  <c r="AL64" i="19" l="1"/>
  <c r="AW64" i="19" s="1"/>
  <c r="AJ636" i="13"/>
  <c r="BC636" i="13" s="1"/>
  <c r="AB636" i="13"/>
  <c r="Y636" i="13"/>
  <c r="V636" i="13"/>
  <c r="AL636" i="13" l="1"/>
  <c r="AC215" i="14"/>
  <c r="BB215" i="14"/>
  <c r="BD215" i="14" s="1"/>
  <c r="BE215" i="14" s="1"/>
  <c r="AL635" i="13" l="1"/>
  <c r="AW635" i="13" s="1"/>
  <c r="AZ648" i="13" s="1"/>
  <c r="BA648" i="13" s="1"/>
  <c r="AQ108" i="11" l="1"/>
  <c r="AP108" i="11"/>
  <c r="V634" i="13"/>
  <c r="Y634" i="13"/>
  <c r="AB634" i="13"/>
  <c r="AI634" i="13"/>
  <c r="AJ634" i="13"/>
  <c r="BC634" i="13" s="1"/>
  <c r="AL634" i="13" l="1"/>
  <c r="AW634" i="13" s="1"/>
  <c r="AL633" i="13"/>
  <c r="AW633" i="13" s="1"/>
  <c r="AI632" i="13" l="1"/>
  <c r="V632" i="13"/>
  <c r="Y632" i="13"/>
  <c r="AB632" i="13"/>
  <c r="AJ632" i="13"/>
  <c r="BC632" i="13" s="1"/>
  <c r="AL632" i="13" l="1"/>
  <c r="AW632" i="13" s="1"/>
  <c r="AJ631" i="13" l="1"/>
  <c r="BC631" i="13" s="1"/>
  <c r="AB631" i="13"/>
  <c r="Y631" i="13"/>
  <c r="V631" i="13"/>
  <c r="V630" i="13"/>
  <c r="Y630" i="13"/>
  <c r="AB630" i="13"/>
  <c r="AI630" i="13"/>
  <c r="AJ630" i="13"/>
  <c r="BC630" i="13" s="1"/>
  <c r="AL631" i="13" l="1"/>
  <c r="AL630" i="13"/>
  <c r="AW630" i="13" s="1"/>
  <c r="AL629" i="13" l="1"/>
  <c r="AW629" i="13" l="1"/>
  <c r="AQ107" i="11"/>
  <c r="AP107" i="11"/>
  <c r="AQ106" i="11" l="1"/>
  <c r="AP106" i="11"/>
  <c r="V628" i="13" l="1"/>
  <c r="Y628" i="13"/>
  <c r="AB628" i="13"/>
  <c r="AI628" i="13"/>
  <c r="AJ628" i="13"/>
  <c r="BC628" i="13" s="1"/>
  <c r="AL628" i="13" l="1"/>
  <c r="AW628" i="13" s="1"/>
  <c r="AJ625" i="13" l="1"/>
  <c r="BC625" i="13" s="1"/>
  <c r="AB625" i="13"/>
  <c r="Y625" i="13"/>
  <c r="V625" i="13"/>
  <c r="AL625" i="13" l="1"/>
  <c r="AW625" i="13" s="1"/>
  <c r="AL627" i="13" l="1"/>
  <c r="AW627" i="13" s="1"/>
  <c r="AZ634" i="13" s="1"/>
  <c r="BA634" i="13" l="1"/>
  <c r="AL626" i="13"/>
  <c r="AW626" i="13" s="1"/>
  <c r="AQ105" i="11"/>
  <c r="AP105" i="11"/>
  <c r="V624" i="13" l="1"/>
  <c r="Y624" i="13"/>
  <c r="AB624" i="13"/>
  <c r="AI624" i="13"/>
  <c r="AJ624" i="13"/>
  <c r="BC624" i="13" s="1"/>
  <c r="AL623" i="13"/>
  <c r="AL624" i="13" l="1"/>
  <c r="AW624" i="13" s="1"/>
  <c r="AL129" i="11"/>
  <c r="AW129" i="11" s="1"/>
  <c r="AL130" i="11"/>
  <c r="AW130" i="11" s="1"/>
  <c r="AL131" i="11"/>
  <c r="AW131" i="11" s="1"/>
  <c r="AL119" i="11"/>
  <c r="AW119" i="11" s="1"/>
  <c r="AL120" i="11"/>
  <c r="AW120" i="11" s="1"/>
  <c r="AL122" i="11"/>
  <c r="AW122" i="11" s="1"/>
  <c r="AL123" i="11"/>
  <c r="AW123" i="11" s="1"/>
  <c r="AL124" i="11"/>
  <c r="AW124" i="11" s="1"/>
  <c r="AL125" i="11"/>
  <c r="AW125" i="11" s="1"/>
  <c r="AL126" i="11"/>
  <c r="AW126" i="11" s="1"/>
  <c r="AL127" i="11"/>
  <c r="AW127" i="11" s="1"/>
  <c r="AL128" i="11"/>
  <c r="AW128" i="11" s="1"/>
  <c r="AL63" i="19"/>
  <c r="AW63" i="19" s="1"/>
  <c r="V622" i="13"/>
  <c r="Y622" i="13"/>
  <c r="AB622" i="13"/>
  <c r="AI622" i="13"/>
  <c r="AJ622" i="13"/>
  <c r="BC622" i="13" s="1"/>
  <c r="AL622" i="13" l="1"/>
  <c r="AW622" i="13" s="1"/>
  <c r="AJ621" i="13"/>
  <c r="BC621" i="13" s="1"/>
  <c r="AB621" i="13"/>
  <c r="Y621" i="13"/>
  <c r="V621" i="13"/>
  <c r="AL621" i="13" l="1"/>
  <c r="AL620" i="13"/>
  <c r="AW620" i="13" s="1"/>
  <c r="AJ62" i="19"/>
  <c r="AI62" i="19"/>
  <c r="AB62" i="19"/>
  <c r="Y62" i="19"/>
  <c r="V62" i="19"/>
  <c r="AL62" i="19" l="1"/>
  <c r="AW62" i="19" s="1"/>
  <c r="AQ104" i="11"/>
  <c r="AP104" i="11"/>
  <c r="AL104" i="11"/>
  <c r="AW104" i="11" l="1"/>
  <c r="AL619" i="13"/>
  <c r="AW619" i="13" s="1"/>
  <c r="AL618" i="13" l="1"/>
  <c r="AW618" i="13" s="1"/>
  <c r="AZ626" i="13" s="1"/>
  <c r="BD613" i="13"/>
  <c r="BC614" i="13"/>
  <c r="AL617" i="13"/>
  <c r="AW617" i="13" s="1"/>
  <c r="BA626" i="13" l="1"/>
  <c r="AL616" i="13"/>
  <c r="AW616" i="13" s="1"/>
  <c r="BB214" i="14"/>
  <c r="BD214" i="14" s="1"/>
  <c r="BE214" i="14" s="1"/>
  <c r="AC214" i="14"/>
  <c r="AI102" i="11" l="1"/>
  <c r="AQ102" i="11"/>
  <c r="AP102" i="11"/>
  <c r="AQ101" i="11"/>
  <c r="AP101" i="11"/>
  <c r="AL615" i="13" l="1"/>
  <c r="AW615" i="13" s="1"/>
  <c r="AL614" i="13" l="1"/>
  <c r="AQ100" i="11"/>
  <c r="AP100" i="11"/>
  <c r="V613" i="13"/>
  <c r="Y613" i="13"/>
  <c r="AB613" i="13"/>
  <c r="AI613" i="13"/>
  <c r="AJ613" i="13"/>
  <c r="BC613" i="13" s="1"/>
  <c r="BC605" i="13"/>
  <c r="BD605" i="13"/>
  <c r="BD606" i="13"/>
  <c r="BD608" i="13"/>
  <c r="BD611" i="13"/>
  <c r="AA213" i="14"/>
  <c r="AC213" i="14" s="1"/>
  <c r="BB213" i="14"/>
  <c r="BD213" i="14" s="1"/>
  <c r="BE213" i="14" s="1"/>
  <c r="AJ611" i="13"/>
  <c r="AL611" i="13" s="1"/>
  <c r="AB611" i="13"/>
  <c r="Y611" i="13"/>
  <c r="V611" i="13"/>
  <c r="AL612" i="13"/>
  <c r="BC612" i="13"/>
  <c r="V610" i="13"/>
  <c r="Y610" i="13"/>
  <c r="AB610" i="13"/>
  <c r="AI610" i="13"/>
  <c r="AJ610" i="13"/>
  <c r="BD610" i="13"/>
  <c r="V609" i="13"/>
  <c r="Y609" i="13"/>
  <c r="AB609" i="13"/>
  <c r="AI609" i="13"/>
  <c r="AJ609" i="13"/>
  <c r="BD609" i="13"/>
  <c r="AJ61" i="19"/>
  <c r="AI61" i="19"/>
  <c r="AB61" i="19"/>
  <c r="Y61" i="19"/>
  <c r="V61" i="19"/>
  <c r="AL608" i="13"/>
  <c r="AL613" i="13" l="1"/>
  <c r="AW613" i="13" s="1"/>
  <c r="AZ617" i="13" s="1"/>
  <c r="AL609" i="13"/>
  <c r="AW609" i="13" s="1"/>
  <c r="AL61" i="19"/>
  <c r="AW61" i="19" s="1"/>
  <c r="AW612" i="13"/>
  <c r="BC610" i="13"/>
  <c r="BC609" i="13"/>
  <c r="BC611" i="13"/>
  <c r="AL610" i="13"/>
  <c r="AW610" i="13" s="1"/>
  <c r="AQ99" i="11"/>
  <c r="AP99" i="11"/>
  <c r="BA617" i="13" l="1"/>
  <c r="AL607" i="13"/>
  <c r="BC607" i="13" l="1"/>
  <c r="AW607" i="13"/>
  <c r="V606" i="13"/>
  <c r="Y606" i="13"/>
  <c r="AB606" i="13"/>
  <c r="AI606" i="13"/>
  <c r="AJ606" i="13"/>
  <c r="BC606" i="13" s="1"/>
  <c r="AQ98" i="11"/>
  <c r="AP98" i="11"/>
  <c r="AL606" i="13" l="1"/>
  <c r="AW606" i="13" s="1"/>
  <c r="AL605" i="13"/>
  <c r="AW605" i="13" s="1"/>
  <c r="BC592" i="13" l="1"/>
  <c r="BC594" i="13"/>
  <c r="BD594" i="13"/>
  <c r="BC597" i="13"/>
  <c r="BD598" i="13"/>
  <c r="BC599" i="13"/>
  <c r="BD599" i="13"/>
  <c r="BC600" i="13"/>
  <c r="BD600" i="13"/>
  <c r="BD602" i="13"/>
  <c r="BD603" i="13"/>
  <c r="BD604" i="13"/>
  <c r="AP23" i="11"/>
  <c r="AQ23" i="11"/>
  <c r="AL604" i="13" l="1"/>
  <c r="AI603" i="13"/>
  <c r="V604" i="13"/>
  <c r="Y604" i="13"/>
  <c r="AB604" i="13"/>
  <c r="AI604" i="13"/>
  <c r="AJ604" i="13"/>
  <c r="BC604" i="13" s="1"/>
  <c r="V603" i="13"/>
  <c r="Y603" i="13"/>
  <c r="AB603" i="13"/>
  <c r="AJ603" i="13"/>
  <c r="BC603" i="13" s="1"/>
  <c r="V602" i="13"/>
  <c r="Y602" i="13"/>
  <c r="AB602" i="13"/>
  <c r="AI602" i="13"/>
  <c r="AJ602" i="13"/>
  <c r="BC602" i="13" s="1"/>
  <c r="AL60" i="19"/>
  <c r="AW60" i="19" s="1"/>
  <c r="AL601" i="13"/>
  <c r="AL600" i="13"/>
  <c r="AL599" i="13"/>
  <c r="AW599" i="13" s="1"/>
  <c r="V598" i="13"/>
  <c r="Y598" i="13"/>
  <c r="AB598" i="13"/>
  <c r="AJ598" i="13"/>
  <c r="AL597" i="13"/>
  <c r="AW597" i="13" s="1"/>
  <c r="AJ596" i="13"/>
  <c r="BC596" i="13" s="1"/>
  <c r="AI596" i="13"/>
  <c r="AB596" i="13"/>
  <c r="Y596" i="13"/>
  <c r="V596" i="13"/>
  <c r="AQ97" i="11"/>
  <c r="AP97" i="11"/>
  <c r="AL598" i="13" l="1"/>
  <c r="BC598" i="13"/>
  <c r="BC601" i="13"/>
  <c r="BD601" i="13"/>
  <c r="BH727" i="13" s="1"/>
  <c r="AL603" i="13"/>
  <c r="AL602" i="13"/>
  <c r="AW601" i="13"/>
  <c r="AW600" i="13"/>
  <c r="AL596" i="13"/>
  <c r="AW596" i="13" s="1"/>
  <c r="V595" i="13"/>
  <c r="Y595" i="13"/>
  <c r="AB595" i="13"/>
  <c r="AI595" i="13"/>
  <c r="AJ595" i="13"/>
  <c r="BC595" i="13" s="1"/>
  <c r="AL594" i="13"/>
  <c r="AW594" i="13" s="1"/>
  <c r="V593" i="13"/>
  <c r="Y593" i="13"/>
  <c r="AB593" i="13"/>
  <c r="AJ593" i="13"/>
  <c r="AL593" i="13" l="1"/>
  <c r="AW593" i="13" s="1"/>
  <c r="BC593" i="13"/>
  <c r="BG727" i="13" s="1"/>
  <c r="AL595" i="13"/>
  <c r="AW595" i="13" s="1"/>
  <c r="AZ612" i="13" l="1"/>
  <c r="BA612" i="13" s="1"/>
  <c r="BF727" i="13" s="1"/>
  <c r="BI212" i="14"/>
  <c r="BH212" i="14"/>
  <c r="BC558" i="13"/>
  <c r="BD558" i="13"/>
  <c r="BD559" i="13"/>
  <c r="BD560" i="13"/>
  <c r="BC561" i="13"/>
  <c r="BD561" i="13"/>
  <c r="BD562" i="13"/>
  <c r="BC563" i="13"/>
  <c r="BD563" i="13"/>
  <c r="BC564" i="13"/>
  <c r="BD564" i="13"/>
  <c r="BD565" i="13"/>
  <c r="BD566" i="13"/>
  <c r="BD567" i="13"/>
  <c r="BC568" i="13"/>
  <c r="BD568" i="13"/>
  <c r="BD569" i="13"/>
  <c r="BD570" i="13"/>
  <c r="BD571" i="13"/>
  <c r="BD572" i="13"/>
  <c r="BC573" i="13"/>
  <c r="BD573" i="13"/>
  <c r="BC574" i="13"/>
  <c r="BD574" i="13"/>
  <c r="BD575" i="13"/>
  <c r="BC576" i="13"/>
  <c r="BD576" i="13"/>
  <c r="BC577" i="13"/>
  <c r="BD577" i="13"/>
  <c r="BC578" i="13"/>
  <c r="BD578" i="13"/>
  <c r="BC579" i="13"/>
  <c r="BD579" i="13"/>
  <c r="BC580" i="13"/>
  <c r="BD580" i="13"/>
  <c r="BD581" i="13"/>
  <c r="BD582" i="13"/>
  <c r="BD583" i="13"/>
  <c r="BC584" i="13"/>
  <c r="BD584" i="13"/>
  <c r="BD585" i="13"/>
  <c r="BD586" i="13"/>
  <c r="BD587" i="13"/>
  <c r="BC588" i="13"/>
  <c r="BD588" i="13"/>
  <c r="BD589" i="13"/>
  <c r="BD590" i="13"/>
  <c r="BD591" i="13"/>
  <c r="AL592" i="13"/>
  <c r="AW592" i="13" s="1"/>
  <c r="AL590" i="13" l="1"/>
  <c r="AW590" i="13" s="1"/>
  <c r="AL588" i="13"/>
  <c r="AW588" i="13" s="1"/>
  <c r="AQ75" i="11"/>
  <c r="AP75" i="11"/>
  <c r="BB212" i="14"/>
  <c r="V591" i="13"/>
  <c r="Y591" i="13"/>
  <c r="AB591" i="13"/>
  <c r="AI591" i="13"/>
  <c r="AJ591" i="13"/>
  <c r="BC591" i="13" s="1"/>
  <c r="V587" i="13"/>
  <c r="Y587" i="13"/>
  <c r="AB587" i="13"/>
  <c r="AJ587" i="13"/>
  <c r="V589" i="13"/>
  <c r="Y589" i="13"/>
  <c r="AB589" i="13"/>
  <c r="AI589" i="13"/>
  <c r="AJ589" i="13"/>
  <c r="BC589" i="13" s="1"/>
  <c r="AQ96" i="11"/>
  <c r="AP96" i="11"/>
  <c r="AL587" i="13" l="1"/>
  <c r="AW587" i="13" s="1"/>
  <c r="BC587" i="13"/>
  <c r="AL591" i="13"/>
  <c r="AW591" i="13" s="1"/>
  <c r="AL589" i="13"/>
  <c r="AW589" i="13" s="1"/>
  <c r="V585" i="13" l="1"/>
  <c r="Y585" i="13"/>
  <c r="AB585" i="13"/>
  <c r="AI585" i="13"/>
  <c r="AJ585" i="13"/>
  <c r="BC585" i="13" s="1"/>
  <c r="AC211" i="14"/>
  <c r="BB211" i="14"/>
  <c r="AL584" i="13"/>
  <c r="AW584" i="13" s="1"/>
  <c r="V583" i="13"/>
  <c r="Y583" i="13"/>
  <c r="AB583" i="13"/>
  <c r="AJ583" i="13"/>
  <c r="AL583" i="13" l="1"/>
  <c r="AW583" i="13" s="1"/>
  <c r="BC583" i="13"/>
  <c r="AL585" i="13"/>
  <c r="AW585" i="13" s="1"/>
  <c r="V582" i="13"/>
  <c r="Y582" i="13"/>
  <c r="AB582" i="13"/>
  <c r="AI582" i="13"/>
  <c r="AJ582" i="13"/>
  <c r="BC582" i="13" s="1"/>
  <c r="AL93" i="11"/>
  <c r="AW93" i="11" s="1"/>
  <c r="AQ95" i="11"/>
  <c r="AP95" i="11"/>
  <c r="AL582" i="13" l="1"/>
  <c r="AW582" i="13" s="1"/>
  <c r="V581" i="13"/>
  <c r="Y581" i="13"/>
  <c r="AB581" i="13"/>
  <c r="AI581" i="13"/>
  <c r="AJ581" i="13"/>
  <c r="BC581" i="13" s="1"/>
  <c r="AL580" i="13"/>
  <c r="AW580" i="13" s="1"/>
  <c r="AL579" i="13"/>
  <c r="AW579" i="13" s="1"/>
  <c r="AL581" i="13" l="1"/>
  <c r="AW581" i="13" s="1"/>
  <c r="AC71" i="15"/>
  <c r="BB71" i="15"/>
  <c r="V59" i="19" l="1"/>
  <c r="Y59" i="19"/>
  <c r="AB59" i="19"/>
  <c r="AE59" i="19"/>
  <c r="AH59" i="19"/>
  <c r="AI59" i="19"/>
  <c r="AJ59" i="19"/>
  <c r="AL58" i="19"/>
  <c r="AW58" i="19" s="1"/>
  <c r="AL57" i="19"/>
  <c r="AW57" i="19" s="1"/>
  <c r="AL56" i="19"/>
  <c r="AW56" i="19" s="1"/>
  <c r="AL59" i="19" l="1"/>
  <c r="AW59" i="19" s="1"/>
  <c r="AL578" i="13"/>
  <c r="AW578" i="13" s="1"/>
  <c r="AL577" i="13" l="1"/>
  <c r="AW577" i="13" s="1"/>
  <c r="AL576" i="13"/>
  <c r="AW576" i="13" s="1"/>
  <c r="AL573" i="13" l="1"/>
  <c r="AW573" i="13" s="1"/>
  <c r="V575" i="13" l="1"/>
  <c r="Y575" i="13"/>
  <c r="AB575" i="13"/>
  <c r="AI575" i="13"/>
  <c r="AJ575" i="13"/>
  <c r="BC575" i="13" s="1"/>
  <c r="AL575" i="13" l="1"/>
  <c r="AW575" i="13" s="1"/>
  <c r="AL574" i="13"/>
  <c r="AW574" i="13" s="1"/>
  <c r="V571" i="13" l="1"/>
  <c r="Y571" i="13"/>
  <c r="AB571" i="13"/>
  <c r="AI571" i="13"/>
  <c r="AJ571" i="13"/>
  <c r="BC571" i="13" s="1"/>
  <c r="V570" i="13"/>
  <c r="Y570" i="13"/>
  <c r="AB570" i="13"/>
  <c r="AJ570" i="13"/>
  <c r="V569" i="13"/>
  <c r="Y569" i="13"/>
  <c r="AB569" i="13"/>
  <c r="AJ569" i="13"/>
  <c r="AL568" i="13"/>
  <c r="AW568" i="13" s="1"/>
  <c r="V572" i="13"/>
  <c r="Y572" i="13"/>
  <c r="AB572" i="13"/>
  <c r="AJ572" i="13"/>
  <c r="V567" i="13"/>
  <c r="Y567" i="13"/>
  <c r="AB567" i="13"/>
  <c r="AJ567" i="13"/>
  <c r="V586" i="13"/>
  <c r="Y586" i="13"/>
  <c r="AB586" i="13"/>
  <c r="AI586" i="13"/>
  <c r="AJ586" i="13"/>
  <c r="BC586" i="13" s="1"/>
  <c r="V566" i="13"/>
  <c r="Y566" i="13"/>
  <c r="AB566" i="13"/>
  <c r="AI566" i="13"/>
  <c r="AJ566" i="13"/>
  <c r="BC566" i="13" s="1"/>
  <c r="AL569" i="13" l="1"/>
  <c r="AW569" i="13" s="1"/>
  <c r="BC569" i="13"/>
  <c r="AL572" i="13"/>
  <c r="AW572" i="13" s="1"/>
  <c r="BC572" i="13"/>
  <c r="AL567" i="13"/>
  <c r="AW567" i="13" s="1"/>
  <c r="BC567" i="13"/>
  <c r="AL570" i="13"/>
  <c r="AW570" i="13" s="1"/>
  <c r="BC570" i="13"/>
  <c r="AL571" i="13"/>
  <c r="AW571" i="13" s="1"/>
  <c r="AL586" i="13"/>
  <c r="AW586" i="13" s="1"/>
  <c r="AL566" i="13"/>
  <c r="AW566" i="13" s="1"/>
  <c r="V565" i="13"/>
  <c r="Y565" i="13"/>
  <c r="AB565" i="13"/>
  <c r="AI565" i="13"/>
  <c r="AJ565" i="13"/>
  <c r="BC565" i="13" s="1"/>
  <c r="AL564" i="13"/>
  <c r="AW564" i="13" s="1"/>
  <c r="AL565" i="13" l="1"/>
  <c r="AW565" i="13" s="1"/>
  <c r="AJ562" i="13"/>
  <c r="AB562" i="13"/>
  <c r="Y562" i="13"/>
  <c r="V562" i="13"/>
  <c r="AL563" i="13"/>
  <c r="AW563" i="13" s="1"/>
  <c r="AQ94" i="11"/>
  <c r="AP94" i="11"/>
  <c r="AL561" i="13"/>
  <c r="AW561" i="13" s="1"/>
  <c r="AL562" i="13" l="1"/>
  <c r="BC562" i="13"/>
  <c r="AJ560" i="13"/>
  <c r="AB560" i="13"/>
  <c r="Y560" i="13"/>
  <c r="V560" i="13"/>
  <c r="V559" i="13"/>
  <c r="Y559" i="13"/>
  <c r="AB559" i="13"/>
  <c r="AI559" i="13"/>
  <c r="AJ559" i="13"/>
  <c r="BC559" i="13" s="1"/>
  <c r="AC210" i="14"/>
  <c r="BB210" i="14"/>
  <c r="BB209" i="14"/>
  <c r="AL558" i="13"/>
  <c r="AW558" i="13" s="1"/>
  <c r="BC556" i="13"/>
  <c r="BD556" i="13"/>
  <c r="BC557" i="13"/>
  <c r="BD557" i="13"/>
  <c r="BD212" i="14" l="1"/>
  <c r="BE212" i="14" s="1"/>
  <c r="AL560" i="13"/>
  <c r="BC560" i="13"/>
  <c r="AL559" i="13"/>
  <c r="AW559" i="13" s="1"/>
  <c r="AL557" i="13"/>
  <c r="AW557" i="13" s="1"/>
  <c r="AL556" i="13"/>
  <c r="AW556" i="13" s="1"/>
  <c r="BC542" i="13"/>
  <c r="BD542" i="13"/>
  <c r="BD544" i="13"/>
  <c r="BC545" i="13"/>
  <c r="BD545" i="13"/>
  <c r="BC546" i="13"/>
  <c r="BD546" i="13"/>
  <c r="BD547" i="13"/>
  <c r="BD548" i="13"/>
  <c r="BD549" i="13"/>
  <c r="BD550" i="13"/>
  <c r="BD551" i="13"/>
  <c r="BC552" i="13"/>
  <c r="BD552" i="13"/>
  <c r="BD553" i="13"/>
  <c r="BC554" i="13"/>
  <c r="BD554" i="13"/>
  <c r="AZ592" i="13" l="1"/>
  <c r="BA592" i="13" s="1"/>
  <c r="AL555" i="13"/>
  <c r="AW555" i="13" l="1"/>
  <c r="BD555" i="13"/>
  <c r="BC555" i="13"/>
  <c r="AI554" i="13"/>
  <c r="AL554" i="13" s="1"/>
  <c r="AW554" i="13" s="1"/>
  <c r="AL542" i="13" l="1"/>
  <c r="AW542" i="13" s="1"/>
  <c r="V553" i="13" l="1"/>
  <c r="Y553" i="13"/>
  <c r="AB553" i="13"/>
  <c r="AJ553" i="13"/>
  <c r="AL553" i="13" l="1"/>
  <c r="AW553" i="13" s="1"/>
  <c r="BC553" i="13"/>
  <c r="AL552" i="13" l="1"/>
  <c r="AW552" i="13" s="1"/>
  <c r="V551" i="13"/>
  <c r="Y551" i="13"/>
  <c r="AB551" i="13"/>
  <c r="AJ551" i="13"/>
  <c r="AL551" i="13" l="1"/>
  <c r="AW551" i="13" s="1"/>
  <c r="BC551" i="13"/>
  <c r="AC76" i="15" l="1"/>
  <c r="BB76" i="15"/>
  <c r="AC75" i="15" l="1"/>
  <c r="BB75" i="15"/>
  <c r="V550" i="13" l="1"/>
  <c r="Y550" i="13"/>
  <c r="AB550" i="13"/>
  <c r="AI550" i="13"/>
  <c r="AJ550" i="13"/>
  <c r="BC550" i="13" s="1"/>
  <c r="AL550" i="13" l="1"/>
  <c r="AW550" i="13" s="1"/>
  <c r="V549" i="13" l="1"/>
  <c r="Y549" i="13"/>
  <c r="AB549" i="13"/>
  <c r="AI549" i="13"/>
  <c r="AJ549" i="13"/>
  <c r="BC549" i="13" s="1"/>
  <c r="AL549" i="13" l="1"/>
  <c r="AW549" i="13" s="1"/>
  <c r="AJ548" i="13"/>
  <c r="AB548" i="13"/>
  <c r="Y548" i="13"/>
  <c r="V548" i="13"/>
  <c r="AL548" i="13" l="1"/>
  <c r="BC548" i="13"/>
  <c r="AL101" i="11"/>
  <c r="AW101" i="11" s="1"/>
  <c r="AL102" i="11"/>
  <c r="AW102" i="11" s="1"/>
  <c r="AL105" i="11"/>
  <c r="AW105" i="11" s="1"/>
  <c r="AL106" i="11"/>
  <c r="AW106" i="11" s="1"/>
  <c r="AL107" i="11"/>
  <c r="AW107" i="11" s="1"/>
  <c r="AL108" i="11"/>
  <c r="AW108" i="11" s="1"/>
  <c r="AL59" i="11"/>
  <c r="AW59" i="11" s="1"/>
  <c r="AL109" i="11"/>
  <c r="AW109" i="11" s="1"/>
  <c r="AL110" i="11"/>
  <c r="AW110" i="11" s="1"/>
  <c r="AL111" i="11"/>
  <c r="AW111" i="11" s="1"/>
  <c r="AL112" i="11"/>
  <c r="AW112" i="11" s="1"/>
  <c r="AL113" i="11"/>
  <c r="AW113" i="11" s="1"/>
  <c r="AL114" i="11"/>
  <c r="AW114" i="11" s="1"/>
  <c r="AL115" i="11"/>
  <c r="AW115" i="11" s="1"/>
  <c r="AL116" i="11"/>
  <c r="AW116" i="11" s="1"/>
  <c r="AL117" i="11"/>
  <c r="AW117" i="11" s="1"/>
  <c r="AL118" i="11"/>
  <c r="AW118" i="11" s="1"/>
  <c r="V547" i="13" l="1"/>
  <c r="Y547" i="13"/>
  <c r="AB547" i="13"/>
  <c r="AI547" i="13"/>
  <c r="AJ547" i="13"/>
  <c r="BC547" i="13" s="1"/>
  <c r="AL546" i="13"/>
  <c r="AW546" i="13" s="1"/>
  <c r="AL547" i="13" l="1"/>
  <c r="AW547" i="13" s="1"/>
  <c r="AQ92" i="11"/>
  <c r="AP92" i="11"/>
  <c r="AL545" i="13" l="1"/>
  <c r="AW545" i="13" s="1"/>
  <c r="V544" i="13"/>
  <c r="Y544" i="13"/>
  <c r="AB544" i="13"/>
  <c r="AI544" i="13"/>
  <c r="AJ544" i="13"/>
  <c r="BC544" i="13" s="1"/>
  <c r="AL544" i="13" l="1"/>
  <c r="AW544" i="13" s="1"/>
  <c r="AZ557" i="13" s="1"/>
  <c r="BA557" i="13" l="1"/>
  <c r="AL543" i="13" l="1"/>
  <c r="AW543" i="13" l="1"/>
  <c r="BC543" i="13"/>
  <c r="BD543" i="13"/>
  <c r="BD533" i="13"/>
  <c r="BC535" i="13"/>
  <c r="BD535" i="13"/>
  <c r="BD536" i="13"/>
  <c r="BC537" i="13"/>
  <c r="BD537" i="13"/>
  <c r="BC538" i="13"/>
  <c r="BD538" i="13"/>
  <c r="BD539" i="13"/>
  <c r="BD540" i="13"/>
  <c r="BC541" i="13"/>
  <c r="BD541" i="13"/>
  <c r="AL541" i="13" l="1"/>
  <c r="AW541" i="13" s="1"/>
  <c r="AQ91" i="11" l="1"/>
  <c r="AP91" i="11"/>
  <c r="V540" i="13" l="1"/>
  <c r="Y540" i="13"/>
  <c r="AB540" i="13"/>
  <c r="AI540" i="13"/>
  <c r="AJ540" i="13"/>
  <c r="BC540" i="13" s="1"/>
  <c r="AL540" i="13" l="1"/>
  <c r="AW540" i="13" s="1"/>
  <c r="AJ539" i="13"/>
  <c r="AB539" i="13"/>
  <c r="Y539" i="13"/>
  <c r="V539" i="13"/>
  <c r="AL539" i="13" l="1"/>
  <c r="BC539" i="13"/>
  <c r="AL538" i="13"/>
  <c r="AW538" i="13" s="1"/>
  <c r="AL537" i="13" l="1"/>
  <c r="AW537" i="13" s="1"/>
  <c r="AQ90" i="11"/>
  <c r="AP90" i="11"/>
  <c r="T536" i="13" l="1"/>
  <c r="V536" i="13" s="1"/>
  <c r="W536" i="13"/>
  <c r="Y536" i="13" s="1"/>
  <c r="Z536" i="13"/>
  <c r="AB536" i="13" s="1"/>
  <c r="AJ536" i="13"/>
  <c r="BC536" i="13" s="1"/>
  <c r="AL535" i="13"/>
  <c r="AW535" i="13" l="1"/>
  <c r="AI536" i="13"/>
  <c r="AL536" i="13" s="1"/>
  <c r="AW536" i="13" s="1"/>
  <c r="AJ534" i="13" l="1"/>
  <c r="BC534" i="13" s="1"/>
  <c r="AB534" i="13"/>
  <c r="Y534" i="13"/>
  <c r="V534" i="13"/>
  <c r="AL534" i="13" l="1"/>
  <c r="V533" i="13" l="1"/>
  <c r="Y533" i="13"/>
  <c r="AB533" i="13"/>
  <c r="AI533" i="13"/>
  <c r="AJ533" i="13"/>
  <c r="BC533" i="13" s="1"/>
  <c r="AL533" i="13" l="1"/>
  <c r="AW533" i="13" s="1"/>
  <c r="AI24" i="11"/>
  <c r="AZ543" i="13" l="1"/>
  <c r="BA543" i="13" s="1"/>
  <c r="BD531" i="13" l="1"/>
  <c r="BD532" i="13"/>
  <c r="V532" i="13" l="1"/>
  <c r="Y532" i="13"/>
  <c r="AB532" i="13"/>
  <c r="AI532" i="13"/>
  <c r="AJ532" i="13"/>
  <c r="BC532" i="13" s="1"/>
  <c r="V531" i="13"/>
  <c r="Y531" i="13"/>
  <c r="AB531" i="13"/>
  <c r="AI531" i="13"/>
  <c r="AJ531" i="13"/>
  <c r="BC531" i="13" s="1"/>
  <c r="AL531" i="13" l="1"/>
  <c r="AL532" i="13"/>
  <c r="BD530" i="13"/>
  <c r="AJ530" i="13"/>
  <c r="AL530" i="13" s="1"/>
  <c r="AB530" i="13"/>
  <c r="Y530" i="13"/>
  <c r="V530" i="13"/>
  <c r="BC530" i="13" l="1"/>
  <c r="BD529" i="13" l="1"/>
  <c r="AJ529" i="13"/>
  <c r="AL529" i="13" s="1"/>
  <c r="AB529" i="13"/>
  <c r="Y529" i="13"/>
  <c r="V529" i="13"/>
  <c r="BC529" i="13" l="1"/>
  <c r="BD528" i="13" l="1"/>
  <c r="AJ528" i="13"/>
  <c r="AL528" i="13" s="1"/>
  <c r="AB528" i="13"/>
  <c r="Y528" i="13"/>
  <c r="V528" i="13"/>
  <c r="BC528" i="13" l="1"/>
  <c r="AJ526" i="13" l="1"/>
  <c r="BC526" i="13" s="1"/>
  <c r="AB526" i="13"/>
  <c r="Y526" i="13"/>
  <c r="V526" i="13"/>
  <c r="AL526" i="13" l="1"/>
  <c r="V527" i="13"/>
  <c r="Y527" i="13"/>
  <c r="AB527" i="13"/>
  <c r="AI527" i="13"/>
  <c r="AJ527" i="13"/>
  <c r="BC527" i="13" l="1"/>
  <c r="AL527" i="13"/>
  <c r="AW527" i="13" s="1"/>
  <c r="AZ532" i="13" s="1"/>
  <c r="AL525" i="13"/>
  <c r="BA532" i="13" l="1"/>
  <c r="AW525" i="13"/>
  <c r="BD514" i="13"/>
  <c r="BC515" i="13"/>
  <c r="BD515" i="13"/>
  <c r="BC516" i="13"/>
  <c r="BD516" i="13"/>
  <c r="BD518" i="13"/>
  <c r="BC519" i="13"/>
  <c r="BD519" i="13"/>
  <c r="BD520" i="13"/>
  <c r="BC521" i="13"/>
  <c r="BD521" i="13"/>
  <c r="BC522" i="13"/>
  <c r="BD522" i="13"/>
  <c r="AL55" i="19" l="1"/>
  <c r="AW55" i="19" s="1"/>
  <c r="V524" i="13" l="1"/>
  <c r="Y524" i="13"/>
  <c r="AB524" i="13"/>
  <c r="AI524" i="13"/>
  <c r="AK524" i="13"/>
  <c r="BC524" i="13"/>
  <c r="AL524" i="13" l="1"/>
  <c r="AW524" i="13" s="1"/>
  <c r="BD524" i="13"/>
  <c r="AL523" i="13" l="1"/>
  <c r="AW523" i="13" l="1"/>
  <c r="BC523" i="13"/>
  <c r="BD523" i="13"/>
  <c r="AL522" i="13"/>
  <c r="AW522" i="13" s="1"/>
  <c r="AL521" i="13" l="1"/>
  <c r="AW521" i="13" s="1"/>
  <c r="AJ520" i="13" l="1"/>
  <c r="AB520" i="13"/>
  <c r="Y520" i="13"/>
  <c r="V520" i="13"/>
  <c r="AL520" i="13" l="1"/>
  <c r="BC520" i="13"/>
  <c r="AL519" i="13"/>
  <c r="AW519" i="13" l="1"/>
  <c r="V518" i="13"/>
  <c r="Y518" i="13"/>
  <c r="AB518" i="13"/>
  <c r="AI518" i="13"/>
  <c r="AJ518" i="13"/>
  <c r="BC518" i="13" s="1"/>
  <c r="AL518" i="13" l="1"/>
  <c r="AW518" i="13" s="1"/>
  <c r="V517" i="13" l="1"/>
  <c r="Y517" i="13"/>
  <c r="AB517" i="13"/>
  <c r="AI517" i="13"/>
  <c r="AJ517" i="13"/>
  <c r="BC517" i="13" s="1"/>
  <c r="AL517" i="13" l="1"/>
  <c r="AW517" i="13" s="1"/>
  <c r="AL516" i="13"/>
  <c r="AW516" i="13" l="1"/>
  <c r="AJ514" i="13"/>
  <c r="AB514" i="13"/>
  <c r="Y514" i="13"/>
  <c r="V514" i="13"/>
  <c r="AL514" i="13" l="1"/>
  <c r="BC514" i="13"/>
  <c r="BD506" i="13"/>
  <c r="BD507" i="13"/>
  <c r="BC508" i="13"/>
  <c r="BD508" i="13"/>
  <c r="BC510" i="13"/>
  <c r="BD510" i="13"/>
  <c r="BC511" i="13"/>
  <c r="BC512" i="13"/>
  <c r="BD512" i="13"/>
  <c r="BC513" i="13"/>
  <c r="BD513" i="13"/>
  <c r="AL515" i="13"/>
  <c r="AW515" i="13" s="1"/>
  <c r="AZ525" i="13" s="1"/>
  <c r="BA525" i="13" l="1"/>
  <c r="AL513" i="13" l="1"/>
  <c r="AW513" i="13" s="1"/>
  <c r="AC208" i="14" l="1"/>
  <c r="BB208" i="14"/>
  <c r="AL512" i="13"/>
  <c r="AW512" i="13" l="1"/>
  <c r="V511" i="13"/>
  <c r="Y511" i="13"/>
  <c r="AB511" i="13"/>
  <c r="AI511" i="13"/>
  <c r="AK511" i="13"/>
  <c r="BD511" i="13" s="1"/>
  <c r="AL511" i="13" l="1"/>
  <c r="AW511" i="13" s="1"/>
  <c r="AL510" i="13"/>
  <c r="AW510" i="13" l="1"/>
  <c r="V509" i="13" l="1"/>
  <c r="Y509" i="13"/>
  <c r="AB509" i="13"/>
  <c r="AI509" i="13"/>
  <c r="AJ509" i="13"/>
  <c r="BC509" i="13" s="1"/>
  <c r="AL508" i="13"/>
  <c r="AL509" i="13" l="1"/>
  <c r="AW509" i="13" s="1"/>
  <c r="AW508" i="13"/>
  <c r="AC207" i="14"/>
  <c r="BB207" i="14" l="1"/>
  <c r="BH195" i="14" l="1"/>
  <c r="AC206" i="14"/>
  <c r="BB206" i="14"/>
  <c r="BD208" i="14" l="1"/>
  <c r="BE208" i="14" s="1"/>
  <c r="V507" i="13" l="1"/>
  <c r="Y507" i="13"/>
  <c r="AB507" i="13"/>
  <c r="AI507" i="13"/>
  <c r="AJ507" i="13"/>
  <c r="BC507" i="13" s="1"/>
  <c r="AL507" i="13" l="1"/>
  <c r="AW507" i="13" s="1"/>
  <c r="BC499" i="13"/>
  <c r="BD505" i="13"/>
  <c r="V506" i="13" l="1"/>
  <c r="Y506" i="13"/>
  <c r="AB506" i="13"/>
  <c r="AI506" i="13"/>
  <c r="AJ506" i="13"/>
  <c r="BC506" i="13" s="1"/>
  <c r="AL506" i="13" l="1"/>
  <c r="AW506" i="13" s="1"/>
  <c r="AQ88" i="11"/>
  <c r="AP88" i="11"/>
  <c r="AZ513" i="13" l="1"/>
  <c r="BA513" i="13" s="1"/>
  <c r="AQ87" i="11"/>
  <c r="AP87" i="11"/>
  <c r="AJ505" i="13" l="1"/>
  <c r="AB505" i="13"/>
  <c r="Y505" i="13"/>
  <c r="V505" i="13"/>
  <c r="AL505" i="13" l="1"/>
  <c r="BC505" i="13"/>
  <c r="V504" i="13"/>
  <c r="Y504" i="13"/>
  <c r="AB504" i="13"/>
  <c r="AI504" i="13"/>
  <c r="AJ504" i="13"/>
  <c r="BD504" i="13"/>
  <c r="AL504" i="13" l="1"/>
  <c r="AW504" i="13" s="1"/>
  <c r="BC504" i="13"/>
  <c r="AL503" i="13"/>
  <c r="BC503" i="13" l="1"/>
  <c r="BD503" i="13"/>
  <c r="AW503" i="13"/>
  <c r="V502" i="13"/>
  <c r="Y502" i="13"/>
  <c r="AB502" i="13"/>
  <c r="AI502" i="13"/>
  <c r="AJ502" i="13"/>
  <c r="BD502" i="13"/>
  <c r="BC502" i="13" l="1"/>
  <c r="AL502" i="13"/>
  <c r="AW502" i="13" s="1"/>
  <c r="AL501" i="13" l="1"/>
  <c r="BC501" i="13" l="1"/>
  <c r="BD501" i="13"/>
  <c r="AW501" i="13"/>
  <c r="V500" i="13"/>
  <c r="Y500" i="13"/>
  <c r="AB500" i="13"/>
  <c r="AI500" i="13"/>
  <c r="AJ500" i="13"/>
  <c r="BD500" i="13"/>
  <c r="BC500" i="13" l="1"/>
  <c r="AL500" i="13"/>
  <c r="AW500" i="13" s="1"/>
  <c r="AQ85" i="11" l="1"/>
  <c r="AP85" i="11"/>
  <c r="AQ86" i="11" l="1"/>
  <c r="AP86" i="11"/>
  <c r="T499" i="13" l="1"/>
  <c r="V499" i="13" s="1"/>
  <c r="Y499" i="13"/>
  <c r="AB499" i="13"/>
  <c r="AK499" i="13"/>
  <c r="BD499" i="13" s="1"/>
  <c r="AL498" i="13"/>
  <c r="BC498" i="13" l="1"/>
  <c r="AI499" i="13"/>
  <c r="AL499" i="13" s="1"/>
  <c r="AW499" i="13" s="1"/>
  <c r="BE499" i="13" s="1"/>
  <c r="BI592" i="13" s="1"/>
  <c r="AW498" i="13"/>
  <c r="V497" i="13"/>
  <c r="Y497" i="13"/>
  <c r="AB497" i="13"/>
  <c r="AJ497" i="13"/>
  <c r="AL497" i="13" l="1"/>
  <c r="AW497" i="13" s="1"/>
  <c r="AZ505" i="13" s="1"/>
  <c r="BA505" i="13" s="1"/>
  <c r="BC497" i="13"/>
  <c r="AQ32" i="11" l="1"/>
  <c r="AP32" i="11"/>
  <c r="AJ32" i="11"/>
  <c r="AL32" i="11" s="1"/>
  <c r="AB32" i="11"/>
  <c r="Y32" i="11"/>
  <c r="V32" i="11"/>
  <c r="AQ31" i="11"/>
  <c r="AP31" i="11"/>
  <c r="AJ31" i="11"/>
  <c r="AL31" i="11" s="1"/>
  <c r="AB31" i="11"/>
  <c r="Y31" i="11"/>
  <c r="V31" i="11"/>
  <c r="AJ54" i="19"/>
  <c r="AI54" i="19"/>
  <c r="AB54" i="19"/>
  <c r="Y54" i="19"/>
  <c r="V54" i="19"/>
  <c r="AL54" i="19" l="1"/>
  <c r="AW54" i="19" s="1"/>
  <c r="AW32" i="11"/>
  <c r="AW31" i="11"/>
  <c r="BC496" i="13"/>
  <c r="BC495" i="13"/>
  <c r="AL496" i="13"/>
  <c r="AW496" i="13" s="1"/>
  <c r="AQ84" i="11" l="1"/>
  <c r="AP84" i="11"/>
  <c r="AL495" i="13" l="1"/>
  <c r="AW495" i="13" l="1"/>
  <c r="BC493" i="13"/>
  <c r="V494" i="13" l="1"/>
  <c r="Y494" i="13"/>
  <c r="AB494" i="13"/>
  <c r="AI494" i="13"/>
  <c r="AJ494" i="13"/>
  <c r="BC494" i="13" s="1"/>
  <c r="AL494" i="13" l="1"/>
  <c r="AW494" i="13" s="1"/>
  <c r="AL493" i="13"/>
  <c r="AW493" i="13" l="1"/>
  <c r="AJ53" i="19" l="1"/>
  <c r="AI53" i="19"/>
  <c r="AB53" i="19"/>
  <c r="Y53" i="19"/>
  <c r="V53" i="19"/>
  <c r="AI491" i="13"/>
  <c r="AL491" i="13" s="1"/>
  <c r="BC491" i="13"/>
  <c r="AL53" i="19" l="1"/>
  <c r="AW53" i="19" s="1"/>
  <c r="AR53" i="19"/>
  <c r="AS53" i="19"/>
  <c r="AT53" i="19"/>
  <c r="AW491" i="13"/>
  <c r="AC74" i="15" l="1"/>
  <c r="BB74" i="15"/>
  <c r="AQ83" i="11" l="1"/>
  <c r="AP83" i="11"/>
  <c r="AL90" i="11" l="1"/>
  <c r="AW90" i="11" s="1"/>
  <c r="AL91" i="11"/>
  <c r="AW91" i="11" s="1"/>
  <c r="AL92" i="11"/>
  <c r="AW92" i="11" s="1"/>
  <c r="AL94" i="11"/>
  <c r="AW94" i="11" s="1"/>
  <c r="AL95" i="11"/>
  <c r="AW95" i="11" s="1"/>
  <c r="AL96" i="11"/>
  <c r="AW96" i="11" s="1"/>
  <c r="AL97" i="11"/>
  <c r="AW97" i="11" s="1"/>
  <c r="AL98" i="11"/>
  <c r="AW98" i="11" s="1"/>
  <c r="AL99" i="11"/>
  <c r="AW99" i="11" s="1"/>
  <c r="AL100" i="11"/>
  <c r="AW100" i="11" s="1"/>
  <c r="V492" i="13" l="1"/>
  <c r="Y492" i="13"/>
  <c r="AB492" i="13"/>
  <c r="AI492" i="13"/>
  <c r="AJ492" i="13"/>
  <c r="AL492" i="13" l="1"/>
  <c r="AW492" i="13" s="1"/>
  <c r="BC492" i="13"/>
  <c r="V490" i="13"/>
  <c r="Y490" i="13"/>
  <c r="AB490" i="13"/>
  <c r="AI490" i="13"/>
  <c r="AJ490" i="13"/>
  <c r="AL490" i="13" l="1"/>
  <c r="AW490" i="13" s="1"/>
  <c r="AZ496" i="13" s="1"/>
  <c r="BA496" i="13" s="1"/>
  <c r="BC490" i="13"/>
  <c r="AQ82" i="11" l="1"/>
  <c r="AP82" i="11"/>
  <c r="AQ81" i="11" l="1"/>
  <c r="AP81" i="11"/>
  <c r="AQ80" i="11" l="1"/>
  <c r="AP80" i="11"/>
  <c r="BC489" i="13" l="1"/>
  <c r="BC488" i="13"/>
  <c r="AL489" i="13"/>
  <c r="AW489" i="13" s="1"/>
  <c r="AQ79" i="11" l="1"/>
  <c r="AP79" i="11"/>
  <c r="AE52" i="19" l="1"/>
  <c r="AH52" i="19"/>
  <c r="AJ52" i="19"/>
  <c r="AI52" i="19"/>
  <c r="AB52" i="19"/>
  <c r="Y52" i="19"/>
  <c r="V52" i="19"/>
  <c r="AL52" i="19" l="1"/>
  <c r="AW52" i="19" s="1"/>
  <c r="AL488" i="13" l="1"/>
  <c r="AW488" i="13" s="1"/>
  <c r="AJ487" i="13" l="1"/>
  <c r="AB487" i="13"/>
  <c r="Y487" i="13"/>
  <c r="V487" i="13"/>
  <c r="AL487" i="13" l="1"/>
  <c r="BC487" i="13"/>
  <c r="AL486" i="13" l="1"/>
  <c r="AW486" i="13" l="1"/>
  <c r="BC486" i="13"/>
  <c r="AQ78" i="11"/>
  <c r="AP78" i="11"/>
  <c r="BC484" i="13" l="1"/>
  <c r="AQ77" i="11" l="1"/>
  <c r="AP77" i="11"/>
  <c r="V485" i="13" l="1"/>
  <c r="Y485" i="13"/>
  <c r="AB485" i="13"/>
  <c r="AI485" i="13"/>
  <c r="AJ485" i="13"/>
  <c r="BC485" i="13" s="1"/>
  <c r="AL485" i="13" l="1"/>
  <c r="AW485" i="13" s="1"/>
  <c r="BC483" i="13"/>
  <c r="AL484" i="13"/>
  <c r="AW484" i="13" s="1"/>
  <c r="BC482" i="13" l="1"/>
  <c r="BD483" i="13"/>
  <c r="AL483" i="13"/>
  <c r="AW483" i="13" s="1"/>
  <c r="AL482" i="13" l="1"/>
  <c r="AW482" i="13" s="1"/>
  <c r="AZ489" i="13" s="1"/>
  <c r="BA489" i="13" s="1"/>
  <c r="AQ76" i="11" l="1"/>
  <c r="AP76" i="11"/>
  <c r="BC480" i="13" l="1"/>
  <c r="V481" i="13"/>
  <c r="Y481" i="13"/>
  <c r="AB481" i="13"/>
  <c r="AI481" i="13"/>
  <c r="AJ481" i="13"/>
  <c r="BC481" i="13" s="1"/>
  <c r="AC205" i="14"/>
  <c r="BB205" i="14"/>
  <c r="BD205" i="14" s="1"/>
  <c r="BE205" i="14" s="1"/>
  <c r="BG212" i="14" s="1"/>
  <c r="AL481" i="13" l="1"/>
  <c r="AW481" i="13" s="1"/>
  <c r="BC479" i="13"/>
  <c r="AL480" i="13"/>
  <c r="AW480" i="13" s="1"/>
  <c r="BC477" i="13" l="1"/>
  <c r="BD478" i="13"/>
  <c r="AL479" i="13"/>
  <c r="AW479" i="13" s="1"/>
  <c r="AJ478" i="13" l="1"/>
  <c r="BC478" i="13" s="1"/>
  <c r="AB478" i="13"/>
  <c r="Y478" i="13"/>
  <c r="V478" i="13"/>
  <c r="AL478" i="13" l="1"/>
  <c r="V477" i="13"/>
  <c r="Y477" i="13"/>
  <c r="AB477" i="13"/>
  <c r="AL477" i="13"/>
  <c r="AW477" i="13" s="1"/>
  <c r="AC30" i="8" l="1"/>
  <c r="V476" i="13" l="1"/>
  <c r="Y476" i="13"/>
  <c r="AB476" i="13"/>
  <c r="AI476" i="13"/>
  <c r="AJ476" i="13"/>
  <c r="BC476" i="13" s="1"/>
  <c r="AL476" i="13" l="1"/>
  <c r="AW476" i="13" s="1"/>
  <c r="AL475" i="13"/>
  <c r="AW475" i="13" l="1"/>
  <c r="AZ481" i="13" s="1"/>
  <c r="BA481" i="13" s="1"/>
  <c r="BC475" i="13"/>
  <c r="V48" i="19" l="1"/>
  <c r="Y48" i="19"/>
  <c r="AB48" i="19"/>
  <c r="AE48" i="19"/>
  <c r="AH48" i="19"/>
  <c r="AI48" i="19"/>
  <c r="AJ48" i="19"/>
  <c r="V49" i="19"/>
  <c r="Y49" i="19"/>
  <c r="AB49" i="19"/>
  <c r="AE49" i="19"/>
  <c r="AH49" i="19"/>
  <c r="AI49" i="19"/>
  <c r="AJ49" i="19"/>
  <c r="V50" i="19"/>
  <c r="Y50" i="19"/>
  <c r="AB50" i="19"/>
  <c r="AE50" i="19"/>
  <c r="AH50" i="19"/>
  <c r="AI50" i="19"/>
  <c r="AJ50" i="19"/>
  <c r="V51" i="19"/>
  <c r="Y51" i="19"/>
  <c r="AB51" i="19"/>
  <c r="AE51" i="19"/>
  <c r="AH51" i="19"/>
  <c r="AI51" i="19"/>
  <c r="AJ51" i="19"/>
  <c r="AL50" i="19" l="1"/>
  <c r="AW50" i="19" s="1"/>
  <c r="AL48" i="19"/>
  <c r="AW48" i="19" s="1"/>
  <c r="AL51" i="19"/>
  <c r="AW51" i="19" s="1"/>
  <c r="AL49" i="19"/>
  <c r="AW49" i="19" s="1"/>
  <c r="BC473" i="13" l="1"/>
  <c r="AL474" i="13"/>
  <c r="BC474" i="13" l="1"/>
  <c r="AW474" i="13"/>
  <c r="AZ474" i="13" s="1"/>
  <c r="BA474" i="13" s="1"/>
  <c r="BD472" i="13" l="1"/>
  <c r="AL473" i="13"/>
  <c r="AW473" i="13" s="1"/>
  <c r="BH592" i="13" l="1"/>
  <c r="AJ472" i="13"/>
  <c r="BC472" i="13" s="1"/>
  <c r="AI472" i="13"/>
  <c r="AB472" i="13"/>
  <c r="Y472" i="13"/>
  <c r="V472" i="13"/>
  <c r="AL472" i="13" l="1"/>
  <c r="V471" i="13" l="1"/>
  <c r="Y471" i="13"/>
  <c r="AB471" i="13"/>
  <c r="AI471" i="13"/>
  <c r="AJ471" i="13"/>
  <c r="BC471" i="13" s="1"/>
  <c r="BG592" i="13" s="1"/>
  <c r="AL471" i="13" l="1"/>
  <c r="AW471" i="13" s="1"/>
  <c r="AZ473" i="13" s="1"/>
  <c r="BA473" i="13" s="1"/>
  <c r="BF592" i="13" s="1"/>
  <c r="AL47" i="19" l="1"/>
  <c r="AW47" i="19" s="1"/>
  <c r="AC73" i="15" l="1"/>
  <c r="BB73" i="15"/>
  <c r="BI470" i="13" l="1"/>
  <c r="BC470" i="13" l="1"/>
  <c r="AL470" i="13"/>
  <c r="AW470" i="13" s="1"/>
  <c r="BD468" i="13" l="1"/>
  <c r="V469" i="13"/>
  <c r="Y469" i="13"/>
  <c r="AB469" i="13"/>
  <c r="AI469" i="13"/>
  <c r="AJ469" i="13"/>
  <c r="BC469" i="13" s="1"/>
  <c r="V468" i="13"/>
  <c r="Y468" i="13"/>
  <c r="AB468" i="13"/>
  <c r="AI468" i="13"/>
  <c r="AJ468" i="13"/>
  <c r="BC468" i="13" s="1"/>
  <c r="AL469" i="13" l="1"/>
  <c r="AW469" i="13" s="1"/>
  <c r="AL468" i="13"/>
  <c r="AW468" i="13" s="1"/>
  <c r="BC466" i="13"/>
  <c r="V467" i="13"/>
  <c r="Y467" i="13"/>
  <c r="AB467" i="13"/>
  <c r="AI467" i="13"/>
  <c r="AJ467" i="13"/>
  <c r="AL467" i="13" l="1"/>
  <c r="AW467" i="13" s="1"/>
  <c r="BC467" i="13"/>
  <c r="BC449" i="13"/>
  <c r="BC465" i="13"/>
  <c r="BD461" i="13"/>
  <c r="AL466" i="13"/>
  <c r="AW466" i="13" s="1"/>
  <c r="AL465" i="13" l="1"/>
  <c r="AW465" i="13" s="1"/>
  <c r="BI204" i="14" l="1"/>
  <c r="AW464" i="13"/>
  <c r="AJ464" i="13"/>
  <c r="BC464" i="13" s="1"/>
  <c r="AB464" i="13"/>
  <c r="Y464" i="13"/>
  <c r="V464" i="13"/>
  <c r="AW463" i="13"/>
  <c r="V463" i="13"/>
  <c r="Y463" i="13"/>
  <c r="AB463" i="13"/>
  <c r="AI463" i="13"/>
  <c r="AJ463" i="13"/>
  <c r="BC463" i="13" s="1"/>
  <c r="AL204" i="14"/>
  <c r="BB204" i="14" s="1"/>
  <c r="AC204" i="14"/>
  <c r="AL203" i="14"/>
  <c r="BB203" i="14" s="1"/>
  <c r="AC203" i="14"/>
  <c r="BD204" i="14" l="1"/>
  <c r="BE204" i="14" s="1"/>
  <c r="AZ470" i="13"/>
  <c r="BA470" i="13" s="1"/>
  <c r="AL464" i="13"/>
  <c r="AL463" i="13"/>
  <c r="AQ74" i="11"/>
  <c r="AP74" i="11"/>
  <c r="V462" i="13" l="1"/>
  <c r="Y462" i="13"/>
  <c r="AB462" i="13"/>
  <c r="AI462" i="13"/>
  <c r="AJ462" i="13"/>
  <c r="BC462" i="13" s="1"/>
  <c r="AL462" i="13" l="1"/>
  <c r="AW462" i="13" s="1"/>
  <c r="V46" i="19"/>
  <c r="Y46" i="19"/>
  <c r="AB46" i="19"/>
  <c r="AI46" i="19"/>
  <c r="AJ46" i="19"/>
  <c r="AL46" i="19" l="1"/>
  <c r="AW46" i="19" s="1"/>
  <c r="V461" i="13"/>
  <c r="Y461" i="13"/>
  <c r="AB461" i="13"/>
  <c r="AI461" i="13"/>
  <c r="AJ461" i="13"/>
  <c r="AL461" i="13" l="1"/>
  <c r="AW461" i="13" s="1"/>
  <c r="BC461" i="13"/>
  <c r="AW460" i="13"/>
  <c r="AJ460" i="13"/>
  <c r="AB460" i="13"/>
  <c r="Y460" i="13"/>
  <c r="V460" i="13"/>
  <c r="AL460" i="13" l="1"/>
  <c r="BC460" i="13"/>
  <c r="BC459" i="13" l="1"/>
  <c r="BD459" i="13"/>
  <c r="AL459" i="13"/>
  <c r="AW459" i="13" s="1"/>
  <c r="BH56" i="14" l="1"/>
  <c r="BI56" i="14"/>
  <c r="BI130" i="14"/>
  <c r="BH130" i="14"/>
  <c r="BI155" i="14"/>
  <c r="BH155" i="14"/>
  <c r="BI175" i="14"/>
  <c r="BH175" i="14"/>
  <c r="BI187" i="14"/>
  <c r="AL458" i="13" l="1"/>
  <c r="BC458" i="13" l="1"/>
  <c r="AW458" i="13"/>
  <c r="AZ462" i="13" s="1"/>
  <c r="BA462" i="13" l="1"/>
  <c r="V457" i="13"/>
  <c r="Y457" i="13"/>
  <c r="AB457" i="13"/>
  <c r="AI457" i="13"/>
  <c r="AJ457" i="13"/>
  <c r="BC457" i="13" s="1"/>
  <c r="AL457" i="13" l="1"/>
  <c r="AW457" i="13" s="1"/>
  <c r="AQ73" i="11"/>
  <c r="AP73" i="11"/>
  <c r="AQ72" i="11" l="1"/>
  <c r="AP72" i="11"/>
  <c r="AQ71" i="11" l="1"/>
  <c r="AP71" i="11"/>
  <c r="BI168" i="13" l="1"/>
  <c r="BI14" i="13" l="1"/>
  <c r="BC435" i="13" l="1"/>
  <c r="BD216" i="13"/>
  <c r="BD217" i="13"/>
  <c r="BD218" i="13"/>
  <c r="BD219" i="13"/>
  <c r="BD220" i="13"/>
  <c r="BD221" i="13"/>
  <c r="BD222" i="13"/>
  <c r="BD223" i="13"/>
  <c r="BD224" i="13"/>
  <c r="BD225" i="13"/>
  <c r="BD226" i="13"/>
  <c r="BD227" i="13"/>
  <c r="BD228" i="13"/>
  <c r="BD229" i="13"/>
  <c r="BD230" i="13"/>
  <c r="BD231" i="13"/>
  <c r="BD232" i="13"/>
  <c r="BD233" i="13"/>
  <c r="BD234" i="13"/>
  <c r="BD235" i="13"/>
  <c r="BD236" i="13"/>
  <c r="BD237" i="13"/>
  <c r="BD238" i="13"/>
  <c r="BD239" i="13"/>
  <c r="BD240" i="13"/>
  <c r="BD241" i="13"/>
  <c r="BD242" i="13"/>
  <c r="BD243" i="13"/>
  <c r="BD244" i="13"/>
  <c r="BD245" i="13"/>
  <c r="BD246" i="13"/>
  <c r="BD247" i="13"/>
  <c r="BD248" i="13"/>
  <c r="BD249" i="13"/>
  <c r="BD250" i="13"/>
  <c r="BD251" i="13"/>
  <c r="BD252" i="13"/>
  <c r="BD253" i="13"/>
  <c r="BD254" i="13"/>
  <c r="BD255" i="13"/>
  <c r="BD256" i="13"/>
  <c r="BD257" i="13"/>
  <c r="BD258" i="13"/>
  <c r="BD259" i="13"/>
  <c r="BD260" i="13"/>
  <c r="BD261" i="13"/>
  <c r="BD262" i="13"/>
  <c r="BD263" i="13"/>
  <c r="BD264" i="13"/>
  <c r="BD265" i="13"/>
  <c r="BD266" i="13"/>
  <c r="BD267" i="13"/>
  <c r="BD268" i="13"/>
  <c r="BD269" i="13"/>
  <c r="BC270" i="13"/>
  <c r="BD271" i="13"/>
  <c r="BD272" i="13"/>
  <c r="BD273" i="13"/>
  <c r="BD274" i="13"/>
  <c r="BD275" i="13"/>
  <c r="BD276" i="13"/>
  <c r="BD277" i="13"/>
  <c r="BD278" i="13"/>
  <c r="BD279" i="13"/>
  <c r="BD280" i="13"/>
  <c r="BD281" i="13"/>
  <c r="BD282" i="13"/>
  <c r="BD283" i="13"/>
  <c r="BD284" i="13"/>
  <c r="BD285" i="13"/>
  <c r="BD286" i="13"/>
  <c r="BD287" i="13"/>
  <c r="BD288" i="13"/>
  <c r="BD289" i="13"/>
  <c r="BD290" i="13"/>
  <c r="BD291" i="13"/>
  <c r="BD292" i="13"/>
  <c r="BD293" i="13"/>
  <c r="BD294" i="13"/>
  <c r="BD295" i="13"/>
  <c r="BD296" i="13"/>
  <c r="BC297" i="13"/>
  <c r="BD297" i="13"/>
  <c r="BD298" i="13"/>
  <c r="BD299" i="13"/>
  <c r="BD300" i="13"/>
  <c r="BD301" i="13"/>
  <c r="BD302" i="13"/>
  <c r="BD303" i="13"/>
  <c r="BD304" i="13"/>
  <c r="BD305" i="13"/>
  <c r="BD306" i="13"/>
  <c r="BD307" i="13"/>
  <c r="BD308" i="13"/>
  <c r="BD309" i="13"/>
  <c r="BD310" i="13"/>
  <c r="BD311" i="13"/>
  <c r="BD312" i="13"/>
  <c r="BD313" i="13"/>
  <c r="BD314" i="13"/>
  <c r="BD315" i="13"/>
  <c r="BD316" i="13"/>
  <c r="BD317" i="13"/>
  <c r="BD318" i="13"/>
  <c r="BD319" i="13"/>
  <c r="BD320" i="13"/>
  <c r="BD321" i="13"/>
  <c r="BD322" i="13"/>
  <c r="BD323" i="13"/>
  <c r="BD324" i="13"/>
  <c r="BD325" i="13"/>
  <c r="BD326" i="13"/>
  <c r="BD327" i="13"/>
  <c r="BD328" i="13"/>
  <c r="BD329" i="13"/>
  <c r="BD330" i="13"/>
  <c r="BD331" i="13"/>
  <c r="BD332" i="13"/>
  <c r="BD333" i="13"/>
  <c r="BD334" i="13"/>
  <c r="BD335" i="13"/>
  <c r="BD336" i="13"/>
  <c r="BD337" i="13"/>
  <c r="BD338" i="13"/>
  <c r="BD339" i="13"/>
  <c r="BD340" i="13"/>
  <c r="BD341" i="13"/>
  <c r="BD342" i="13"/>
  <c r="BD343" i="13"/>
  <c r="BD344" i="13"/>
  <c r="BD345" i="13"/>
  <c r="BD346" i="13"/>
  <c r="BD347" i="13"/>
  <c r="BD348" i="13"/>
  <c r="BD349" i="13"/>
  <c r="BD350" i="13"/>
  <c r="BD351" i="13"/>
  <c r="BD352" i="13"/>
  <c r="BD353" i="13"/>
  <c r="BD354" i="13"/>
  <c r="BD355" i="13"/>
  <c r="BD356" i="13"/>
  <c r="BD357" i="13"/>
  <c r="BD358" i="13"/>
  <c r="BD359" i="13"/>
  <c r="BD360" i="13"/>
  <c r="BD361" i="13"/>
  <c r="BD362" i="13"/>
  <c r="BD363" i="13"/>
  <c r="BD364" i="13"/>
  <c r="BD365" i="13"/>
  <c r="BD366" i="13"/>
  <c r="BD367" i="13"/>
  <c r="BD368" i="13"/>
  <c r="BD369" i="13"/>
  <c r="BD370" i="13"/>
  <c r="BD371" i="13"/>
  <c r="BD372" i="13"/>
  <c r="BD373" i="13"/>
  <c r="BD374" i="13"/>
  <c r="BD375" i="13"/>
  <c r="BD376" i="13"/>
  <c r="BD377" i="13"/>
  <c r="BD378" i="13"/>
  <c r="BD379" i="13"/>
  <c r="BD380" i="13"/>
  <c r="BC381" i="13"/>
  <c r="BD381" i="13"/>
  <c r="BC382" i="13"/>
  <c r="BD382" i="13"/>
  <c r="BD383" i="13"/>
  <c r="BD384" i="13"/>
  <c r="BD385" i="13"/>
  <c r="BD386" i="13"/>
  <c r="BD387" i="13"/>
  <c r="BD388" i="13"/>
  <c r="BD389" i="13"/>
  <c r="BD390" i="13"/>
  <c r="BD391" i="13"/>
  <c r="BD392" i="13"/>
  <c r="BD393" i="13"/>
  <c r="BD394" i="13"/>
  <c r="BD395" i="13"/>
  <c r="BD396" i="13"/>
  <c r="BC397" i="13"/>
  <c r="BD397" i="13"/>
  <c r="BD398" i="13"/>
  <c r="BD399" i="13"/>
  <c r="BC400" i="13"/>
  <c r="BD400" i="13"/>
  <c r="BD401" i="13"/>
  <c r="BC402" i="13"/>
  <c r="BD402" i="13"/>
  <c r="BD403" i="13"/>
  <c r="BD404" i="13"/>
  <c r="BD405" i="13"/>
  <c r="BD406" i="13"/>
  <c r="BD407" i="13"/>
  <c r="BD408" i="13"/>
  <c r="BD409" i="13"/>
  <c r="BC410" i="13"/>
  <c r="BD410" i="13"/>
  <c r="BC411" i="13"/>
  <c r="BD411" i="13"/>
  <c r="BC412" i="13"/>
  <c r="BD412" i="13"/>
  <c r="BC413" i="13"/>
  <c r="BD413" i="13"/>
  <c r="BD414" i="13"/>
  <c r="BD415" i="13"/>
  <c r="BD416" i="13"/>
  <c r="BD417" i="13"/>
  <c r="BD418" i="13"/>
  <c r="BD419" i="13"/>
  <c r="BD420" i="13"/>
  <c r="BD421" i="13"/>
  <c r="BD422" i="13"/>
  <c r="BD423" i="13"/>
  <c r="BD424" i="13"/>
  <c r="BD425" i="13"/>
  <c r="BD426" i="13"/>
  <c r="BD427" i="13"/>
  <c r="BD428" i="13"/>
  <c r="BD429" i="13"/>
  <c r="BD430" i="13"/>
  <c r="BD431" i="13"/>
  <c r="BD432" i="13"/>
  <c r="BD433" i="13"/>
  <c r="BD434" i="13"/>
  <c r="BD435" i="13"/>
  <c r="BD436" i="13"/>
  <c r="BD437" i="13"/>
  <c r="BC438" i="13"/>
  <c r="BC439" i="13"/>
  <c r="BD439" i="13"/>
  <c r="BD440" i="13"/>
  <c r="BD441" i="13"/>
  <c r="BC442" i="13"/>
  <c r="BD442" i="13"/>
  <c r="BD443" i="13"/>
  <c r="BD444" i="13"/>
  <c r="BD445" i="13"/>
  <c r="BC446" i="13"/>
  <c r="BD446" i="13"/>
  <c r="BD447" i="13"/>
  <c r="BD448" i="13"/>
  <c r="BD449" i="13"/>
  <c r="BD450" i="13"/>
  <c r="BD456" i="13"/>
  <c r="AJ157" i="13"/>
  <c r="AW151" i="13"/>
  <c r="BC151" i="13"/>
  <c r="BD112" i="13"/>
  <c r="AW112" i="13"/>
  <c r="AW44" i="13"/>
  <c r="BC4" i="13"/>
  <c r="BD4" i="13"/>
  <c r="BC5" i="13"/>
  <c r="BD5" i="13"/>
  <c r="BC6" i="13"/>
  <c r="BD6" i="13"/>
  <c r="BC7" i="13"/>
  <c r="BD7" i="13"/>
  <c r="BD8" i="13"/>
  <c r="BD9" i="13"/>
  <c r="BC10" i="13"/>
  <c r="BD10" i="13"/>
  <c r="BC11" i="13"/>
  <c r="BD11" i="13"/>
  <c r="BD12" i="13"/>
  <c r="BD13" i="13"/>
  <c r="BD14" i="13"/>
  <c r="BD15" i="13"/>
  <c r="BD16" i="13"/>
  <c r="BD17" i="13"/>
  <c r="BD18" i="13"/>
  <c r="BD19" i="13"/>
  <c r="BD20" i="13"/>
  <c r="BD21" i="13"/>
  <c r="BD22" i="13"/>
  <c r="BD23" i="13"/>
  <c r="BD24" i="13"/>
  <c r="BD25" i="13"/>
  <c r="BD26" i="13"/>
  <c r="BD27" i="13"/>
  <c r="BD28" i="13"/>
  <c r="BD29" i="13"/>
  <c r="BD30" i="13"/>
  <c r="BD31" i="13"/>
  <c r="BD32" i="13"/>
  <c r="BD33" i="13"/>
  <c r="BD34" i="13"/>
  <c r="BD35" i="13"/>
  <c r="BD36" i="13"/>
  <c r="BD37" i="13"/>
  <c r="BD38" i="13"/>
  <c r="BD39" i="13"/>
  <c r="BD40" i="13"/>
  <c r="BD41" i="13"/>
  <c r="BD42" i="13"/>
  <c r="BD43" i="13"/>
  <c r="BD44" i="13"/>
  <c r="BD45" i="13"/>
  <c r="BD46" i="13"/>
  <c r="BD47" i="13"/>
  <c r="BD48" i="13"/>
  <c r="BD49" i="13"/>
  <c r="BD50" i="13"/>
  <c r="BD51" i="13"/>
  <c r="BD52" i="13"/>
  <c r="BD53" i="13"/>
  <c r="BD54" i="13"/>
  <c r="BD55" i="13"/>
  <c r="BD56" i="13"/>
  <c r="BD57" i="13"/>
  <c r="BD58" i="13"/>
  <c r="BD59" i="13"/>
  <c r="BD60" i="13"/>
  <c r="BD61" i="13"/>
  <c r="BD62" i="13"/>
  <c r="BD63" i="13"/>
  <c r="BD64" i="13"/>
  <c r="BD65" i="13"/>
  <c r="BD66" i="13"/>
  <c r="BD67" i="13"/>
  <c r="BD68" i="13"/>
  <c r="BD69" i="13"/>
  <c r="BD70" i="13"/>
  <c r="BD71" i="13"/>
  <c r="BD72" i="13"/>
  <c r="BD73" i="13"/>
  <c r="BD74" i="13"/>
  <c r="BD75" i="13"/>
  <c r="BD76" i="13"/>
  <c r="BD77" i="13"/>
  <c r="BD78" i="13"/>
  <c r="BD79" i="13"/>
  <c r="BD80" i="13"/>
  <c r="BD81" i="13"/>
  <c r="BD82" i="13"/>
  <c r="BD83" i="13"/>
  <c r="BD84" i="13"/>
  <c r="BD85" i="13"/>
  <c r="BD86" i="13"/>
  <c r="BD87" i="13"/>
  <c r="BD88" i="13"/>
  <c r="BD89" i="13"/>
  <c r="BD90" i="13"/>
  <c r="BD91" i="13"/>
  <c r="BD92" i="13"/>
  <c r="BD93" i="13"/>
  <c r="BD94" i="13"/>
  <c r="BD95" i="13"/>
  <c r="BD96" i="13"/>
  <c r="BD97" i="13"/>
  <c r="BD98" i="13"/>
  <c r="BD99" i="13"/>
  <c r="BD100" i="13"/>
  <c r="BD101" i="13"/>
  <c r="BD102" i="13"/>
  <c r="BD103" i="13"/>
  <c r="BD104" i="13"/>
  <c r="BD105" i="13"/>
  <c r="BD106" i="13"/>
  <c r="BD107" i="13"/>
  <c r="BD108" i="13"/>
  <c r="BD109" i="13"/>
  <c r="BD110" i="13"/>
  <c r="BD111" i="13"/>
  <c r="BD113" i="13"/>
  <c r="BD114" i="13"/>
  <c r="BD115" i="13"/>
  <c r="BD116" i="13"/>
  <c r="BD117" i="13"/>
  <c r="BC118" i="13"/>
  <c r="BD119" i="13"/>
  <c r="BD120" i="13"/>
  <c r="BD121" i="13"/>
  <c r="BD122" i="13"/>
  <c r="BD123" i="13"/>
  <c r="BD124" i="13"/>
  <c r="BD125" i="13"/>
  <c r="BD126" i="13"/>
  <c r="BD127" i="13"/>
  <c r="BD128" i="13"/>
  <c r="BD129" i="13"/>
  <c r="BD130" i="13"/>
  <c r="BD131" i="13"/>
  <c r="BD132" i="13"/>
  <c r="BC133" i="13"/>
  <c r="BD134" i="13"/>
  <c r="BD135" i="13"/>
  <c r="BD136" i="13"/>
  <c r="BD137" i="13"/>
  <c r="BD138" i="13"/>
  <c r="BD139" i="13"/>
  <c r="BD140" i="13"/>
  <c r="BD141" i="13"/>
  <c r="BD142" i="13"/>
  <c r="BD143" i="13"/>
  <c r="BD144" i="13"/>
  <c r="BD145" i="13"/>
  <c r="BD146" i="13"/>
  <c r="BD147" i="13"/>
  <c r="BD148" i="13"/>
  <c r="BD149" i="13"/>
  <c r="BD150" i="13"/>
  <c r="BD151" i="13"/>
  <c r="BD152" i="13"/>
  <c r="BC153" i="13"/>
  <c r="BD153" i="13"/>
  <c r="BD154" i="13"/>
  <c r="BD155" i="13"/>
  <c r="BD156" i="13"/>
  <c r="BD157" i="13"/>
  <c r="BD158" i="13"/>
  <c r="BD159" i="13"/>
  <c r="BD160" i="13"/>
  <c r="BD161" i="13"/>
  <c r="BD162" i="13"/>
  <c r="BD163" i="13"/>
  <c r="BD164" i="13"/>
  <c r="BD165" i="13"/>
  <c r="BD166" i="13"/>
  <c r="BD167" i="13"/>
  <c r="BC168" i="13"/>
  <c r="BD169" i="13"/>
  <c r="BD170" i="13"/>
  <c r="BD171" i="13"/>
  <c r="BD172" i="13"/>
  <c r="BD173" i="13"/>
  <c r="BD174" i="13"/>
  <c r="BD175" i="13"/>
  <c r="BD176" i="13"/>
  <c r="BD177" i="13"/>
  <c r="BD178" i="13"/>
  <c r="BD179" i="13"/>
  <c r="BD180" i="13"/>
  <c r="BD181" i="13"/>
  <c r="BD182" i="13"/>
  <c r="BD183" i="13"/>
  <c r="BD184" i="13"/>
  <c r="BD185" i="13"/>
  <c r="BD186" i="13"/>
  <c r="BD187" i="13"/>
  <c r="BD189" i="13"/>
  <c r="BD190" i="13"/>
  <c r="BD191" i="13"/>
  <c r="BC192" i="13"/>
  <c r="BD192" i="13"/>
  <c r="BD193" i="13"/>
  <c r="BD194" i="13"/>
  <c r="BD195" i="13"/>
  <c r="BD196" i="13"/>
  <c r="BD197" i="13"/>
  <c r="BD198" i="13"/>
  <c r="BD199" i="13"/>
  <c r="BD200" i="13"/>
  <c r="BD201" i="13"/>
  <c r="BD202" i="13"/>
  <c r="BD203" i="13"/>
  <c r="BD204" i="13"/>
  <c r="BD205" i="13"/>
  <c r="BC206" i="13"/>
  <c r="BD207" i="13"/>
  <c r="BD208" i="13"/>
  <c r="BD209" i="13"/>
  <c r="BD210" i="13"/>
  <c r="BD211" i="13"/>
  <c r="BD212" i="13"/>
  <c r="BD213" i="13"/>
  <c r="BD214" i="13"/>
  <c r="BC215" i="13"/>
  <c r="BH51" i="13" l="1"/>
  <c r="BH14" i="13"/>
  <c r="BH107" i="13"/>
  <c r="AC72" i="15"/>
  <c r="BB72" i="15"/>
  <c r="V45" i="19"/>
  <c r="Y45" i="19"/>
  <c r="AB45" i="19"/>
  <c r="AE45" i="19"/>
  <c r="AH45" i="19"/>
  <c r="AI45" i="19"/>
  <c r="AJ45" i="19"/>
  <c r="AL45" i="19" l="1"/>
  <c r="AW45" i="19" s="1"/>
  <c r="AJ456" i="13"/>
  <c r="BC456" i="13" s="1"/>
  <c r="AB456" i="13"/>
  <c r="Y456" i="13"/>
  <c r="V456" i="13"/>
  <c r="AL456" i="13" l="1"/>
  <c r="AL455" i="13"/>
  <c r="AW455" i="13" l="1"/>
  <c r="AZ457" i="13" s="1"/>
  <c r="BC455" i="13"/>
  <c r="BA457" i="13" l="1"/>
  <c r="AC202" i="14" l="1"/>
  <c r="BB202" i="14"/>
  <c r="BD202" i="14" s="1"/>
  <c r="BE202" i="14" s="1"/>
  <c r="AJ454" i="13"/>
  <c r="AB454" i="13"/>
  <c r="Y454" i="13"/>
  <c r="V454" i="13"/>
  <c r="V453" i="13"/>
  <c r="Y453" i="13"/>
  <c r="AB453" i="13"/>
  <c r="AI453" i="13"/>
  <c r="AJ453" i="13"/>
  <c r="BC453" i="13" s="1"/>
  <c r="V452" i="13"/>
  <c r="Y452" i="13"/>
  <c r="AB452" i="13"/>
  <c r="AI452" i="13"/>
  <c r="AJ452" i="13"/>
  <c r="BC452" i="13" s="1"/>
  <c r="AL453" i="13" l="1"/>
  <c r="AW453" i="13" s="1"/>
  <c r="AL452" i="13"/>
  <c r="AW452" i="13" s="1"/>
  <c r="AL454" i="13"/>
  <c r="BC454" i="13"/>
  <c r="AL451" i="13" l="1"/>
  <c r="AW451" i="13" l="1"/>
  <c r="V450" i="13"/>
  <c r="Y450" i="13"/>
  <c r="AB450" i="13"/>
  <c r="AI450" i="13"/>
  <c r="AJ450" i="13"/>
  <c r="BC450" i="13" s="1"/>
  <c r="AL450" i="13" l="1"/>
  <c r="AW450" i="13" s="1"/>
  <c r="AL44" i="19" l="1"/>
  <c r="AW44" i="19" l="1"/>
  <c r="BB19" i="13"/>
  <c r="AL449" i="13"/>
  <c r="AW449" i="13" s="1"/>
  <c r="AZ454" i="13" l="1"/>
  <c r="BA454" i="13" s="1"/>
  <c r="AL43" i="19" l="1"/>
  <c r="AW43" i="19" l="1"/>
  <c r="AQ70" i="11"/>
  <c r="AP70" i="11"/>
  <c r="AQ69" i="11" l="1"/>
  <c r="AP69" i="11"/>
  <c r="AL69" i="11"/>
  <c r="AA69" i="11"/>
  <c r="AB69" i="11" s="1"/>
  <c r="X69" i="11"/>
  <c r="Y69" i="11" s="1"/>
  <c r="U69" i="11"/>
  <c r="AW69" i="11" l="1"/>
  <c r="V69" i="11"/>
  <c r="V448" i="13"/>
  <c r="Y448" i="13"/>
  <c r="AB448" i="13"/>
  <c r="AI448" i="13"/>
  <c r="AJ448" i="13"/>
  <c r="BC448" i="13" s="1"/>
  <c r="AL448" i="13" l="1"/>
  <c r="AW448" i="13" s="1"/>
  <c r="V447" i="13" l="1"/>
  <c r="Y447" i="13"/>
  <c r="AB447" i="13"/>
  <c r="AI447" i="13"/>
  <c r="AJ447" i="13"/>
  <c r="BC447" i="13" s="1"/>
  <c r="AL447" i="13" l="1"/>
  <c r="AW447" i="13" s="1"/>
  <c r="AL446" i="13" l="1"/>
  <c r="AW446" i="13" s="1"/>
  <c r="V445" i="13"/>
  <c r="Y445" i="13"/>
  <c r="AB445" i="13"/>
  <c r="AI445" i="13"/>
  <c r="AJ445" i="13"/>
  <c r="BC445" i="13" s="1"/>
  <c r="AL445" i="13" l="1"/>
  <c r="AW445" i="13" s="1"/>
  <c r="V444" i="13" l="1"/>
  <c r="Y444" i="13"/>
  <c r="AB444" i="13"/>
  <c r="AI444" i="13"/>
  <c r="AJ444" i="13"/>
  <c r="BC444" i="13" s="1"/>
  <c r="AL444" i="13" l="1"/>
  <c r="AW444" i="13" s="1"/>
  <c r="AC201" i="14" l="1"/>
  <c r="BB201" i="14"/>
  <c r="BD201" i="14" s="1"/>
  <c r="BE201" i="14" s="1"/>
  <c r="V443" i="13"/>
  <c r="Y443" i="13"/>
  <c r="AB443" i="13"/>
  <c r="AI443" i="13"/>
  <c r="AJ443" i="13"/>
  <c r="BC443" i="13" s="1"/>
  <c r="AL381" i="13"/>
  <c r="AW381" i="13" s="1"/>
  <c r="AL443" i="13" l="1"/>
  <c r="AW443" i="13" s="1"/>
  <c r="AL442" i="13" l="1"/>
  <c r="AW442" i="13" s="1"/>
  <c r="AL82" i="11" l="1"/>
  <c r="AW82" i="11" s="1"/>
  <c r="AL83" i="11"/>
  <c r="AW83" i="11" s="1"/>
  <c r="AL84" i="11"/>
  <c r="AW84" i="11" s="1"/>
  <c r="AL86" i="11"/>
  <c r="AW86" i="11" s="1"/>
  <c r="AL85" i="11"/>
  <c r="AW85" i="11" s="1"/>
  <c r="AL87" i="11"/>
  <c r="AW87" i="11" s="1"/>
  <c r="AL88" i="11"/>
  <c r="AW88" i="11" s="1"/>
  <c r="AL77" i="11"/>
  <c r="AW77" i="11" s="1"/>
  <c r="AL78" i="11"/>
  <c r="AW78" i="11" s="1"/>
  <c r="AL79" i="11"/>
  <c r="AW79" i="11" s="1"/>
  <c r="AL80" i="11"/>
  <c r="AW80" i="11" s="1"/>
  <c r="AL81" i="11"/>
  <c r="AW81" i="11" s="1"/>
  <c r="AL76" i="11"/>
  <c r="AW76" i="11" s="1"/>
  <c r="V441" i="13" l="1"/>
  <c r="Y441" i="13"/>
  <c r="AB441" i="13"/>
  <c r="AI441" i="13"/>
  <c r="AJ441" i="13"/>
  <c r="BC441" i="13" s="1"/>
  <c r="AL441" i="13" l="1"/>
  <c r="AW441" i="13" s="1"/>
  <c r="AZ448" i="13" s="1"/>
  <c r="BA448" i="13" s="1"/>
  <c r="V440" i="13"/>
  <c r="Y440" i="13"/>
  <c r="AB440" i="13"/>
  <c r="AI440" i="13"/>
  <c r="AJ440" i="13"/>
  <c r="BC440" i="13" s="1"/>
  <c r="AL440" i="13" l="1"/>
  <c r="AW440" i="13" s="1"/>
  <c r="AL439" i="13"/>
  <c r="AW439" i="13" s="1"/>
  <c r="V438" i="13" l="1"/>
  <c r="Y438" i="13"/>
  <c r="AB438" i="13"/>
  <c r="AI438" i="13"/>
  <c r="AK438" i="13"/>
  <c r="BD438" i="13" s="1"/>
  <c r="BH470" i="13" s="1"/>
  <c r="AL438" i="13" l="1"/>
  <c r="AW438" i="13" s="1"/>
  <c r="V437" i="13"/>
  <c r="Y437" i="13"/>
  <c r="AB437" i="13"/>
  <c r="AI437" i="13"/>
  <c r="AJ437" i="13"/>
  <c r="BC437" i="13" s="1"/>
  <c r="AL437" i="13" l="1"/>
  <c r="AW437" i="13" s="1"/>
  <c r="AQ67" i="11" l="1"/>
  <c r="AP67" i="11"/>
  <c r="V436" i="13" l="1"/>
  <c r="Y436" i="13"/>
  <c r="AB436" i="13"/>
  <c r="AI436" i="13"/>
  <c r="AJ436" i="13"/>
  <c r="BC436" i="13" s="1"/>
  <c r="AL436" i="13" l="1"/>
  <c r="AW436" i="13" s="1"/>
  <c r="AL435" i="13"/>
  <c r="AW435" i="13" s="1"/>
  <c r="V434" i="13" l="1"/>
  <c r="Y434" i="13"/>
  <c r="AB434" i="13"/>
  <c r="AI434" i="13"/>
  <c r="AJ434" i="13"/>
  <c r="BC434" i="13" s="1"/>
  <c r="AL434" i="13" l="1"/>
  <c r="AW434" i="13" s="1"/>
  <c r="V433" i="13"/>
  <c r="Y433" i="13"/>
  <c r="AB433" i="13"/>
  <c r="AE433" i="13"/>
  <c r="AH433" i="13"/>
  <c r="AI433" i="13"/>
  <c r="AJ433" i="13"/>
  <c r="BC433" i="13" s="1"/>
  <c r="AL433" i="13" l="1"/>
  <c r="AW433" i="13" s="1"/>
  <c r="AI432" i="13"/>
  <c r="V432" i="13"/>
  <c r="Y432" i="13"/>
  <c r="AB432" i="13"/>
  <c r="AJ432" i="13"/>
  <c r="BC432" i="13" s="1"/>
  <c r="AL432" i="13" l="1"/>
  <c r="V431" i="13" l="1"/>
  <c r="Y431" i="13"/>
  <c r="AB431" i="13"/>
  <c r="AI431" i="13"/>
  <c r="AJ431" i="13"/>
  <c r="BC431" i="13" s="1"/>
  <c r="AL431" i="13" l="1"/>
  <c r="AW431" i="13" s="1"/>
  <c r="V429" i="13" l="1"/>
  <c r="Y429" i="13"/>
  <c r="AB429" i="13"/>
  <c r="AJ429" i="13"/>
  <c r="AL429" i="13" l="1"/>
  <c r="AW429" i="13" s="1"/>
  <c r="BC429" i="13"/>
  <c r="V428" i="13" l="1"/>
  <c r="Y428" i="13"/>
  <c r="AB428" i="13"/>
  <c r="AI428" i="13"/>
  <c r="AJ428" i="13"/>
  <c r="BC428" i="13" s="1"/>
  <c r="V430" i="13"/>
  <c r="Y430" i="13"/>
  <c r="Z430" i="13"/>
  <c r="AB430" i="13" s="1"/>
  <c r="AJ430" i="13"/>
  <c r="BC430" i="13" s="1"/>
  <c r="AL428" i="13" l="1"/>
  <c r="AW428" i="13" s="1"/>
  <c r="AI430" i="13"/>
  <c r="AL430" i="13" s="1"/>
  <c r="AW430" i="13" s="1"/>
  <c r="V427" i="13"/>
  <c r="Y427" i="13"/>
  <c r="AB427" i="13"/>
  <c r="AI427" i="13"/>
  <c r="AJ427" i="13"/>
  <c r="BC427" i="13" s="1"/>
  <c r="AZ440" i="13" l="1"/>
  <c r="BA440" i="13" s="1"/>
  <c r="AL427" i="13"/>
  <c r="AW427" i="13" s="1"/>
  <c r="V426" i="13"/>
  <c r="Y426" i="13"/>
  <c r="AB426" i="13"/>
  <c r="AI426" i="13"/>
  <c r="AJ426" i="13"/>
  <c r="BC426" i="13" s="1"/>
  <c r="AL426" i="13" l="1"/>
  <c r="V425" i="13"/>
  <c r="Y425" i="13"/>
  <c r="AB425" i="13"/>
  <c r="AI425" i="13"/>
  <c r="AJ425" i="13"/>
  <c r="BC425" i="13" s="1"/>
  <c r="AL425" i="13" l="1"/>
  <c r="AW425" i="13" s="1"/>
  <c r="AJ424" i="13" l="1"/>
  <c r="Z424" i="13"/>
  <c r="AB424" i="13" s="1"/>
  <c r="W424" i="13"/>
  <c r="Y424" i="13" s="1"/>
  <c r="T424" i="13"/>
  <c r="V424" i="13" s="1"/>
  <c r="AL424" i="13" l="1"/>
  <c r="AW424" i="13" s="1"/>
  <c r="BC424" i="13"/>
  <c r="V422" i="13"/>
  <c r="Y422" i="13"/>
  <c r="AB422" i="13"/>
  <c r="AJ422" i="13"/>
  <c r="AJ423" i="13"/>
  <c r="BC423" i="13" s="1"/>
  <c r="AB423" i="13"/>
  <c r="Y423" i="13"/>
  <c r="V423" i="13"/>
  <c r="AL422" i="13" l="1"/>
  <c r="AW422" i="13" s="1"/>
  <c r="BC422" i="13"/>
  <c r="AC69" i="15"/>
  <c r="BB69" i="15"/>
  <c r="AC70" i="15"/>
  <c r="BB70" i="15"/>
  <c r="V421" i="13" l="1"/>
  <c r="Y421" i="13"/>
  <c r="AB421" i="13"/>
  <c r="AI421" i="13"/>
  <c r="AJ421" i="13"/>
  <c r="BC421" i="13" s="1"/>
  <c r="AL421" i="13" l="1"/>
  <c r="AW421" i="13" s="1"/>
  <c r="T420" i="13" l="1"/>
  <c r="V420" i="13" s="1"/>
  <c r="Y420" i="13"/>
  <c r="AB420" i="13"/>
  <c r="AJ420" i="13"/>
  <c r="AL420" i="13" l="1"/>
  <c r="BC420" i="13"/>
  <c r="V419" i="13"/>
  <c r="Y419" i="13"/>
  <c r="AB419" i="13"/>
  <c r="AI419" i="13"/>
  <c r="AJ419" i="13"/>
  <c r="BC419" i="13" s="1"/>
  <c r="AL419" i="13" l="1"/>
  <c r="AW419" i="13" s="1"/>
  <c r="V418" i="13" l="1"/>
  <c r="Y418" i="13"/>
  <c r="AB418" i="13"/>
  <c r="AI418" i="13"/>
  <c r="AJ418" i="13"/>
  <c r="BC418" i="13" s="1"/>
  <c r="AL418" i="13" l="1"/>
  <c r="AW418" i="13" s="1"/>
  <c r="AC200" i="14"/>
  <c r="BB200" i="14"/>
  <c r="BD200" i="14" s="1"/>
  <c r="BE200" i="14" s="1"/>
  <c r="V417" i="13"/>
  <c r="Y417" i="13"/>
  <c r="AB417" i="13"/>
  <c r="AJ417" i="13"/>
  <c r="AL417" i="13" l="1"/>
  <c r="AW417" i="13" s="1"/>
  <c r="BC417" i="13"/>
  <c r="V416" i="13"/>
  <c r="Y416" i="13"/>
  <c r="AB416" i="13"/>
  <c r="AI416" i="13"/>
  <c r="AJ416" i="13"/>
  <c r="BC416" i="13" s="1"/>
  <c r="AL416" i="13" l="1"/>
  <c r="AW416" i="13" s="1"/>
  <c r="AJ8" i="19"/>
  <c r="V42" i="19"/>
  <c r="Y42" i="19"/>
  <c r="AB42" i="19"/>
  <c r="AI42" i="19"/>
  <c r="AJ42" i="19"/>
  <c r="AL42" i="19" l="1"/>
  <c r="AW42" i="19" s="1"/>
  <c r="AZ429" i="13"/>
  <c r="BA429" i="13" s="1"/>
  <c r="V415" i="13" l="1"/>
  <c r="Y415" i="13"/>
  <c r="AB415" i="13"/>
  <c r="AI415" i="13"/>
  <c r="AJ415" i="13"/>
  <c r="BC415" i="13" s="1"/>
  <c r="AL415" i="13" l="1"/>
  <c r="AW415" i="13" s="1"/>
  <c r="AQ65" i="11"/>
  <c r="AP65" i="11"/>
  <c r="AP15" i="11" l="1"/>
  <c r="AQ15" i="11"/>
  <c r="AJ15" i="11"/>
  <c r="AI15" i="11"/>
  <c r="AB15" i="11"/>
  <c r="Y15" i="11"/>
  <c r="V15" i="11"/>
  <c r="AL15" i="11" l="1"/>
  <c r="AW15" i="11" s="1"/>
  <c r="V414" i="13" l="1"/>
  <c r="Y414" i="13"/>
  <c r="AB414" i="13"/>
  <c r="AI414" i="13"/>
  <c r="AJ414" i="13"/>
  <c r="BC414" i="13" s="1"/>
  <c r="AL414" i="13" l="1"/>
  <c r="AW414" i="13" s="1"/>
  <c r="AL411" i="13"/>
  <c r="AW411" i="13" s="1"/>
  <c r="AL412" i="13"/>
  <c r="AL413" i="13"/>
  <c r="AW413" i="13" s="1"/>
  <c r="AL410" i="13"/>
  <c r="AW410" i="13" s="1"/>
  <c r="AW412" i="13" l="1"/>
  <c r="AC49" i="15" l="1"/>
  <c r="C2" i="11" l="1"/>
  <c r="V409" i="13" l="1"/>
  <c r="Y409" i="13"/>
  <c r="AB409" i="13"/>
  <c r="AI409" i="13"/>
  <c r="AJ409" i="13"/>
  <c r="BC409" i="13" s="1"/>
  <c r="AL409" i="13" l="1"/>
  <c r="AW409" i="13" s="1"/>
  <c r="V408" i="13"/>
  <c r="Y408" i="13"/>
  <c r="AB408" i="13"/>
  <c r="AI408" i="13"/>
  <c r="AJ408" i="13"/>
  <c r="BC408" i="13" s="1"/>
  <c r="AL408" i="13" l="1"/>
  <c r="AW408" i="13" s="1"/>
  <c r="V407" i="13" l="1"/>
  <c r="Y407" i="13"/>
  <c r="AB407" i="13"/>
  <c r="BC407" i="13"/>
  <c r="AL407" i="13" l="1"/>
  <c r="AW407" i="13" s="1"/>
  <c r="AZ415" i="13" s="1"/>
  <c r="BA415" i="13" s="1"/>
  <c r="BH187" i="14" l="1"/>
  <c r="AI170" i="13" l="1"/>
  <c r="AJ170" i="13" l="1"/>
  <c r="BC170" i="13" s="1"/>
  <c r="V170" i="13"/>
  <c r="V100" i="13" l="1"/>
  <c r="AR100" i="13" s="1"/>
  <c r="Y100" i="13"/>
  <c r="AS100" i="13" s="1"/>
  <c r="AB100" i="13"/>
  <c r="AI100" i="13"/>
  <c r="AJ100" i="13"/>
  <c r="BC100" i="13" s="1"/>
  <c r="T287" i="13"/>
  <c r="U287" i="13" s="1"/>
  <c r="W287" i="13"/>
  <c r="X287" i="13" s="1"/>
  <c r="Y287" i="13" s="1"/>
  <c r="AS287" i="13" s="1"/>
  <c r="Z287" i="13"/>
  <c r="AA287" i="13" s="1"/>
  <c r="V286" i="13"/>
  <c r="Y286" i="13"/>
  <c r="AS286" i="13" s="1"/>
  <c r="AB286" i="13"/>
  <c r="AT286" i="13" s="1"/>
  <c r="AI286" i="13"/>
  <c r="AJ286" i="13"/>
  <c r="BC286" i="13" s="1"/>
  <c r="V334" i="13"/>
  <c r="AR334" i="13" s="1"/>
  <c r="Y334" i="13"/>
  <c r="AS334" i="13" s="1"/>
  <c r="AB334" i="13"/>
  <c r="AI334" i="13"/>
  <c r="AJ334" i="13"/>
  <c r="BC334" i="13" s="1"/>
  <c r="V306" i="13"/>
  <c r="Y306" i="13"/>
  <c r="AS306" i="13" s="1"/>
  <c r="AB306" i="13"/>
  <c r="AT306" i="13" s="1"/>
  <c r="AI306" i="13"/>
  <c r="AJ306" i="13"/>
  <c r="BC306" i="13" s="1"/>
  <c r="V198" i="13"/>
  <c r="AR198" i="13" s="1"/>
  <c r="Y198" i="13"/>
  <c r="AS198" i="13" s="1"/>
  <c r="AB198" i="13"/>
  <c r="AT198" i="13" s="1"/>
  <c r="AI198" i="13"/>
  <c r="AJ198" i="13"/>
  <c r="BC198" i="13" s="1"/>
  <c r="V148" i="13"/>
  <c r="AR148" i="13" s="1"/>
  <c r="Y148" i="13"/>
  <c r="AS148" i="13" s="1"/>
  <c r="AB148" i="13"/>
  <c r="AT148" i="13" s="1"/>
  <c r="AI148" i="13"/>
  <c r="AJ148" i="13"/>
  <c r="BC148" i="13" s="1"/>
  <c r="U344" i="13"/>
  <c r="V344" i="13" s="1"/>
  <c r="X344" i="13"/>
  <c r="Y344" i="13" s="1"/>
  <c r="AS344" i="13" s="1"/>
  <c r="AA344" i="13"/>
  <c r="AI344" i="13"/>
  <c r="V48" i="13"/>
  <c r="AR48" i="13" s="1"/>
  <c r="Y48" i="13"/>
  <c r="AS48" i="13" s="1"/>
  <c r="AB48" i="13"/>
  <c r="AE48" i="13"/>
  <c r="AU48" i="13" s="1"/>
  <c r="AH48" i="13"/>
  <c r="AV48" i="13" s="1"/>
  <c r="AI48" i="13"/>
  <c r="AJ48" i="13"/>
  <c r="BC48" i="13" s="1"/>
  <c r="V188" i="13"/>
  <c r="AR188" i="13" s="1"/>
  <c r="Y188" i="13"/>
  <c r="AS188" i="13" s="1"/>
  <c r="AB188" i="13"/>
  <c r="AT188" i="13" s="1"/>
  <c r="AI188" i="13"/>
  <c r="AJ188" i="13"/>
  <c r="BC188" i="13" s="1"/>
  <c r="V72" i="13"/>
  <c r="AR72" i="13" s="1"/>
  <c r="Y72" i="13"/>
  <c r="AS72" i="13" s="1"/>
  <c r="AB72" i="13"/>
  <c r="AT72" i="13" s="1"/>
  <c r="AI72" i="13"/>
  <c r="AJ72" i="13"/>
  <c r="BC72" i="13" s="1"/>
  <c r="BB110" i="13"/>
  <c r="V109" i="13"/>
  <c r="AR109" i="13" s="1"/>
  <c r="Y109" i="13"/>
  <c r="AS109" i="13" s="1"/>
  <c r="AB109" i="13"/>
  <c r="AT109" i="13" s="1"/>
  <c r="AI109" i="13"/>
  <c r="AJ109" i="13"/>
  <c r="BC109" i="13" s="1"/>
  <c r="V166" i="13"/>
  <c r="Y166" i="13"/>
  <c r="AS166" i="13" s="1"/>
  <c r="AB166" i="13"/>
  <c r="AT166" i="13" s="1"/>
  <c r="AI166" i="13"/>
  <c r="AJ166" i="13"/>
  <c r="BC166" i="13" s="1"/>
  <c r="U108" i="13"/>
  <c r="V108" i="13" s="1"/>
  <c r="AR108" i="13" s="1"/>
  <c r="X108" i="13"/>
  <c r="Y108" i="13" s="1"/>
  <c r="AA108" i="13"/>
  <c r="AB108" i="13" s="1"/>
  <c r="AT108" i="13" s="1"/>
  <c r="AI108" i="13"/>
  <c r="V73" i="13"/>
  <c r="Y73" i="13"/>
  <c r="AS73" i="13" s="1"/>
  <c r="AB73" i="13"/>
  <c r="AT73" i="13" s="1"/>
  <c r="AI73" i="13"/>
  <c r="AJ73" i="13"/>
  <c r="BC73" i="13" s="1"/>
  <c r="AL100" i="13" l="1"/>
  <c r="AT100" i="13"/>
  <c r="AW100" i="13" s="1"/>
  <c r="AJ287" i="13"/>
  <c r="BC287" i="13" s="1"/>
  <c r="V287" i="13"/>
  <c r="AB287" i="13"/>
  <c r="AT287" i="13" s="1"/>
  <c r="AL306" i="13"/>
  <c r="AL286" i="13"/>
  <c r="AR286" i="13"/>
  <c r="AW286" i="13" s="1"/>
  <c r="AI287" i="13"/>
  <c r="AL334" i="13"/>
  <c r="AT334" i="13"/>
  <c r="AW334" i="13" s="1"/>
  <c r="AR306" i="13"/>
  <c r="AW306" i="13" s="1"/>
  <c r="AL198" i="13"/>
  <c r="AW148" i="13"/>
  <c r="AW198" i="13"/>
  <c r="BB51" i="13"/>
  <c r="AL148" i="13"/>
  <c r="AJ344" i="13"/>
  <c r="BC344" i="13" s="1"/>
  <c r="AR344" i="13"/>
  <c r="AL48" i="13"/>
  <c r="AB344" i="13"/>
  <c r="AT344" i="13" s="1"/>
  <c r="AL188" i="13"/>
  <c r="AW188" i="13"/>
  <c r="AW109" i="13"/>
  <c r="AT48" i="13"/>
  <c r="AW48" i="13" s="1"/>
  <c r="AL72" i="13"/>
  <c r="AL109" i="13"/>
  <c r="AW72" i="13"/>
  <c r="AL166" i="13"/>
  <c r="AR166" i="13"/>
  <c r="AW166" i="13" s="1"/>
  <c r="AL108" i="13"/>
  <c r="AS108" i="13"/>
  <c r="AW108" i="13" s="1"/>
  <c r="AJ108" i="13"/>
  <c r="BC108" i="13" s="1"/>
  <c r="AL73" i="13"/>
  <c r="AR73" i="13"/>
  <c r="AW73" i="13" s="1"/>
  <c r="AL287" i="13" l="1"/>
  <c r="AR287" i="13"/>
  <c r="AW287" i="13" s="1"/>
  <c r="AW344" i="13"/>
  <c r="AL344" i="13"/>
  <c r="V406" i="13"/>
  <c r="Y406" i="13"/>
  <c r="AB406" i="13"/>
  <c r="AJ406" i="13"/>
  <c r="AL406" i="13" l="1"/>
  <c r="AW406" i="13" s="1"/>
  <c r="BC406" i="13"/>
  <c r="V405" i="13" l="1"/>
  <c r="Y405" i="13"/>
  <c r="AB405" i="13"/>
  <c r="AI405" i="13"/>
  <c r="AJ405" i="13"/>
  <c r="BC405" i="13" s="1"/>
  <c r="AL405" i="13" l="1"/>
  <c r="AW405" i="13" s="1"/>
  <c r="V404" i="13" l="1"/>
  <c r="Y404" i="13"/>
  <c r="AB404" i="13"/>
  <c r="AI404" i="13"/>
  <c r="AJ404" i="13"/>
  <c r="BC404" i="13" s="1"/>
  <c r="AL404" i="13" l="1"/>
  <c r="AW404" i="13" s="1"/>
  <c r="BF155" i="14" l="1"/>
  <c r="BF83" i="14"/>
  <c r="BB199" i="14"/>
  <c r="BF78" i="14"/>
  <c r="BF8" i="14"/>
  <c r="BF147" i="14"/>
  <c r="BB161" i="13"/>
  <c r="AL65" i="11" l="1"/>
  <c r="AL67" i="11"/>
  <c r="AL68" i="11"/>
  <c r="AL70" i="11"/>
  <c r="AL71" i="11"/>
  <c r="AL72" i="11"/>
  <c r="AL73" i="11"/>
  <c r="AL74" i="11"/>
  <c r="AL75" i="11"/>
  <c r="AL64" i="11"/>
  <c r="AL54" i="11"/>
  <c r="AL103" i="11"/>
  <c r="AL55" i="11"/>
  <c r="AL58" i="11"/>
  <c r="AL60" i="11"/>
  <c r="AL61" i="11"/>
  <c r="AL62" i="11"/>
  <c r="AL63" i="11"/>
  <c r="AJ16" i="11"/>
  <c r="AW4" i="13" l="1"/>
  <c r="AJ403" i="13" l="1"/>
  <c r="BC403" i="13" s="1"/>
  <c r="AI403" i="13"/>
  <c r="AB403" i="13"/>
  <c r="Y403" i="13"/>
  <c r="V403" i="13"/>
  <c r="AC199" i="14"/>
  <c r="AL403" i="13" l="1"/>
  <c r="AW403" i="13" s="1"/>
  <c r="AQ64" i="11"/>
  <c r="AW64" i="11" s="1"/>
  <c r="AP64" i="11"/>
  <c r="BF138" i="14" l="1"/>
  <c r="AC118" i="14"/>
  <c r="AC119" i="14"/>
  <c r="AC108" i="14"/>
  <c r="AC110" i="14"/>
  <c r="AC111" i="14"/>
  <c r="AC112" i="14"/>
  <c r="AC113" i="14"/>
  <c r="AC114" i="14"/>
  <c r="AC115" i="14"/>
  <c r="AC116" i="14"/>
  <c r="AC117" i="14"/>
  <c r="AC109" i="14"/>
  <c r="AC198" i="14" l="1"/>
  <c r="BB198" i="14"/>
  <c r="BD199" i="14" s="1"/>
  <c r="BE199" i="14" s="1"/>
  <c r="AL402" i="13" l="1"/>
  <c r="AW402" i="13" l="1"/>
  <c r="V401" i="13"/>
  <c r="Y401" i="13"/>
  <c r="AB401" i="13"/>
  <c r="AI401" i="13"/>
  <c r="AJ401" i="13"/>
  <c r="BC401" i="13" s="1"/>
  <c r="AL401" i="13" l="1"/>
  <c r="AW401" i="13" s="1"/>
  <c r="AZ406" i="13" s="1"/>
  <c r="BA406" i="13" l="1"/>
  <c r="AL400" i="13" l="1"/>
  <c r="AW400" i="13" s="1"/>
  <c r="AQ63" i="11" l="1"/>
  <c r="AP63" i="11"/>
  <c r="AQ62" i="11" l="1"/>
  <c r="AP62" i="11"/>
  <c r="V399" i="13" l="1"/>
  <c r="Y399" i="13"/>
  <c r="AB399" i="13"/>
  <c r="AI399" i="13"/>
  <c r="AJ399" i="13"/>
  <c r="BC399" i="13" s="1"/>
  <c r="AL399" i="13" l="1"/>
  <c r="V398" i="13" l="1"/>
  <c r="Y398" i="13"/>
  <c r="AB398" i="13"/>
  <c r="AI398" i="13"/>
  <c r="AJ398" i="13"/>
  <c r="BC398" i="13" s="1"/>
  <c r="V397" i="13"/>
  <c r="Y397" i="13"/>
  <c r="AB397" i="13"/>
  <c r="AI397" i="13"/>
  <c r="V396" i="13"/>
  <c r="Y396" i="13"/>
  <c r="AB396" i="13"/>
  <c r="AJ396" i="13"/>
  <c r="AL396" i="13" l="1"/>
  <c r="AW396" i="13" s="1"/>
  <c r="BC396" i="13"/>
  <c r="AL397" i="13"/>
  <c r="AW397" i="13" s="1"/>
  <c r="AL398" i="13"/>
  <c r="AW398" i="13" s="1"/>
  <c r="AC197" i="14" l="1"/>
  <c r="BB197" i="14"/>
  <c r="BD197" i="14" s="1"/>
  <c r="BE197" i="14" s="1"/>
  <c r="V395" i="13"/>
  <c r="Y395" i="13"/>
  <c r="AB395" i="13"/>
  <c r="AI395" i="13"/>
  <c r="AJ395" i="13"/>
  <c r="BC395" i="13" s="1"/>
  <c r="AL395" i="13" l="1"/>
  <c r="AW395" i="13" s="1"/>
  <c r="AJ394" i="13"/>
  <c r="BC394" i="13" s="1"/>
  <c r="AI394" i="13"/>
  <c r="AB394" i="13"/>
  <c r="Y394" i="13"/>
  <c r="V394" i="13"/>
  <c r="AL394" i="13" l="1"/>
  <c r="V393" i="13"/>
  <c r="Y393" i="13"/>
  <c r="AB393" i="13"/>
  <c r="AI393" i="13"/>
  <c r="AJ393" i="13"/>
  <c r="BC393" i="13" s="1"/>
  <c r="AL393" i="13" l="1"/>
  <c r="AW393" i="13" s="1"/>
  <c r="V392" i="13" l="1"/>
  <c r="Y392" i="13"/>
  <c r="AB392" i="13"/>
  <c r="AI392" i="13"/>
  <c r="AJ392" i="13"/>
  <c r="BC392" i="13" s="1"/>
  <c r="AL392" i="13" l="1"/>
  <c r="AW392" i="13" s="1"/>
  <c r="V391" i="13"/>
  <c r="Y391" i="13"/>
  <c r="AB391" i="13"/>
  <c r="AI391" i="13"/>
  <c r="AJ391" i="13"/>
  <c r="BC391" i="13" s="1"/>
  <c r="AL391" i="13" l="1"/>
  <c r="AW391" i="13" s="1"/>
  <c r="AZ400" i="13" s="1"/>
  <c r="BA400" i="13" s="1"/>
  <c r="V390" i="13" l="1"/>
  <c r="Y390" i="13"/>
  <c r="AB390" i="13"/>
  <c r="AJ390" i="13"/>
  <c r="BC390" i="13" s="1"/>
  <c r="AI390" i="13" l="1"/>
  <c r="AL390" i="13" s="1"/>
  <c r="AJ389" i="13"/>
  <c r="BC389" i="13" s="1"/>
  <c r="AI389" i="13"/>
  <c r="AB389" i="13"/>
  <c r="Y389" i="13"/>
  <c r="V389" i="13"/>
  <c r="V388" i="13"/>
  <c r="Y388" i="13"/>
  <c r="AB388" i="13"/>
  <c r="AI388" i="13"/>
  <c r="AJ388" i="13"/>
  <c r="BC388" i="13" s="1"/>
  <c r="AL389" i="13" l="1"/>
  <c r="AL388" i="13"/>
  <c r="AW388" i="13" s="1"/>
  <c r="V387" i="13" l="1"/>
  <c r="Y387" i="13"/>
  <c r="AB387" i="13"/>
  <c r="AI387" i="13"/>
  <c r="AJ387" i="13"/>
  <c r="BC387" i="13" s="1"/>
  <c r="V386" i="13"/>
  <c r="Y386" i="13"/>
  <c r="AB386" i="13"/>
  <c r="AI386" i="13"/>
  <c r="AJ386" i="13"/>
  <c r="BC386" i="13" s="1"/>
  <c r="AL386" i="13" l="1"/>
  <c r="AW386" i="13" s="1"/>
  <c r="AL387" i="13"/>
  <c r="AW387" i="13" s="1"/>
  <c r="V385" i="13" l="1"/>
  <c r="Y385" i="13"/>
  <c r="AB385" i="13"/>
  <c r="AI385" i="13"/>
  <c r="AJ385" i="13"/>
  <c r="BC385" i="13" s="1"/>
  <c r="AL385" i="13" l="1"/>
  <c r="AW385" i="13" s="1"/>
  <c r="AQ61" i="11" l="1"/>
  <c r="AP61" i="11"/>
  <c r="V384" i="13" l="1"/>
  <c r="Y384" i="13"/>
  <c r="AB384" i="13"/>
  <c r="AI384" i="13"/>
  <c r="AJ384" i="13"/>
  <c r="BC384" i="13" s="1"/>
  <c r="AL384" i="13" l="1"/>
  <c r="AW384" i="13" s="1"/>
  <c r="V383" i="13" l="1"/>
  <c r="Y383" i="13"/>
  <c r="AB383" i="13"/>
  <c r="AI383" i="13"/>
  <c r="AJ383" i="13"/>
  <c r="BC383" i="13" s="1"/>
  <c r="AL383" i="13" l="1"/>
  <c r="AW383" i="13" s="1"/>
  <c r="AQ60" i="11"/>
  <c r="AP60" i="11"/>
  <c r="AJ57" i="11" l="1"/>
  <c r="AJ56" i="11"/>
  <c r="AL56" i="11" s="1"/>
  <c r="AB56" i="11"/>
  <c r="Y56" i="11"/>
  <c r="V56" i="11"/>
  <c r="AQ58" i="11"/>
  <c r="AP58" i="11"/>
  <c r="AW56" i="11" l="1"/>
  <c r="AL382" i="13"/>
  <c r="AW382" i="13" s="1"/>
  <c r="AQ55" i="11" l="1"/>
  <c r="AP55" i="11"/>
  <c r="V380" i="13" l="1"/>
  <c r="Y380" i="13"/>
  <c r="AB380" i="13"/>
  <c r="AI380" i="13"/>
  <c r="AJ380" i="13"/>
  <c r="BC380" i="13" s="1"/>
  <c r="AL380" i="13" l="1"/>
  <c r="AW380" i="13" s="1"/>
  <c r="V379" i="13"/>
  <c r="Y379" i="13"/>
  <c r="AB379" i="13"/>
  <c r="AJ379" i="13"/>
  <c r="V378" i="13"/>
  <c r="Y378" i="13"/>
  <c r="AB378" i="13"/>
  <c r="AI378" i="13"/>
  <c r="AJ378" i="13"/>
  <c r="BC378" i="13" s="1"/>
  <c r="AC196" i="14"/>
  <c r="BB196" i="14"/>
  <c r="BD196" i="14" s="1"/>
  <c r="BE196" i="14" s="1"/>
  <c r="BG204" i="14" s="1"/>
  <c r="AL379" i="13" l="1"/>
  <c r="AW379" i="13" s="1"/>
  <c r="AZ390" i="13" s="1"/>
  <c r="BA390" i="13" s="1"/>
  <c r="BC379" i="13"/>
  <c r="AL378" i="13"/>
  <c r="AW378" i="13" s="1"/>
  <c r="AW72" i="11" l="1"/>
  <c r="AW73" i="11"/>
  <c r="AW74" i="11"/>
  <c r="AW75" i="11"/>
  <c r="AW65" i="11"/>
  <c r="AW67" i="11"/>
  <c r="AW68" i="11"/>
  <c r="AW70" i="11"/>
  <c r="AW71" i="11"/>
  <c r="AW103" i="11"/>
  <c r="V377" i="13" l="1"/>
  <c r="Y377" i="13"/>
  <c r="AB377" i="13"/>
  <c r="AI377" i="13"/>
  <c r="AJ377" i="13"/>
  <c r="BC377" i="13" s="1"/>
  <c r="AL377" i="13" l="1"/>
  <c r="AW377" i="13" s="1"/>
  <c r="V376" i="13"/>
  <c r="Y376" i="13"/>
  <c r="AB376" i="13"/>
  <c r="AI376" i="13"/>
  <c r="AJ376" i="13"/>
  <c r="BC376" i="13" s="1"/>
  <c r="AL376" i="13" l="1"/>
  <c r="AW376" i="13" s="1"/>
  <c r="AQ54" i="11"/>
  <c r="AP54" i="11"/>
  <c r="AC68" i="15" l="1"/>
  <c r="BB68" i="15"/>
  <c r="V39" i="19"/>
  <c r="Y39" i="19"/>
  <c r="AB39" i="19"/>
  <c r="AI39" i="19"/>
  <c r="AJ39" i="19"/>
  <c r="V40" i="19"/>
  <c r="Y40" i="19"/>
  <c r="AB40" i="19"/>
  <c r="AI40" i="19"/>
  <c r="AJ40" i="19"/>
  <c r="V41" i="19"/>
  <c r="Y41" i="19"/>
  <c r="AB41" i="19"/>
  <c r="AI41" i="19"/>
  <c r="AJ41" i="19"/>
  <c r="AL41" i="19" l="1"/>
  <c r="AW41" i="19" s="1"/>
  <c r="AL40" i="19"/>
  <c r="AW40" i="19" s="1"/>
  <c r="AL39" i="19"/>
  <c r="AW39" i="19" s="1"/>
  <c r="V375" i="13"/>
  <c r="Y375" i="13"/>
  <c r="AB375" i="13"/>
  <c r="AI375" i="13"/>
  <c r="AJ375" i="13"/>
  <c r="BC375" i="13" s="1"/>
  <c r="AL375" i="13" l="1"/>
  <c r="AW375" i="13" s="1"/>
  <c r="AJ38" i="19"/>
  <c r="AI38" i="19"/>
  <c r="AB38" i="19"/>
  <c r="Y38" i="19"/>
  <c r="V38" i="19"/>
  <c r="AL38" i="19" l="1"/>
  <c r="AW38" i="19" s="1"/>
  <c r="Z33" i="11"/>
  <c r="AB33" i="11" s="1"/>
  <c r="W33" i="11"/>
  <c r="Y33" i="11" s="1"/>
  <c r="T33" i="11"/>
  <c r="V33" i="11" s="1"/>
  <c r="V374" i="13" l="1"/>
  <c r="Y374" i="13"/>
  <c r="AB374" i="13"/>
  <c r="AI374" i="13"/>
  <c r="AJ374" i="13"/>
  <c r="BC374" i="13" s="1"/>
  <c r="AL374" i="13" l="1"/>
  <c r="AW374" i="13" s="1"/>
  <c r="AB373" i="13" l="1"/>
  <c r="AJ373" i="13"/>
  <c r="AL373" i="13" l="1"/>
  <c r="AW373" i="13" s="1"/>
  <c r="BC373" i="13"/>
  <c r="V372" i="13" l="1"/>
  <c r="Y372" i="13"/>
  <c r="AB372" i="13"/>
  <c r="AI372" i="13"/>
  <c r="AJ372" i="13"/>
  <c r="BC372" i="13" s="1"/>
  <c r="AL372" i="13" l="1"/>
  <c r="AW372" i="13" s="1"/>
  <c r="AJ371" i="13" l="1"/>
  <c r="BC371" i="13" s="1"/>
  <c r="AI371" i="13"/>
  <c r="AB371" i="13"/>
  <c r="Y371" i="13"/>
  <c r="V371" i="13"/>
  <c r="AL371" i="13" l="1"/>
  <c r="AW371" i="13" s="1"/>
  <c r="AJ17" i="11"/>
  <c r="AJ14" i="11"/>
  <c r="AJ13" i="11"/>
  <c r="AJ11" i="11"/>
  <c r="AJ10" i="11"/>
  <c r="AJ9" i="11"/>
  <c r="AJ8" i="11"/>
  <c r="AJ5" i="11"/>
  <c r="AJ6" i="11"/>
  <c r="AI5" i="11" l="1"/>
  <c r="AL5" i="11" s="1"/>
  <c r="AI6" i="11"/>
  <c r="AL6" i="11" s="1"/>
  <c r="AI8" i="11"/>
  <c r="AL8" i="11" s="1"/>
  <c r="AI9" i="11"/>
  <c r="AL9" i="11" s="1"/>
  <c r="AI10" i="11"/>
  <c r="AL10" i="11" s="1"/>
  <c r="AI11" i="11"/>
  <c r="AL11" i="11" s="1"/>
  <c r="AW54" i="11"/>
  <c r="AW55" i="11"/>
  <c r="AW58" i="11"/>
  <c r="AW60" i="11"/>
  <c r="AW61" i="11"/>
  <c r="AW62" i="11"/>
  <c r="AW63" i="11"/>
  <c r="V370" i="13" l="1"/>
  <c r="Y370" i="13"/>
  <c r="AB370" i="13"/>
  <c r="AI370" i="13"/>
  <c r="AJ370" i="13"/>
  <c r="BC370" i="13" s="1"/>
  <c r="V369" i="13"/>
  <c r="Y369" i="13"/>
  <c r="AB369" i="13"/>
  <c r="AT369" i="13" s="1"/>
  <c r="AI369" i="13"/>
  <c r="AJ369" i="13"/>
  <c r="BC369" i="13" s="1"/>
  <c r="AL370" i="13" l="1"/>
  <c r="AW370" i="13" s="1"/>
  <c r="AL369" i="13"/>
  <c r="AT370" i="13"/>
  <c r="V368" i="13" l="1"/>
  <c r="Y368" i="13"/>
  <c r="AB368" i="13"/>
  <c r="AI368" i="13"/>
  <c r="AJ368" i="13"/>
  <c r="BC368" i="13" s="1"/>
  <c r="AL368" i="13" l="1"/>
  <c r="AW368" i="13" s="1"/>
  <c r="V367" i="13" l="1"/>
  <c r="Y367" i="13"/>
  <c r="AB367" i="13"/>
  <c r="AI367" i="13"/>
  <c r="AJ367" i="13"/>
  <c r="BC367" i="13" s="1"/>
  <c r="BG470" i="13" s="1"/>
  <c r="V366" i="13"/>
  <c r="AR366" i="13" s="1"/>
  <c r="Y366" i="13"/>
  <c r="AS366" i="13" s="1"/>
  <c r="AB366" i="13"/>
  <c r="AT366" i="13" s="1"/>
  <c r="AI366" i="13"/>
  <c r="AJ366" i="13"/>
  <c r="BC366" i="13" s="1"/>
  <c r="AL367" i="13" l="1"/>
  <c r="AW367" i="13" s="1"/>
  <c r="AZ378" i="13" s="1"/>
  <c r="BA378" i="13" s="1"/>
  <c r="BF470" i="13" s="1"/>
  <c r="BJ470" i="13" s="1"/>
  <c r="AW366" i="13"/>
  <c r="AL366" i="13"/>
  <c r="AJ365" i="13" l="1"/>
  <c r="BC365" i="13" s="1"/>
  <c r="AI365" i="13"/>
  <c r="AB365" i="13"/>
  <c r="AT365" i="13" s="1"/>
  <c r="AW365" i="13" s="1"/>
  <c r="Y365" i="13"/>
  <c r="V365" i="13"/>
  <c r="AL365" i="13" l="1"/>
  <c r="V364" i="13"/>
  <c r="Y364" i="13"/>
  <c r="AS364" i="13" s="1"/>
  <c r="AB364" i="13"/>
  <c r="AT364" i="13" s="1"/>
  <c r="AI364" i="13"/>
  <c r="AJ364" i="13"/>
  <c r="BC364" i="13" s="1"/>
  <c r="V363" i="13"/>
  <c r="Y363" i="13"/>
  <c r="AS363" i="13" s="1"/>
  <c r="AB363" i="13"/>
  <c r="AI363" i="13"/>
  <c r="AJ363" i="13"/>
  <c r="BC363" i="13" s="1"/>
  <c r="V362" i="13"/>
  <c r="Y362" i="13"/>
  <c r="AS362" i="13" s="1"/>
  <c r="AB362" i="13"/>
  <c r="AI362" i="13"/>
  <c r="AJ362" i="13"/>
  <c r="BC362" i="13" s="1"/>
  <c r="V361" i="13"/>
  <c r="AR361" i="13" s="1"/>
  <c r="Y361" i="13"/>
  <c r="AS361" i="13" s="1"/>
  <c r="AB361" i="13"/>
  <c r="AT361" i="13" s="1"/>
  <c r="AI361" i="13"/>
  <c r="AJ361" i="13"/>
  <c r="BC361" i="13" s="1"/>
  <c r="AL364" i="13" l="1"/>
  <c r="AR364" i="13"/>
  <c r="AW364" i="13" s="1"/>
  <c r="AL362" i="13"/>
  <c r="AL363" i="13"/>
  <c r="AR363" i="13"/>
  <c r="AT363" i="13"/>
  <c r="AR362" i="13"/>
  <c r="AT362" i="13"/>
  <c r="AL361" i="13"/>
  <c r="AW361" i="13"/>
  <c r="V360" i="13"/>
  <c r="AR360" i="13" s="1"/>
  <c r="Y360" i="13"/>
  <c r="AB360" i="13"/>
  <c r="AT360" i="13" s="1"/>
  <c r="AI360" i="13"/>
  <c r="AJ360" i="13"/>
  <c r="BC360" i="13" s="1"/>
  <c r="AW363" i="13" l="1"/>
  <c r="AW362" i="13"/>
  <c r="AL360" i="13"/>
  <c r="AS360" i="13"/>
  <c r="AW360" i="13" s="1"/>
  <c r="V359" i="13" l="1"/>
  <c r="AR359" i="13" s="1"/>
  <c r="Y359" i="13"/>
  <c r="AS359" i="13" s="1"/>
  <c r="AB359" i="13"/>
  <c r="AT359" i="13" s="1"/>
  <c r="AI359" i="13"/>
  <c r="AJ359" i="13"/>
  <c r="BC359" i="13" s="1"/>
  <c r="AW359" i="13" l="1"/>
  <c r="AL359" i="13"/>
  <c r="V358" i="13" l="1"/>
  <c r="AR358" i="13" s="1"/>
  <c r="Y358" i="13"/>
  <c r="AS358" i="13" s="1"/>
  <c r="AB358" i="13"/>
  <c r="AT358" i="13" s="1"/>
  <c r="AI358" i="13"/>
  <c r="AJ358" i="13"/>
  <c r="BC358" i="13" s="1"/>
  <c r="AW358" i="13" l="1"/>
  <c r="AL358" i="13"/>
  <c r="V357" i="13" l="1"/>
  <c r="AR357" i="13" s="1"/>
  <c r="Y357" i="13"/>
  <c r="AB357" i="13"/>
  <c r="AI357" i="13"/>
  <c r="AJ357" i="13"/>
  <c r="BC357" i="13" s="1"/>
  <c r="AL357" i="13" l="1"/>
  <c r="AT357" i="13"/>
  <c r="AS357" i="13"/>
  <c r="V356" i="13"/>
  <c r="Y356" i="13"/>
  <c r="AS356" i="13" s="1"/>
  <c r="AB356" i="13"/>
  <c r="AI356" i="13"/>
  <c r="AJ356" i="13"/>
  <c r="BC356" i="13" s="1"/>
  <c r="AW357" i="13" l="1"/>
  <c r="AL356" i="13"/>
  <c r="AR356" i="13"/>
  <c r="AT356" i="13"/>
  <c r="AW356" i="13" l="1"/>
  <c r="V355" i="13"/>
  <c r="Y355" i="13"/>
  <c r="AS355" i="13" s="1"/>
  <c r="AB355" i="13"/>
  <c r="AT355" i="13" s="1"/>
  <c r="AI355" i="13"/>
  <c r="AJ355" i="13"/>
  <c r="BC355" i="13" s="1"/>
  <c r="AL355" i="13" l="1"/>
  <c r="AR355" i="13"/>
  <c r="AW355" i="13" s="1"/>
  <c r="AQ52" i="11" l="1"/>
  <c r="AP52" i="11"/>
  <c r="V353" i="13" l="1"/>
  <c r="Y353" i="13"/>
  <c r="AS353" i="13" s="1"/>
  <c r="AB353" i="13"/>
  <c r="AT353" i="13" s="1"/>
  <c r="AI353" i="13"/>
  <c r="AJ353" i="13"/>
  <c r="BC353" i="13" s="1"/>
  <c r="V354" i="13"/>
  <c r="Y354" i="13"/>
  <c r="AS354" i="13" s="1"/>
  <c r="AB354" i="13"/>
  <c r="AT354" i="13" s="1"/>
  <c r="AI354" i="13"/>
  <c r="AJ354" i="13"/>
  <c r="BC354" i="13" s="1"/>
  <c r="AL354" i="13" l="1"/>
  <c r="AL353" i="13"/>
  <c r="AR353" i="13"/>
  <c r="AW353" i="13" s="1"/>
  <c r="AR354" i="13"/>
  <c r="AW354" i="13" s="1"/>
  <c r="V352" i="13" l="1"/>
  <c r="AR352" i="13" s="1"/>
  <c r="Y352" i="13"/>
  <c r="AS352" i="13" s="1"/>
  <c r="AB352" i="13"/>
  <c r="AT352" i="13" s="1"/>
  <c r="AI352" i="13"/>
  <c r="AJ352" i="13"/>
  <c r="BC352" i="13" s="1"/>
  <c r="V351" i="13"/>
  <c r="AR351" i="13" s="1"/>
  <c r="Y351" i="13"/>
  <c r="AS351" i="13" s="1"/>
  <c r="AB351" i="13"/>
  <c r="AT351" i="13" s="1"/>
  <c r="AI351" i="13"/>
  <c r="AJ351" i="13"/>
  <c r="BC351" i="13" s="1"/>
  <c r="AW351" i="13" l="1"/>
  <c r="AL351" i="13"/>
  <c r="AL352" i="13"/>
  <c r="AW352" i="13"/>
  <c r="V350" i="13" l="1"/>
  <c r="AR350" i="13" s="1"/>
  <c r="Y350" i="13"/>
  <c r="AS350" i="13" s="1"/>
  <c r="AB350" i="13"/>
  <c r="AI350" i="13"/>
  <c r="AJ350" i="13"/>
  <c r="BC350" i="13" s="1"/>
  <c r="AL350" i="13" l="1"/>
  <c r="AT350" i="13"/>
  <c r="AW350" i="13" s="1"/>
  <c r="V349" i="13"/>
  <c r="AR349" i="13" s="1"/>
  <c r="Y349" i="13"/>
  <c r="AS349" i="13" s="1"/>
  <c r="AB349" i="13"/>
  <c r="AT349" i="13" s="1"/>
  <c r="AI349" i="13"/>
  <c r="AJ349" i="13"/>
  <c r="BC349" i="13" s="1"/>
  <c r="V348" i="13"/>
  <c r="Y348" i="13"/>
  <c r="AB348" i="13"/>
  <c r="AI348" i="13"/>
  <c r="AJ348" i="13"/>
  <c r="BC348" i="13" s="1"/>
  <c r="V347" i="13"/>
  <c r="AR347" i="13" s="1"/>
  <c r="Y347" i="13"/>
  <c r="AB347" i="13"/>
  <c r="AI347" i="13"/>
  <c r="AJ347" i="13"/>
  <c r="BC347" i="13" s="1"/>
  <c r="AW349" i="13" l="1"/>
  <c r="AL349" i="13"/>
  <c r="AL348" i="13"/>
  <c r="AR348" i="13"/>
  <c r="AL347" i="13"/>
  <c r="AT348" i="13"/>
  <c r="AS348" i="13"/>
  <c r="AT347" i="13"/>
  <c r="AS347" i="13"/>
  <c r="AW348" i="13" l="1"/>
  <c r="AW347" i="13"/>
  <c r="AQ51" i="11"/>
  <c r="AP51" i="11"/>
  <c r="AZ366" i="13" l="1"/>
  <c r="BA366" i="13" s="1"/>
  <c r="V345" i="13"/>
  <c r="AR345" i="13" s="1"/>
  <c r="Y345" i="13"/>
  <c r="AS345" i="13" s="1"/>
  <c r="AB345" i="13"/>
  <c r="AT345" i="13" s="1"/>
  <c r="AI345" i="13"/>
  <c r="AJ345" i="13"/>
  <c r="BC345" i="13" s="1"/>
  <c r="V346" i="13"/>
  <c r="Y346" i="13"/>
  <c r="AS346" i="13" s="1"/>
  <c r="AB346" i="13"/>
  <c r="AI346" i="13"/>
  <c r="AJ346" i="13"/>
  <c r="BC346" i="13" s="1"/>
  <c r="AL345" i="13" l="1"/>
  <c r="AW345" i="13"/>
  <c r="AR346" i="13"/>
  <c r="AL346" i="13"/>
  <c r="AT346" i="13"/>
  <c r="AW346" i="13" l="1"/>
  <c r="V343" i="13"/>
  <c r="Y343" i="13"/>
  <c r="AB343" i="13"/>
  <c r="AI343" i="13"/>
  <c r="AJ343" i="13"/>
  <c r="BC343" i="13" s="1"/>
  <c r="AL343" i="13" l="1"/>
  <c r="AS343" i="13"/>
  <c r="AR343" i="13"/>
  <c r="AT343" i="13"/>
  <c r="V342" i="13"/>
  <c r="Y342" i="13"/>
  <c r="AS342" i="13" s="1"/>
  <c r="AB342" i="13"/>
  <c r="AT342" i="13" s="1"/>
  <c r="AI342" i="13"/>
  <c r="AJ342" i="13"/>
  <c r="BC342" i="13" s="1"/>
  <c r="AL342" i="13" l="1"/>
  <c r="AR342" i="13"/>
  <c r="AW342" i="13" s="1"/>
  <c r="AW343" i="13"/>
  <c r="V341" i="13"/>
  <c r="Y341" i="13"/>
  <c r="AB341" i="13"/>
  <c r="AI341" i="13"/>
  <c r="AJ341" i="13"/>
  <c r="BC341" i="13" s="1"/>
  <c r="AL341" i="13" l="1"/>
  <c r="AR341" i="13"/>
  <c r="AT341" i="13"/>
  <c r="AS341" i="13"/>
  <c r="AW341" i="13" l="1"/>
  <c r="V340" i="13" l="1"/>
  <c r="AR340" i="13" s="1"/>
  <c r="Y340" i="13"/>
  <c r="AB340" i="13"/>
  <c r="AI340" i="13"/>
  <c r="AJ340" i="13"/>
  <c r="BC340" i="13" s="1"/>
  <c r="AL340" i="13" l="1"/>
  <c r="AS340" i="13"/>
  <c r="AT340" i="13"/>
  <c r="V339" i="13"/>
  <c r="AR339" i="13" s="1"/>
  <c r="Y339" i="13"/>
  <c r="AB339" i="13"/>
  <c r="AI339" i="13"/>
  <c r="AJ339" i="13"/>
  <c r="BC339" i="13" s="1"/>
  <c r="AL195" i="14"/>
  <c r="AL339" i="13" l="1"/>
  <c r="AW340" i="13"/>
  <c r="AT339" i="13"/>
  <c r="AS339" i="13"/>
  <c r="AC66" i="15"/>
  <c r="BB66" i="15"/>
  <c r="AC67" i="15"/>
  <c r="BB67" i="15"/>
  <c r="AJ37" i="19"/>
  <c r="AI37" i="19"/>
  <c r="AB37" i="19"/>
  <c r="Y37" i="19"/>
  <c r="V37" i="19"/>
  <c r="AJ36" i="19"/>
  <c r="AI36" i="19"/>
  <c r="AB36" i="19"/>
  <c r="AT36" i="19" s="1"/>
  <c r="Y36" i="19"/>
  <c r="V36" i="19"/>
  <c r="AL37" i="19" l="1"/>
  <c r="AL36" i="19"/>
  <c r="AT37" i="19"/>
  <c r="AW339" i="13"/>
  <c r="AR36" i="19"/>
  <c r="AR37" i="19"/>
  <c r="AS36" i="19"/>
  <c r="AS37" i="19"/>
  <c r="AW37" i="19" l="1"/>
  <c r="AW36" i="19"/>
  <c r="V337" i="13" l="1"/>
  <c r="AR337" i="13" s="1"/>
  <c r="Y337" i="13"/>
  <c r="AB337" i="13"/>
  <c r="AI337" i="13"/>
  <c r="AJ337" i="13"/>
  <c r="BC337" i="13" s="1"/>
  <c r="V336" i="13"/>
  <c r="Y336" i="13"/>
  <c r="AS336" i="13" s="1"/>
  <c r="AB336" i="13"/>
  <c r="AT336" i="13" s="1"/>
  <c r="AI336" i="13"/>
  <c r="AJ336" i="13"/>
  <c r="BC336" i="13" s="1"/>
  <c r="AL337" i="13" l="1"/>
  <c r="AL336" i="13"/>
  <c r="AR336" i="13"/>
  <c r="AW336" i="13" s="1"/>
  <c r="AS337" i="13"/>
  <c r="AW337" i="13" s="1"/>
  <c r="V335" i="13" l="1"/>
  <c r="AR335" i="13" s="1"/>
  <c r="Y335" i="13"/>
  <c r="AB335" i="13"/>
  <c r="AI335" i="13"/>
  <c r="AJ335" i="13"/>
  <c r="BC335" i="13" s="1"/>
  <c r="AL335" i="13" l="1"/>
  <c r="AS335" i="13"/>
  <c r="AT335" i="13"/>
  <c r="AW335" i="13" l="1"/>
  <c r="Z338" i="13"/>
  <c r="T338" i="13"/>
  <c r="AI338" i="13" l="1"/>
  <c r="AJ338" i="13"/>
  <c r="BC338" i="13" s="1"/>
  <c r="V338" i="13"/>
  <c r="AR338" i="13" s="1"/>
  <c r="Y338" i="13"/>
  <c r="AS338" i="13" s="1"/>
  <c r="AB338" i="13"/>
  <c r="AT338" i="13" s="1"/>
  <c r="AL338" i="13" l="1"/>
  <c r="AW338" i="13"/>
  <c r="BE338" i="13" s="1"/>
  <c r="V333" i="13" l="1"/>
  <c r="Y333" i="13"/>
  <c r="AS333" i="13" s="1"/>
  <c r="AB333" i="13"/>
  <c r="AT333" i="13" s="1"/>
  <c r="AI333" i="13"/>
  <c r="AJ333" i="13"/>
  <c r="BC333" i="13" s="1"/>
  <c r="V332" i="13"/>
  <c r="AR332" i="13" s="1"/>
  <c r="Y332" i="13"/>
  <c r="AB332" i="13"/>
  <c r="AI332" i="13"/>
  <c r="AJ332" i="13"/>
  <c r="BC332" i="13" s="1"/>
  <c r="AL333" i="13" l="1"/>
  <c r="AR333" i="13"/>
  <c r="AW333" i="13" s="1"/>
  <c r="AL332" i="13"/>
  <c r="AT332" i="13"/>
  <c r="AS332" i="13"/>
  <c r="AW332" i="13" l="1"/>
  <c r="V331" i="13" l="1"/>
  <c r="Y331" i="13"/>
  <c r="AS331" i="13" s="1"/>
  <c r="AB331" i="13"/>
  <c r="AT331" i="13" s="1"/>
  <c r="AI331" i="13"/>
  <c r="AJ331" i="13"/>
  <c r="BC331" i="13" s="1"/>
  <c r="BB195" i="14"/>
  <c r="BD195" i="14" s="1"/>
  <c r="BE195" i="14" s="1"/>
  <c r="AC195" i="14"/>
  <c r="V330" i="13"/>
  <c r="AR330" i="13" s="1"/>
  <c r="Y330" i="13"/>
  <c r="AB330" i="13"/>
  <c r="AI330" i="13"/>
  <c r="AJ330" i="13"/>
  <c r="BC330" i="13" s="1"/>
  <c r="AL331" i="13" l="1"/>
  <c r="AR331" i="13"/>
  <c r="AW331" i="13" s="1"/>
  <c r="AL330" i="13"/>
  <c r="AT330" i="13"/>
  <c r="AS330" i="13"/>
  <c r="AQ50" i="11"/>
  <c r="AP50" i="11"/>
  <c r="AW330" i="13" l="1"/>
  <c r="V329" i="13"/>
  <c r="Y329" i="13"/>
  <c r="AB329" i="13"/>
  <c r="AI329" i="13"/>
  <c r="AJ329" i="13"/>
  <c r="BC329" i="13" s="1"/>
  <c r="V328" i="13"/>
  <c r="Y328" i="13"/>
  <c r="AS328" i="13" s="1"/>
  <c r="AB328" i="13"/>
  <c r="AI328" i="13"/>
  <c r="AJ328" i="13"/>
  <c r="BC328" i="13" s="1"/>
  <c r="AL329" i="13" l="1"/>
  <c r="AR329" i="13"/>
  <c r="AL328" i="13"/>
  <c r="AT329" i="13"/>
  <c r="AS329" i="13"/>
  <c r="AR328" i="13"/>
  <c r="AT328" i="13"/>
  <c r="AW329" i="13" l="1"/>
  <c r="AW328" i="13"/>
  <c r="V327" i="13"/>
  <c r="Y327" i="13"/>
  <c r="AB327" i="13"/>
  <c r="AI327" i="13"/>
  <c r="AJ327" i="13"/>
  <c r="BC327" i="13" s="1"/>
  <c r="AZ346" i="13" l="1"/>
  <c r="BA346" i="13" s="1"/>
  <c r="AL327" i="13"/>
  <c r="AR327" i="13"/>
  <c r="AT327" i="13"/>
  <c r="AS327" i="13"/>
  <c r="AW327" i="13" l="1"/>
  <c r="V326" i="13" l="1"/>
  <c r="AR326" i="13" s="1"/>
  <c r="Y326" i="13"/>
  <c r="AB326" i="13"/>
  <c r="AI326" i="13"/>
  <c r="AJ326" i="13"/>
  <c r="BC326" i="13" s="1"/>
  <c r="AL326" i="13" l="1"/>
  <c r="AT326" i="13"/>
  <c r="AS326" i="13"/>
  <c r="AW326" i="13" l="1"/>
  <c r="V325" i="13" l="1"/>
  <c r="AR325" i="13" s="1"/>
  <c r="Y325" i="13"/>
  <c r="AB325" i="13"/>
  <c r="AI325" i="13"/>
  <c r="AJ325" i="13"/>
  <c r="BC325" i="13" s="1"/>
  <c r="AL325" i="13" l="1"/>
  <c r="AT325" i="13"/>
  <c r="AS325" i="13"/>
  <c r="V324" i="13"/>
  <c r="Y324" i="13"/>
  <c r="AB324" i="13"/>
  <c r="AI324" i="13"/>
  <c r="AJ324" i="13"/>
  <c r="BC324" i="13" s="1"/>
  <c r="AW325" i="13" l="1"/>
  <c r="AL324" i="13"/>
  <c r="AR324" i="13"/>
  <c r="AT324" i="13"/>
  <c r="AS324" i="13"/>
  <c r="V323" i="13"/>
  <c r="AR323" i="13" s="1"/>
  <c r="Y323" i="13"/>
  <c r="AB323" i="13"/>
  <c r="AT323" i="13" s="1"/>
  <c r="AI323" i="13"/>
  <c r="AJ323" i="13"/>
  <c r="BC323" i="13" s="1"/>
  <c r="V322" i="13"/>
  <c r="Y322" i="13"/>
  <c r="AS322" i="13" s="1"/>
  <c r="AB322" i="13"/>
  <c r="AI322" i="13"/>
  <c r="AJ322" i="13"/>
  <c r="BC322" i="13" s="1"/>
  <c r="AW324" i="13" l="1"/>
  <c r="AL322" i="13"/>
  <c r="AL323" i="13"/>
  <c r="AT322" i="13"/>
  <c r="AS323" i="13"/>
  <c r="AW323" i="13" s="1"/>
  <c r="AR322" i="13"/>
  <c r="V35" i="19"/>
  <c r="AR35" i="19" s="1"/>
  <c r="Y35" i="19"/>
  <c r="AB35" i="19"/>
  <c r="AI35" i="19"/>
  <c r="AJ35" i="19"/>
  <c r="AL35" i="19" l="1"/>
  <c r="AW322" i="13"/>
  <c r="AT35" i="19"/>
  <c r="AS35" i="19"/>
  <c r="AW35" i="19" l="1"/>
  <c r="AJ321" i="13"/>
  <c r="BC321" i="13" s="1"/>
  <c r="AI321" i="13"/>
  <c r="AB321" i="13"/>
  <c r="AT321" i="13" s="1"/>
  <c r="Y321" i="13"/>
  <c r="AS321" i="13" s="1"/>
  <c r="V321" i="13"/>
  <c r="AJ320" i="13"/>
  <c r="BC320" i="13" s="1"/>
  <c r="AI320" i="13"/>
  <c r="AB320" i="13"/>
  <c r="AT320" i="13" s="1"/>
  <c r="Y320" i="13"/>
  <c r="AS320" i="13" s="1"/>
  <c r="V320" i="13"/>
  <c r="AR320" i="13" s="1"/>
  <c r="AW320" i="13" l="1"/>
  <c r="AL321" i="13"/>
  <c r="AL320" i="13"/>
  <c r="AR321" i="13"/>
  <c r="AW321" i="13" s="1"/>
  <c r="BE321" i="13" s="1"/>
  <c r="V319" i="13"/>
  <c r="AR319" i="13" s="1"/>
  <c r="Y319" i="13"/>
  <c r="AB319" i="13"/>
  <c r="AI319" i="13"/>
  <c r="AJ319" i="13"/>
  <c r="BC319" i="13" s="1"/>
  <c r="AL319" i="13" l="1"/>
  <c r="AS319" i="13"/>
  <c r="AT319" i="13"/>
  <c r="V318" i="13"/>
  <c r="Y318" i="13"/>
  <c r="AS318" i="13" s="1"/>
  <c r="AB318" i="13"/>
  <c r="AT318" i="13" s="1"/>
  <c r="AI318" i="13"/>
  <c r="AJ318" i="13"/>
  <c r="BC318" i="13" s="1"/>
  <c r="V317" i="13"/>
  <c r="AR317" i="13" s="1"/>
  <c r="Y317" i="13"/>
  <c r="AS317" i="13" s="1"/>
  <c r="AB317" i="13"/>
  <c r="AT317" i="13" s="1"/>
  <c r="AI317" i="13"/>
  <c r="AJ317" i="13"/>
  <c r="BC317" i="13" s="1"/>
  <c r="V316" i="13"/>
  <c r="AR316" i="13" s="1"/>
  <c r="Y316" i="13"/>
  <c r="AB316" i="13"/>
  <c r="AI316" i="13"/>
  <c r="AJ316" i="13"/>
  <c r="BC316" i="13" s="1"/>
  <c r="AL318" i="13" l="1"/>
  <c r="AR318" i="13"/>
  <c r="AW318" i="13" s="1"/>
  <c r="AW319" i="13"/>
  <c r="AW317" i="13"/>
  <c r="AL316" i="13"/>
  <c r="AL317" i="13"/>
  <c r="AT316" i="13"/>
  <c r="AS316" i="13"/>
  <c r="AW316" i="13" l="1"/>
  <c r="AZ327" i="13" s="1"/>
  <c r="BA327" i="13" s="1"/>
  <c r="V311" i="13" l="1"/>
  <c r="Y311" i="13"/>
  <c r="AS311" i="13" s="1"/>
  <c r="AB311" i="13"/>
  <c r="AT311" i="13" s="1"/>
  <c r="AI311" i="13"/>
  <c r="AJ311" i="13"/>
  <c r="BC311" i="13" s="1"/>
  <c r="AL311" i="13" l="1"/>
  <c r="AR311" i="13"/>
  <c r="AW311" i="13" s="1"/>
  <c r="V315" i="13"/>
  <c r="Y315" i="13"/>
  <c r="AS315" i="13" s="1"/>
  <c r="AB315" i="13"/>
  <c r="AT315" i="13" s="1"/>
  <c r="AI315" i="13"/>
  <c r="AJ315" i="13"/>
  <c r="BC315" i="13" s="1"/>
  <c r="V314" i="13"/>
  <c r="Y314" i="13"/>
  <c r="AS314" i="13" s="1"/>
  <c r="AB314" i="13"/>
  <c r="AT314" i="13" s="1"/>
  <c r="AI314" i="13"/>
  <c r="AJ314" i="13"/>
  <c r="BC314" i="13" s="1"/>
  <c r="V313" i="13"/>
  <c r="Y313" i="13"/>
  <c r="AB313" i="13"/>
  <c r="AI313" i="13"/>
  <c r="AJ313" i="13"/>
  <c r="BC313" i="13" s="1"/>
  <c r="V312" i="13"/>
  <c r="Y312" i="13"/>
  <c r="AB312" i="13"/>
  <c r="AI312" i="13"/>
  <c r="AJ312" i="13"/>
  <c r="BC312" i="13" s="1"/>
  <c r="V310" i="13"/>
  <c r="AR310" i="13" s="1"/>
  <c r="Y310" i="13"/>
  <c r="AS310" i="13" s="1"/>
  <c r="AB310" i="13"/>
  <c r="AT310" i="13" s="1"/>
  <c r="AI310" i="13"/>
  <c r="AJ310" i="13"/>
  <c r="BC310" i="13" s="1"/>
  <c r="V308" i="13"/>
  <c r="AR308" i="13" s="1"/>
  <c r="Y308" i="13"/>
  <c r="AB308" i="13"/>
  <c r="AI308" i="13"/>
  <c r="AJ308" i="13"/>
  <c r="BC308" i="13" s="1"/>
  <c r="V309" i="13"/>
  <c r="AR309" i="13" s="1"/>
  <c r="Y309" i="13"/>
  <c r="AS309" i="13" s="1"/>
  <c r="AB309" i="13"/>
  <c r="AI309" i="13"/>
  <c r="AJ309" i="13"/>
  <c r="BC309" i="13" s="1"/>
  <c r="AJ24" i="11"/>
  <c r="AB24" i="11"/>
  <c r="Y24" i="11"/>
  <c r="V24" i="11"/>
  <c r="AL24" i="11" l="1"/>
  <c r="AW24" i="11" s="1"/>
  <c r="AL314" i="13"/>
  <c r="AR314" i="13"/>
  <c r="AW314" i="13" s="1"/>
  <c r="AL315" i="13"/>
  <c r="AS312" i="13"/>
  <c r="AL312" i="13"/>
  <c r="AL313" i="13"/>
  <c r="AR315" i="13"/>
  <c r="AW315" i="13" s="1"/>
  <c r="AT313" i="13"/>
  <c r="AT312" i="13"/>
  <c r="AL308" i="13"/>
  <c r="AR312" i="13"/>
  <c r="AS313" i="13"/>
  <c r="AL310" i="13"/>
  <c r="AR313" i="13"/>
  <c r="AW310" i="13"/>
  <c r="AL309" i="13"/>
  <c r="AS308" i="13"/>
  <c r="AT308" i="13"/>
  <c r="AT309" i="13"/>
  <c r="AW309" i="13" s="1"/>
  <c r="AW312" i="13" l="1"/>
  <c r="AW313" i="13"/>
  <c r="AW308" i="13"/>
  <c r="AQ49" i="11" l="1"/>
  <c r="AP49" i="11"/>
  <c r="V307" i="13" l="1"/>
  <c r="Y307" i="13"/>
  <c r="AB307" i="13"/>
  <c r="AI307" i="13"/>
  <c r="AJ307" i="13"/>
  <c r="BC307" i="13" s="1"/>
  <c r="AT307" i="13" l="1"/>
  <c r="AL307" i="13"/>
  <c r="AS307" i="13"/>
  <c r="AR307" i="13"/>
  <c r="AW307" i="13" l="1"/>
  <c r="V305" i="13"/>
  <c r="AR305" i="13" s="1"/>
  <c r="Y305" i="13"/>
  <c r="AB305" i="13"/>
  <c r="AI305" i="13"/>
  <c r="AJ305" i="13"/>
  <c r="BC305" i="13" s="1"/>
  <c r="V304" i="13"/>
  <c r="AR304" i="13" s="1"/>
  <c r="Y304" i="13"/>
  <c r="AB304" i="13"/>
  <c r="AI304" i="13"/>
  <c r="AJ304" i="13"/>
  <c r="BC304" i="13" s="1"/>
  <c r="AS305" i="13" l="1"/>
  <c r="AT305" i="13"/>
  <c r="AL305" i="13"/>
  <c r="AL304" i="13"/>
  <c r="AS304" i="13"/>
  <c r="AT304" i="13"/>
  <c r="AW305" i="13" l="1"/>
  <c r="AW304" i="13"/>
  <c r="AJ34" i="19"/>
  <c r="AI34" i="19"/>
  <c r="AB34" i="19"/>
  <c r="AT34" i="19" s="1"/>
  <c r="Y34" i="19"/>
  <c r="AS34" i="19" s="1"/>
  <c r="V34" i="19"/>
  <c r="AR34" i="19" s="1"/>
  <c r="AL34" i="19" l="1"/>
  <c r="AW34" i="19"/>
  <c r="V303" i="13"/>
  <c r="Y303" i="13"/>
  <c r="AB303" i="13"/>
  <c r="AI303" i="13"/>
  <c r="AJ303" i="13"/>
  <c r="BC303" i="13" s="1"/>
  <c r="AR303" i="13" l="1"/>
  <c r="AL303" i="13"/>
  <c r="AT303" i="13"/>
  <c r="AS303" i="13"/>
  <c r="V302" i="13"/>
  <c r="AR302" i="13" s="1"/>
  <c r="Y302" i="13"/>
  <c r="AB302" i="13"/>
  <c r="AI302" i="13"/>
  <c r="AJ302" i="13"/>
  <c r="BC302" i="13" s="1"/>
  <c r="AL302" i="13" l="1"/>
  <c r="AW303" i="13"/>
  <c r="AT302" i="13"/>
  <c r="AS302" i="13"/>
  <c r="AW302" i="13" l="1"/>
  <c r="V301" i="13"/>
  <c r="Y301" i="13"/>
  <c r="AB301" i="13"/>
  <c r="AI301" i="13"/>
  <c r="AJ301" i="13"/>
  <c r="BC301" i="13" s="1"/>
  <c r="AL301" i="13" l="1"/>
  <c r="AR301" i="13"/>
  <c r="AT301" i="13"/>
  <c r="AS301" i="13"/>
  <c r="V300" i="13"/>
  <c r="AR300" i="13" s="1"/>
  <c r="Y300" i="13"/>
  <c r="AB300" i="13"/>
  <c r="AI300" i="13"/>
  <c r="AJ300" i="13"/>
  <c r="BC300" i="13" s="1"/>
  <c r="AW301" i="13" l="1"/>
  <c r="AL300" i="13"/>
  <c r="AT300" i="13"/>
  <c r="AS300" i="13"/>
  <c r="V299" i="13"/>
  <c r="Y299" i="13"/>
  <c r="AS299" i="13" s="1"/>
  <c r="AB299" i="13"/>
  <c r="AT299" i="13" s="1"/>
  <c r="AI299" i="13"/>
  <c r="AJ299" i="13"/>
  <c r="BC299" i="13" s="1"/>
  <c r="AW300" i="13" l="1"/>
  <c r="AL299" i="13"/>
  <c r="AR299" i="13"/>
  <c r="AW299" i="13" s="1"/>
  <c r="V298" i="13"/>
  <c r="Y298" i="13"/>
  <c r="AB298" i="13"/>
  <c r="AI298" i="13"/>
  <c r="AJ298" i="13"/>
  <c r="BC298" i="13" s="1"/>
  <c r="AL298" i="13" l="1"/>
  <c r="AR298" i="13"/>
  <c r="AT298" i="13"/>
  <c r="AS298" i="13"/>
  <c r="AW298" i="13" l="1"/>
  <c r="AZ315" i="13" s="1"/>
  <c r="BA315" i="13" s="1"/>
  <c r="AQ48" i="11"/>
  <c r="AP48" i="11"/>
  <c r="AJ33" i="19" l="1"/>
  <c r="AI33" i="19"/>
  <c r="AB33" i="19"/>
  <c r="AT33" i="19" s="1"/>
  <c r="Y33" i="19"/>
  <c r="V33" i="19"/>
  <c r="AL33" i="19" l="1"/>
  <c r="AR33" i="19"/>
  <c r="AS33" i="19"/>
  <c r="AC194" i="14"/>
  <c r="BB194" i="14"/>
  <c r="BD194" i="14" s="1"/>
  <c r="BE194" i="14" s="1"/>
  <c r="AW33" i="19" l="1"/>
  <c r="V32" i="19"/>
  <c r="Y32" i="19"/>
  <c r="AS32" i="19" s="1"/>
  <c r="AB32" i="19"/>
  <c r="AT32" i="19" s="1"/>
  <c r="AI32" i="19"/>
  <c r="AJ32" i="19"/>
  <c r="V31" i="19"/>
  <c r="Y31" i="19"/>
  <c r="AB31" i="19"/>
  <c r="AI31" i="19"/>
  <c r="AJ31" i="19"/>
  <c r="AC65" i="15"/>
  <c r="BB65" i="15"/>
  <c r="AL32" i="19" l="1"/>
  <c r="AL31" i="19"/>
  <c r="AR32" i="19"/>
  <c r="AW32" i="19" s="1"/>
  <c r="AR31" i="19"/>
  <c r="AT31" i="19"/>
  <c r="AS31" i="19"/>
  <c r="AC64" i="15"/>
  <c r="BB64" i="15"/>
  <c r="AW31" i="19" l="1"/>
  <c r="AP39" i="11" l="1"/>
  <c r="AQ39" i="11"/>
  <c r="AJ39" i="11"/>
  <c r="AI39" i="11"/>
  <c r="AB39" i="11"/>
  <c r="Y39" i="11"/>
  <c r="V39" i="11"/>
  <c r="AT297" i="13"/>
  <c r="AS297" i="13"/>
  <c r="AR297" i="13"/>
  <c r="V296" i="13"/>
  <c r="AR296" i="13" s="1"/>
  <c r="Y296" i="13"/>
  <c r="AB296" i="13"/>
  <c r="AI296" i="13"/>
  <c r="AJ296" i="13"/>
  <c r="BC296" i="13" s="1"/>
  <c r="AL39" i="11" l="1"/>
  <c r="AW39" i="11" s="1"/>
  <c r="AW297" i="13"/>
  <c r="BE297" i="13" s="1"/>
  <c r="AT296" i="13"/>
  <c r="AS296" i="13"/>
  <c r="AC193" i="14"/>
  <c r="BB193" i="14"/>
  <c r="BD193" i="14" s="1"/>
  <c r="BE193" i="14" s="1"/>
  <c r="V295" i="13"/>
  <c r="Y295" i="13"/>
  <c r="AB295" i="13"/>
  <c r="AI295" i="13"/>
  <c r="AJ295" i="13"/>
  <c r="BC295" i="13" s="1"/>
  <c r="AL295" i="13" l="1"/>
  <c r="AW296" i="13"/>
  <c r="AR295" i="13"/>
  <c r="AT295" i="13"/>
  <c r="AS295" i="13"/>
  <c r="AW295" i="13" l="1"/>
  <c r="V294" i="13"/>
  <c r="AR294" i="13" s="1"/>
  <c r="Y294" i="13"/>
  <c r="AS294" i="13" s="1"/>
  <c r="AB294" i="13"/>
  <c r="AT294" i="13" s="1"/>
  <c r="AI294" i="13"/>
  <c r="AJ294" i="13"/>
  <c r="BC294" i="13" s="1"/>
  <c r="AL294" i="13" l="1"/>
  <c r="AW294" i="13"/>
  <c r="AQ47" i="11"/>
  <c r="AP47" i="11"/>
  <c r="AJ293" i="13" l="1"/>
  <c r="BC293" i="13" s="1"/>
  <c r="AI293" i="13"/>
  <c r="AB293" i="13"/>
  <c r="Y293" i="13"/>
  <c r="AS293" i="13" s="1"/>
  <c r="V293" i="13"/>
  <c r="AR293" i="13" s="1"/>
  <c r="AL293" i="13" l="1"/>
  <c r="AT293" i="13"/>
  <c r="AW293" i="13" s="1"/>
  <c r="V292" i="13" l="1"/>
  <c r="AR292" i="13" s="1"/>
  <c r="Y292" i="13"/>
  <c r="AB292" i="13"/>
  <c r="AI292" i="13"/>
  <c r="AJ292" i="13"/>
  <c r="BC292" i="13" s="1"/>
  <c r="AL292" i="13" l="1"/>
  <c r="AT292" i="13"/>
  <c r="AS292" i="13"/>
  <c r="AJ291" i="13"/>
  <c r="BC291" i="13" s="1"/>
  <c r="AI291" i="13"/>
  <c r="AB291" i="13"/>
  <c r="AT291" i="13" s="1"/>
  <c r="Y291" i="13"/>
  <c r="V291" i="13"/>
  <c r="AR291" i="13" s="1"/>
  <c r="AW292" i="13" l="1"/>
  <c r="AZ297" i="13" s="1"/>
  <c r="BA297" i="13" s="1"/>
  <c r="AL291" i="13"/>
  <c r="AS291" i="13"/>
  <c r="V290" i="13"/>
  <c r="AR290" i="13" s="1"/>
  <c r="Y290" i="13"/>
  <c r="AB290" i="13"/>
  <c r="AT290" i="13" s="1"/>
  <c r="AI290" i="13"/>
  <c r="AJ290" i="13"/>
  <c r="BC290" i="13" s="1"/>
  <c r="V289" i="13"/>
  <c r="AR289" i="13" s="1"/>
  <c r="Y289" i="13"/>
  <c r="AS289" i="13" s="1"/>
  <c r="AB289" i="13"/>
  <c r="AT289" i="13" s="1"/>
  <c r="AI289" i="13"/>
  <c r="AJ289" i="13"/>
  <c r="BC289" i="13" s="1"/>
  <c r="AL290" i="13" l="1"/>
  <c r="AS290" i="13"/>
  <c r="AW290" i="13" s="1"/>
  <c r="AW291" i="13"/>
  <c r="AL289" i="13"/>
  <c r="AW289" i="13"/>
  <c r="V288" i="13" l="1"/>
  <c r="Y288" i="13"/>
  <c r="AS288" i="13" s="1"/>
  <c r="AB288" i="13"/>
  <c r="AI288" i="13"/>
  <c r="AJ288" i="13"/>
  <c r="BC288" i="13" s="1"/>
  <c r="AL288" i="13" l="1"/>
  <c r="AR288" i="13"/>
  <c r="AT288" i="13"/>
  <c r="AW288" i="13" l="1"/>
  <c r="V285" i="13" l="1"/>
  <c r="Y285" i="13"/>
  <c r="AB285" i="13"/>
  <c r="AT285" i="13" s="1"/>
  <c r="AI285" i="13"/>
  <c r="AJ285" i="13"/>
  <c r="BC285" i="13" s="1"/>
  <c r="AL285" i="13" l="1"/>
  <c r="AS285" i="13"/>
  <c r="AR285" i="13"/>
  <c r="AQ46" i="11"/>
  <c r="AP46" i="11"/>
  <c r="AW285" i="13" l="1"/>
  <c r="V284" i="13" l="1"/>
  <c r="AR284" i="13" s="1"/>
  <c r="Y284" i="13"/>
  <c r="AB284" i="13"/>
  <c r="AI284" i="13"/>
  <c r="AJ284" i="13"/>
  <c r="BC284" i="13" s="1"/>
  <c r="AL284" i="13" l="1"/>
  <c r="AT284" i="13"/>
  <c r="AS284" i="13"/>
  <c r="AW284" i="13" l="1"/>
  <c r="V283" i="13" l="1"/>
  <c r="Y283" i="13"/>
  <c r="AS283" i="13" s="1"/>
  <c r="AB283" i="13"/>
  <c r="AI283" i="13"/>
  <c r="AJ283" i="13"/>
  <c r="BC283" i="13" s="1"/>
  <c r="AL283" i="13" l="1"/>
  <c r="AR283" i="13"/>
  <c r="AT283" i="13"/>
  <c r="V282" i="13"/>
  <c r="AR282" i="13" s="1"/>
  <c r="Y282" i="13"/>
  <c r="AB282" i="13"/>
  <c r="AI282" i="13"/>
  <c r="AJ282" i="13"/>
  <c r="BC282" i="13" s="1"/>
  <c r="AL282" i="13" l="1"/>
  <c r="AW283" i="13"/>
  <c r="AZ291" i="13" s="1"/>
  <c r="BA291" i="13" s="1"/>
  <c r="AS282" i="13"/>
  <c r="AT282" i="13"/>
  <c r="V281" i="13"/>
  <c r="AR281" i="13" s="1"/>
  <c r="Y281" i="13"/>
  <c r="AS281" i="13" s="1"/>
  <c r="AB281" i="13"/>
  <c r="AT281" i="13" s="1"/>
  <c r="AE281" i="13"/>
  <c r="AU281" i="13" s="1"/>
  <c r="AH281" i="13"/>
  <c r="AV281" i="13" s="1"/>
  <c r="AI281" i="13"/>
  <c r="AJ281" i="13"/>
  <c r="BC281" i="13" s="1"/>
  <c r="AW282" i="13" l="1"/>
  <c r="AW281" i="13"/>
  <c r="AL281" i="13"/>
  <c r="V280" i="13"/>
  <c r="AR280" i="13" s="1"/>
  <c r="Y280" i="13"/>
  <c r="AS280" i="13" s="1"/>
  <c r="AB280" i="13"/>
  <c r="AT280" i="13" s="1"/>
  <c r="AI280" i="13"/>
  <c r="AJ280" i="13"/>
  <c r="BC280" i="13" s="1"/>
  <c r="AW280" i="13" l="1"/>
  <c r="AL280" i="13"/>
  <c r="V279" i="13"/>
  <c r="AR279" i="13" s="1"/>
  <c r="Y279" i="13"/>
  <c r="AS279" i="13" s="1"/>
  <c r="AB279" i="13"/>
  <c r="AT279" i="13" s="1"/>
  <c r="AI279" i="13"/>
  <c r="AJ279" i="13"/>
  <c r="BC279" i="13" s="1"/>
  <c r="AW279" i="13" l="1"/>
  <c r="AL279" i="13"/>
  <c r="AC192" i="14"/>
  <c r="BB192" i="14"/>
  <c r="BD192" i="14" s="1"/>
  <c r="BE192" i="14" s="1"/>
  <c r="V278" i="13"/>
  <c r="AR278" i="13" s="1"/>
  <c r="Y278" i="13"/>
  <c r="AS278" i="13" s="1"/>
  <c r="AB278" i="13"/>
  <c r="AI278" i="13"/>
  <c r="AJ278" i="13"/>
  <c r="BC278" i="13" s="1"/>
  <c r="V277" i="13"/>
  <c r="AR277" i="13" s="1"/>
  <c r="Y277" i="13"/>
  <c r="AB277" i="13"/>
  <c r="AI277" i="13"/>
  <c r="AJ277" i="13"/>
  <c r="BC277" i="13" s="1"/>
  <c r="AL278" i="13" l="1"/>
  <c r="AL277" i="13"/>
  <c r="AT278" i="13"/>
  <c r="AW278" i="13" s="1"/>
  <c r="AS277" i="13"/>
  <c r="AT277" i="13"/>
  <c r="V46" i="11"/>
  <c r="Y46" i="11"/>
  <c r="AB46" i="11"/>
  <c r="AI46" i="11"/>
  <c r="AJ46" i="11"/>
  <c r="V47" i="11"/>
  <c r="Y47" i="11"/>
  <c r="AB47" i="11"/>
  <c r="AI47" i="11"/>
  <c r="AJ47" i="11"/>
  <c r="V48" i="11"/>
  <c r="Y48" i="11"/>
  <c r="AB48" i="11"/>
  <c r="AI48" i="11"/>
  <c r="AJ48" i="11"/>
  <c r="V49" i="11"/>
  <c r="Y49" i="11"/>
  <c r="AB49" i="11"/>
  <c r="AJ49" i="11"/>
  <c r="V50" i="11"/>
  <c r="Y50" i="11"/>
  <c r="AB50" i="11"/>
  <c r="AI50" i="11"/>
  <c r="AJ50" i="11"/>
  <c r="V51" i="11"/>
  <c r="Y51" i="11"/>
  <c r="AB51" i="11"/>
  <c r="AI51" i="11"/>
  <c r="AJ51" i="11"/>
  <c r="V52" i="11"/>
  <c r="Y52" i="11"/>
  <c r="AB52" i="11"/>
  <c r="AI52" i="11"/>
  <c r="AJ52" i="11"/>
  <c r="AL48" i="11" l="1"/>
  <c r="AW48" i="11" s="1"/>
  <c r="AL46" i="11"/>
  <c r="AW46" i="11" s="1"/>
  <c r="AL51" i="11"/>
  <c r="AW51" i="11" s="1"/>
  <c r="AL52" i="11"/>
  <c r="AW52" i="11" s="1"/>
  <c r="AL49" i="11"/>
  <c r="AW49" i="11" s="1"/>
  <c r="AL47" i="11"/>
  <c r="AW47" i="11" s="1"/>
  <c r="AL50" i="11"/>
  <c r="AW50" i="11" s="1"/>
  <c r="AW277" i="13"/>
  <c r="V276" i="13"/>
  <c r="Y276" i="13"/>
  <c r="AS276" i="13" s="1"/>
  <c r="AB276" i="13"/>
  <c r="AI276" i="13"/>
  <c r="AJ276" i="13"/>
  <c r="BC276" i="13" s="1"/>
  <c r="AL276" i="13" l="1"/>
  <c r="AR276" i="13"/>
  <c r="AT276" i="13"/>
  <c r="V275" i="13"/>
  <c r="AR275" i="13" s="1"/>
  <c r="Y275" i="13"/>
  <c r="AB275" i="13"/>
  <c r="AI275" i="13"/>
  <c r="AJ275" i="13"/>
  <c r="BC275" i="13" s="1"/>
  <c r="AW276" i="13" l="1"/>
  <c r="AL275" i="13"/>
  <c r="AT275" i="13"/>
  <c r="AS275" i="13"/>
  <c r="V274" i="13"/>
  <c r="AR274" i="13" s="1"/>
  <c r="Y274" i="13"/>
  <c r="AS274" i="13" s="1"/>
  <c r="AB274" i="13"/>
  <c r="AT274" i="13" s="1"/>
  <c r="AI274" i="13"/>
  <c r="AJ274" i="13"/>
  <c r="BC274" i="13" s="1"/>
  <c r="AW275" i="13" l="1"/>
  <c r="AL274" i="13"/>
  <c r="AW274" i="13"/>
  <c r="V273" i="13"/>
  <c r="AR273" i="13" s="1"/>
  <c r="Y273" i="13"/>
  <c r="AB273" i="13"/>
  <c r="AI273" i="13"/>
  <c r="AJ273" i="13"/>
  <c r="BC273" i="13" s="1"/>
  <c r="AL273" i="13" l="1"/>
  <c r="AT273" i="13"/>
  <c r="AS273" i="13"/>
  <c r="AJ30" i="19"/>
  <c r="AI30" i="19"/>
  <c r="AB30" i="19"/>
  <c r="AT30" i="19" s="1"/>
  <c r="Y30" i="19"/>
  <c r="AS30" i="19" s="1"/>
  <c r="V30" i="19"/>
  <c r="AW273" i="13" l="1"/>
  <c r="AZ282" i="13" s="1"/>
  <c r="BA282" i="13" s="1"/>
  <c r="AL30" i="19"/>
  <c r="AR30" i="19"/>
  <c r="AW30" i="19" s="1"/>
  <c r="V272" i="13"/>
  <c r="AR272" i="13" s="1"/>
  <c r="Y272" i="13"/>
  <c r="AB272" i="13"/>
  <c r="AI272" i="13"/>
  <c r="AJ272" i="13"/>
  <c r="BC272" i="13" s="1"/>
  <c r="AL272" i="13" l="1"/>
  <c r="AT272" i="13"/>
  <c r="AS272" i="13"/>
  <c r="V271" i="13"/>
  <c r="AR271" i="13" s="1"/>
  <c r="Y271" i="13"/>
  <c r="AB271" i="13"/>
  <c r="AI271" i="13"/>
  <c r="AJ271" i="13"/>
  <c r="BC271" i="13" s="1"/>
  <c r="AL271" i="13" l="1"/>
  <c r="AW272" i="13"/>
  <c r="AT271" i="13"/>
  <c r="AS271" i="13"/>
  <c r="AW271" i="13" l="1"/>
  <c r="V270" i="13" l="1"/>
  <c r="AR270" i="13" s="1"/>
  <c r="X270" i="13"/>
  <c r="Y270" i="13" s="1"/>
  <c r="AB270" i="13"/>
  <c r="AT270" i="13" s="1"/>
  <c r="AI270" i="13"/>
  <c r="AK270" i="13" l="1"/>
  <c r="BD270" i="13" s="1"/>
  <c r="BH366" i="13" s="1"/>
  <c r="AL270" i="13"/>
  <c r="AS270" i="13"/>
  <c r="AW270" i="13" s="1"/>
  <c r="V269" i="13" l="1"/>
  <c r="AR269" i="13" s="1"/>
  <c r="Y269" i="13"/>
  <c r="AB269" i="13"/>
  <c r="AT269" i="13" s="1"/>
  <c r="AI269" i="13"/>
  <c r="AJ269" i="13"/>
  <c r="BC269" i="13" s="1"/>
  <c r="AL269" i="13" l="1"/>
  <c r="AS269" i="13"/>
  <c r="AW269" i="13" l="1"/>
  <c r="AZ272" i="13" s="1"/>
  <c r="BA272" i="13" s="1"/>
  <c r="V268" i="13"/>
  <c r="AR268" i="13" s="1"/>
  <c r="Y268" i="13"/>
  <c r="AB268" i="13"/>
  <c r="AI268" i="13"/>
  <c r="AJ268" i="13"/>
  <c r="BC268" i="13" s="1"/>
  <c r="AL268" i="13" l="1"/>
  <c r="AT268" i="13"/>
  <c r="AS268" i="13"/>
  <c r="V267" i="13"/>
  <c r="W267" i="13"/>
  <c r="AI267" i="13" s="1"/>
  <c r="AB267" i="13"/>
  <c r="AT267" i="13" s="1"/>
  <c r="AJ267" i="13"/>
  <c r="BC267" i="13" s="1"/>
  <c r="AW268" i="13" l="1"/>
  <c r="AR267" i="13"/>
  <c r="Y267" i="13"/>
  <c r="AL267" i="13" s="1"/>
  <c r="V266" i="13"/>
  <c r="Y266" i="13"/>
  <c r="AB266" i="13"/>
  <c r="AI266" i="13"/>
  <c r="AJ266" i="13"/>
  <c r="BC266" i="13" s="1"/>
  <c r="AL266" i="13" l="1"/>
  <c r="AS267" i="13"/>
  <c r="AW267" i="13" s="1"/>
  <c r="AR266" i="13"/>
  <c r="AT266" i="13"/>
  <c r="AS266" i="13"/>
  <c r="AJ29" i="19"/>
  <c r="AI29" i="19"/>
  <c r="AB29" i="19"/>
  <c r="AT29" i="19" s="1"/>
  <c r="Y29" i="19"/>
  <c r="AS29" i="19" s="1"/>
  <c r="V29" i="19"/>
  <c r="AR29" i="19" s="1"/>
  <c r="AW29" i="19" l="1"/>
  <c r="AW266" i="13"/>
  <c r="AL29" i="19"/>
  <c r="V265" i="13" l="1"/>
  <c r="AR265" i="13" s="1"/>
  <c r="Y265" i="13"/>
  <c r="AS265" i="13" s="1"/>
  <c r="AB265" i="13"/>
  <c r="AT265" i="13" s="1"/>
  <c r="AI265" i="13"/>
  <c r="AJ265" i="13"/>
  <c r="BC265" i="13" s="1"/>
  <c r="AL265" i="13" l="1"/>
  <c r="AW265" i="13"/>
  <c r="AC191" i="14" l="1"/>
  <c r="BB191" i="14"/>
  <c r="V264" i="13" l="1"/>
  <c r="AR264" i="13" s="1"/>
  <c r="Y264" i="13"/>
  <c r="AB264" i="13"/>
  <c r="AT264" i="13" s="1"/>
  <c r="AI264" i="13"/>
  <c r="AJ264" i="13"/>
  <c r="BC264" i="13" s="1"/>
  <c r="AL264" i="13" l="1"/>
  <c r="AS264" i="13"/>
  <c r="AW264" i="13" s="1"/>
  <c r="V263" i="13"/>
  <c r="AR263" i="13" s="1"/>
  <c r="Y263" i="13"/>
  <c r="AB263" i="13"/>
  <c r="AT263" i="13" s="1"/>
  <c r="AI263" i="13"/>
  <c r="AJ263" i="13"/>
  <c r="BC263" i="13" s="1"/>
  <c r="U27" i="19"/>
  <c r="V27" i="19" s="1"/>
  <c r="Y27" i="19"/>
  <c r="AB27" i="19"/>
  <c r="AT27" i="19" s="1"/>
  <c r="AI27" i="19"/>
  <c r="V28" i="19"/>
  <c r="AR28" i="19" s="1"/>
  <c r="Y28" i="19"/>
  <c r="AB28" i="19"/>
  <c r="AT28" i="19" s="1"/>
  <c r="AI28" i="19"/>
  <c r="AJ28" i="19"/>
  <c r="AJ26" i="19"/>
  <c r="AI26" i="19"/>
  <c r="AB26" i="19"/>
  <c r="AT26" i="19" s="1"/>
  <c r="Y26" i="19"/>
  <c r="AS26" i="19" s="1"/>
  <c r="V26" i="19"/>
  <c r="AR26" i="19" s="1"/>
  <c r="AL28" i="19" l="1"/>
  <c r="AL27" i="19"/>
  <c r="AL263" i="13"/>
  <c r="AS263" i="13"/>
  <c r="AW263" i="13" s="1"/>
  <c r="AR27" i="19"/>
  <c r="AS28" i="19"/>
  <c r="AW28" i="19" s="1"/>
  <c r="AS27" i="19"/>
  <c r="AJ27" i="19"/>
  <c r="AW26" i="19"/>
  <c r="AL26" i="19"/>
  <c r="V262" i="13"/>
  <c r="AR262" i="13" s="1"/>
  <c r="Y262" i="13"/>
  <c r="AB262" i="13"/>
  <c r="AI262" i="13"/>
  <c r="AJ262" i="13"/>
  <c r="BC262" i="13" s="1"/>
  <c r="AL262" i="13" l="1"/>
  <c r="AW27" i="19"/>
  <c r="AT262" i="13"/>
  <c r="AS262" i="13"/>
  <c r="V261" i="13"/>
  <c r="W261" i="13"/>
  <c r="Y261" i="13" s="1"/>
  <c r="AB261" i="13"/>
  <c r="AJ261" i="13"/>
  <c r="BC261" i="13" s="1"/>
  <c r="AW262" i="13" l="1"/>
  <c r="AI261" i="13"/>
  <c r="AR261" i="13"/>
  <c r="AL261" i="13"/>
  <c r="AS261" i="13"/>
  <c r="AT261" i="13"/>
  <c r="AW261" i="13" l="1"/>
  <c r="V260" i="13"/>
  <c r="AR260" i="13" s="1"/>
  <c r="Y260" i="13"/>
  <c r="AB260" i="13"/>
  <c r="AI260" i="13"/>
  <c r="AJ260" i="13"/>
  <c r="BC260" i="13" s="1"/>
  <c r="AL260" i="13" l="1"/>
  <c r="AT260" i="13"/>
  <c r="AS260" i="13"/>
  <c r="AW260" i="13" l="1"/>
  <c r="BB190" i="14"/>
  <c r="AC190" i="14"/>
  <c r="AJ259" i="13"/>
  <c r="BC259" i="13" s="1"/>
  <c r="AI259" i="13"/>
  <c r="AB259" i="13"/>
  <c r="AT259" i="13" s="1"/>
  <c r="Y259" i="13"/>
  <c r="AS259" i="13" s="1"/>
  <c r="V259" i="13"/>
  <c r="AR259" i="13" s="1"/>
  <c r="BD191" i="14" l="1"/>
  <c r="BE191" i="14" s="1"/>
  <c r="BI190" i="14"/>
  <c r="BI195" i="14" s="1"/>
  <c r="AW259" i="13"/>
  <c r="AL259" i="13"/>
  <c r="AC63" i="15"/>
  <c r="BB63" i="15"/>
  <c r="AZ268" i="13" l="1"/>
  <c r="BA268" i="13" s="1"/>
  <c r="BE259" i="13"/>
  <c r="BI366" i="13" s="1"/>
  <c r="V258" i="13"/>
  <c r="Y258" i="13"/>
  <c r="AB258" i="13"/>
  <c r="AT258" i="13" s="1"/>
  <c r="AI258" i="13"/>
  <c r="AJ258" i="13"/>
  <c r="BC258" i="13" s="1"/>
  <c r="AR258" i="13" l="1"/>
  <c r="AL258" i="13"/>
  <c r="AS258" i="13"/>
  <c r="AW258" i="13" l="1"/>
  <c r="AC189" i="14" l="1"/>
  <c r="BB189" i="14"/>
  <c r="AQ44" i="11"/>
  <c r="AP44" i="11"/>
  <c r="AQ43" i="11"/>
  <c r="AP43" i="11"/>
  <c r="AQ5" i="11"/>
  <c r="AP5" i="11"/>
  <c r="AQ6" i="11"/>
  <c r="AP6" i="11"/>
  <c r="AQ11" i="11"/>
  <c r="AP11" i="11"/>
  <c r="AQ10" i="11"/>
  <c r="AP10" i="11"/>
  <c r="AQ9" i="11"/>
  <c r="AP9" i="11"/>
  <c r="AQ8" i="11"/>
  <c r="AP8" i="11"/>
  <c r="AQ17" i="11"/>
  <c r="AP17" i="11"/>
  <c r="AQ16" i="11"/>
  <c r="AP16" i="11"/>
  <c r="AQ57" i="11"/>
  <c r="AP57" i="11"/>
  <c r="AQ14" i="11"/>
  <c r="AP14" i="11"/>
  <c r="AQ13" i="11"/>
  <c r="AP13" i="11"/>
  <c r="AQ18" i="11"/>
  <c r="AP18" i="11"/>
  <c r="AQ22" i="11"/>
  <c r="AP22" i="11"/>
  <c r="AQ21" i="11"/>
  <c r="AP21" i="11"/>
  <c r="AQ20" i="11"/>
  <c r="AP20" i="11"/>
  <c r="AQ25" i="11"/>
  <c r="AP25" i="11"/>
  <c r="AQ38" i="11"/>
  <c r="AP38" i="11"/>
  <c r="AQ37" i="11"/>
  <c r="AP37" i="11"/>
  <c r="AQ36" i="11"/>
  <c r="AP36" i="11"/>
  <c r="AQ35" i="11"/>
  <c r="AP35" i="11"/>
  <c r="AQ34" i="11"/>
  <c r="AP34" i="11"/>
  <c r="AQ33" i="11"/>
  <c r="AP33" i="11"/>
  <c r="AQ30" i="11"/>
  <c r="AP30" i="11"/>
  <c r="AQ28" i="11"/>
  <c r="AP28" i="11"/>
  <c r="AQ27" i="11"/>
  <c r="AP27" i="11"/>
  <c r="AQ26" i="11"/>
  <c r="AP26" i="11"/>
  <c r="AQ40" i="11"/>
  <c r="AP40" i="11"/>
  <c r="AQ41" i="11"/>
  <c r="AP41" i="11"/>
  <c r="V257" i="13" l="1"/>
  <c r="AR257" i="13" s="1"/>
  <c r="Y257" i="13"/>
  <c r="AS257" i="13" s="1"/>
  <c r="AB257" i="13"/>
  <c r="AT257" i="13" s="1"/>
  <c r="AI257" i="13"/>
  <c r="AJ257" i="13"/>
  <c r="BC257" i="13" s="1"/>
  <c r="AL257" i="13" l="1"/>
  <c r="AW257" i="13"/>
  <c r="AC188" i="14" l="1"/>
  <c r="AZ188" i="14"/>
  <c r="BB188" i="14" s="1"/>
  <c r="BD189" i="14" s="1"/>
  <c r="BE189" i="14" s="1"/>
  <c r="BG195" i="14" s="1"/>
  <c r="V256" i="13" l="1"/>
  <c r="AR256" i="13" s="1"/>
  <c r="Y256" i="13"/>
  <c r="AS256" i="13" s="1"/>
  <c r="AB256" i="13"/>
  <c r="AT256" i="13" s="1"/>
  <c r="AI256" i="13"/>
  <c r="AJ256" i="13"/>
  <c r="BC256" i="13" s="1"/>
  <c r="V255" i="13"/>
  <c r="AR255" i="13" s="1"/>
  <c r="Y255" i="13"/>
  <c r="AS255" i="13" s="1"/>
  <c r="AB255" i="13"/>
  <c r="AT255" i="13" s="1"/>
  <c r="AI255" i="13"/>
  <c r="AJ255" i="13"/>
  <c r="BC255" i="13" s="1"/>
  <c r="AL256" i="13" l="1"/>
  <c r="AW256" i="13"/>
  <c r="AW255" i="13"/>
  <c r="AL255" i="13"/>
  <c r="AJ25" i="19"/>
  <c r="AI25" i="19"/>
  <c r="AB25" i="19"/>
  <c r="AT25" i="19" s="1"/>
  <c r="Y25" i="19"/>
  <c r="AS25" i="19" s="1"/>
  <c r="V25" i="19"/>
  <c r="AZ258" i="13" l="1"/>
  <c r="BA258" i="13" s="1"/>
  <c r="AL25" i="19"/>
  <c r="AR25" i="19"/>
  <c r="AW25" i="19" s="1"/>
  <c r="V254" i="13"/>
  <c r="AR254" i="13" s="1"/>
  <c r="Y254" i="13"/>
  <c r="AS254" i="13" s="1"/>
  <c r="AB254" i="13"/>
  <c r="AT254" i="13" s="1"/>
  <c r="AI254" i="13"/>
  <c r="AJ254" i="13"/>
  <c r="BC254" i="13" s="1"/>
  <c r="AL254" i="13" l="1"/>
  <c r="AW254" i="13"/>
  <c r="V253" i="13"/>
  <c r="AR253" i="13" s="1"/>
  <c r="Y253" i="13"/>
  <c r="AS253" i="13" s="1"/>
  <c r="AB253" i="13"/>
  <c r="AT253" i="13" s="1"/>
  <c r="AI253" i="13"/>
  <c r="AJ253" i="13"/>
  <c r="BC253" i="13" s="1"/>
  <c r="AL253" i="13" l="1"/>
  <c r="AW253" i="13"/>
  <c r="V252" i="13" l="1"/>
  <c r="AR252" i="13" s="1"/>
  <c r="Y252" i="13"/>
  <c r="AS252" i="13" s="1"/>
  <c r="AB252" i="13"/>
  <c r="AT252" i="13" s="1"/>
  <c r="AI252" i="13"/>
  <c r="AJ252" i="13"/>
  <c r="BC252" i="13" s="1"/>
  <c r="AW252" i="13" l="1"/>
  <c r="AL252" i="13"/>
  <c r="V251" i="13"/>
  <c r="AR251" i="13" s="1"/>
  <c r="Y251" i="13"/>
  <c r="AS251" i="13" s="1"/>
  <c r="AB251" i="13"/>
  <c r="AT251" i="13" s="1"/>
  <c r="AI251" i="13"/>
  <c r="AJ251" i="13"/>
  <c r="BC251" i="13" s="1"/>
  <c r="AW251" i="13" l="1"/>
  <c r="AZ254" i="13" s="1"/>
  <c r="BA254" i="13" s="1"/>
  <c r="AL251" i="13"/>
  <c r="V250" i="13"/>
  <c r="AR250" i="13" s="1"/>
  <c r="Y250" i="13"/>
  <c r="AS250" i="13" s="1"/>
  <c r="AB250" i="13"/>
  <c r="AT250" i="13" s="1"/>
  <c r="AI250" i="13"/>
  <c r="AJ250" i="13"/>
  <c r="BC250" i="13" s="1"/>
  <c r="AL250" i="13" l="1"/>
  <c r="AW250" i="13"/>
  <c r="V249" i="13"/>
  <c r="AR249" i="13" s="1"/>
  <c r="Y249" i="13"/>
  <c r="AS249" i="13" s="1"/>
  <c r="AB249" i="13"/>
  <c r="AT249" i="13" s="1"/>
  <c r="AI249" i="13"/>
  <c r="AJ249" i="13"/>
  <c r="BC249" i="13" s="1"/>
  <c r="AW249" i="13" l="1"/>
  <c r="AL249" i="13"/>
  <c r="V248" i="13" l="1"/>
  <c r="AR248" i="13" s="1"/>
  <c r="Y248" i="13"/>
  <c r="AB248" i="13"/>
  <c r="AT248" i="13" s="1"/>
  <c r="AI248" i="13"/>
  <c r="AJ248" i="13"/>
  <c r="BC248" i="13" s="1"/>
  <c r="BG366" i="13" s="1"/>
  <c r="AL248" i="13" l="1"/>
  <c r="AS248" i="13"/>
  <c r="AW248" i="13" s="1"/>
  <c r="AZ250" i="13" s="1"/>
  <c r="BA250" i="13" s="1"/>
  <c r="BF366" i="13" s="1"/>
  <c r="V247" i="13"/>
  <c r="AR247" i="13" s="1"/>
  <c r="Y247" i="13"/>
  <c r="AB247" i="13"/>
  <c r="AT247" i="13" s="1"/>
  <c r="AE247" i="13"/>
  <c r="AU247" i="13" s="1"/>
  <c r="AH247" i="13"/>
  <c r="AV247" i="13" s="1"/>
  <c r="AI247" i="13"/>
  <c r="AJ247" i="13"/>
  <c r="BC247" i="13" s="1"/>
  <c r="AL247" i="13" l="1"/>
  <c r="AS247" i="13"/>
  <c r="AW247" i="13" s="1"/>
  <c r="V246" i="13"/>
  <c r="AR246" i="13" s="1"/>
  <c r="Y246" i="13"/>
  <c r="AS246" i="13" s="1"/>
  <c r="AB246" i="13"/>
  <c r="AT246" i="13" s="1"/>
  <c r="AI246" i="13"/>
  <c r="AJ246" i="13"/>
  <c r="BC246" i="13" s="1"/>
  <c r="AL246" i="13" l="1"/>
  <c r="AW246" i="13"/>
  <c r="V245" i="13"/>
  <c r="AR245" i="13" s="1"/>
  <c r="Y245" i="13"/>
  <c r="AS245" i="13" s="1"/>
  <c r="AB245" i="13"/>
  <c r="AT245" i="13" s="1"/>
  <c r="AI245" i="13"/>
  <c r="AJ245" i="13"/>
  <c r="BC245" i="13" s="1"/>
  <c r="AL245" i="13" l="1"/>
  <c r="AW245" i="13"/>
  <c r="V244" i="13"/>
  <c r="AR244" i="13" s="1"/>
  <c r="Y244" i="13"/>
  <c r="AS244" i="13" s="1"/>
  <c r="AB244" i="13"/>
  <c r="AT244" i="13" s="1"/>
  <c r="AI244" i="13"/>
  <c r="AJ244" i="13"/>
  <c r="BC244" i="13" s="1"/>
  <c r="AW244" i="13" l="1"/>
  <c r="AL244" i="13"/>
  <c r="AJ241" i="13" l="1"/>
  <c r="BC241" i="13" s="1"/>
  <c r="AI241" i="13"/>
  <c r="AB241" i="13"/>
  <c r="AT241" i="13" s="1"/>
  <c r="Y241" i="13"/>
  <c r="AS241" i="13" s="1"/>
  <c r="V241" i="13"/>
  <c r="AW241" i="13" l="1"/>
  <c r="BE241" i="13" s="1"/>
  <c r="AL241" i="13"/>
  <c r="V243" i="13" l="1"/>
  <c r="AR243" i="13" s="1"/>
  <c r="Y243" i="13"/>
  <c r="AB243" i="13"/>
  <c r="AT243" i="13" s="1"/>
  <c r="AI243" i="13"/>
  <c r="AJ243" i="13"/>
  <c r="BC243" i="13" s="1"/>
  <c r="AL243" i="13" l="1"/>
  <c r="AS243" i="13"/>
  <c r="AW243" i="13" s="1"/>
  <c r="V242" i="13"/>
  <c r="AR242" i="13" s="1"/>
  <c r="Y242" i="13"/>
  <c r="AS242" i="13" s="1"/>
  <c r="AB242" i="13"/>
  <c r="AT242" i="13" s="1"/>
  <c r="AI242" i="13"/>
  <c r="AJ242" i="13"/>
  <c r="BC242" i="13" s="1"/>
  <c r="AW242" i="13" l="1"/>
  <c r="AL242" i="13"/>
  <c r="V239" i="13"/>
  <c r="AR239" i="13" s="1"/>
  <c r="Y239" i="13"/>
  <c r="AS239" i="13" s="1"/>
  <c r="AB239" i="13"/>
  <c r="AT239" i="13" s="1"/>
  <c r="AI239" i="13"/>
  <c r="AJ239" i="13"/>
  <c r="BC239" i="13" s="1"/>
  <c r="V240" i="13"/>
  <c r="AR240" i="13" s="1"/>
  <c r="Y240" i="13"/>
  <c r="AS240" i="13" s="1"/>
  <c r="AB240" i="13"/>
  <c r="AI240" i="13"/>
  <c r="AJ240" i="13"/>
  <c r="BC240" i="13" s="1"/>
  <c r="AL240" i="13" l="1"/>
  <c r="AT240" i="13"/>
  <c r="AW240" i="13" s="1"/>
  <c r="AW239" i="13"/>
  <c r="AL239" i="13"/>
  <c r="AZ247" i="13" l="1"/>
  <c r="BA247" i="13" s="1"/>
  <c r="AJ24" i="19"/>
  <c r="AI24" i="19"/>
  <c r="AB24" i="19"/>
  <c r="AT24" i="19" s="1"/>
  <c r="Y24" i="19"/>
  <c r="AS24" i="19" s="1"/>
  <c r="V24" i="19"/>
  <c r="AL24" i="19" l="1"/>
  <c r="AR24" i="19"/>
  <c r="AW24" i="19" s="1"/>
  <c r="BB187" i="14" l="1"/>
  <c r="AC187" i="14"/>
  <c r="AC186" i="14"/>
  <c r="BB186" i="14"/>
  <c r="V238" i="13"/>
  <c r="AR238" i="13" s="1"/>
  <c r="Y238" i="13"/>
  <c r="AS238" i="13" s="1"/>
  <c r="AB238" i="13"/>
  <c r="AT238" i="13" s="1"/>
  <c r="AI238" i="13"/>
  <c r="AJ238" i="13"/>
  <c r="BC238" i="13" s="1"/>
  <c r="V237" i="13"/>
  <c r="AR237" i="13" s="1"/>
  <c r="Y237" i="13"/>
  <c r="AS237" i="13" s="1"/>
  <c r="AB237" i="13"/>
  <c r="AT237" i="13" s="1"/>
  <c r="AI237" i="13"/>
  <c r="AJ237" i="13"/>
  <c r="BC237" i="13" s="1"/>
  <c r="BD187" i="14" l="1"/>
  <c r="BE187" i="14" s="1"/>
  <c r="AW238" i="13"/>
  <c r="AL238" i="13"/>
  <c r="AW237" i="13"/>
  <c r="AL237" i="13"/>
  <c r="V236" i="13"/>
  <c r="Y236" i="13"/>
  <c r="AS236" i="13" s="1"/>
  <c r="AB236" i="13"/>
  <c r="AT236" i="13" s="1"/>
  <c r="AI236" i="13"/>
  <c r="AJ236" i="13"/>
  <c r="BC236" i="13" s="1"/>
  <c r="AL236" i="13" l="1"/>
  <c r="AR236" i="13"/>
  <c r="AW236" i="13" s="1"/>
  <c r="V235" i="13" l="1"/>
  <c r="AR235" i="13" s="1"/>
  <c r="Y235" i="13"/>
  <c r="AS235" i="13" s="1"/>
  <c r="AB235" i="13"/>
  <c r="AI235" i="13"/>
  <c r="AJ235" i="13"/>
  <c r="BC235" i="13" s="1"/>
  <c r="AL235" i="13" l="1"/>
  <c r="AT235" i="13"/>
  <c r="AW235" i="13" s="1"/>
  <c r="V234" i="13"/>
  <c r="Y234" i="13"/>
  <c r="AB234" i="13"/>
  <c r="AI234" i="13"/>
  <c r="AJ234" i="13"/>
  <c r="BC234" i="13" s="1"/>
  <c r="AW234" i="13" l="1"/>
  <c r="AL234" i="13"/>
  <c r="V233" i="13"/>
  <c r="AR233" i="13" s="1"/>
  <c r="Y233" i="13"/>
  <c r="AS233" i="13" s="1"/>
  <c r="AB233" i="13"/>
  <c r="AT233" i="13" s="1"/>
  <c r="AI233" i="13"/>
  <c r="AJ233" i="13"/>
  <c r="BC233" i="13" s="1"/>
  <c r="AL233" i="13" l="1"/>
  <c r="AW233" i="13"/>
  <c r="V232" i="13"/>
  <c r="AR232" i="13" s="1"/>
  <c r="Y232" i="13"/>
  <c r="AS232" i="13" s="1"/>
  <c r="AB232" i="13"/>
  <c r="AT232" i="13" s="1"/>
  <c r="AI232" i="13"/>
  <c r="AJ232" i="13"/>
  <c r="BC232" i="13" s="1"/>
  <c r="AL232" i="13" l="1"/>
  <c r="AW232" i="13"/>
  <c r="V231" i="13" l="1"/>
  <c r="AR231" i="13" s="1"/>
  <c r="Y231" i="13"/>
  <c r="AS231" i="13" s="1"/>
  <c r="AB231" i="13"/>
  <c r="AT231" i="13" s="1"/>
  <c r="AI231" i="13"/>
  <c r="AJ231" i="13"/>
  <c r="BC231" i="13" s="1"/>
  <c r="AZ155" i="14"/>
  <c r="BB155" i="14" s="1"/>
  <c r="AC155" i="14"/>
  <c r="AW231" i="13" l="1"/>
  <c r="AL231" i="13"/>
  <c r="V230" i="13"/>
  <c r="AR230" i="13" s="1"/>
  <c r="Y230" i="13"/>
  <c r="AS230" i="13" s="1"/>
  <c r="AB230" i="13"/>
  <c r="AI230" i="13"/>
  <c r="AJ230" i="13"/>
  <c r="BC230" i="13" s="1"/>
  <c r="AL230" i="13" l="1"/>
  <c r="AT230" i="13"/>
  <c r="AW230" i="13" s="1"/>
  <c r="AA38" i="11"/>
  <c r="X38" i="11"/>
  <c r="U38" i="11"/>
  <c r="V229" i="13" l="1"/>
  <c r="AR229" i="13" s="1"/>
  <c r="Y229" i="13"/>
  <c r="AS229" i="13" s="1"/>
  <c r="AB229" i="13"/>
  <c r="AT229" i="13" s="1"/>
  <c r="AI229" i="13"/>
  <c r="AJ229" i="13"/>
  <c r="BC229" i="13" s="1"/>
  <c r="AW229" i="13" l="1"/>
  <c r="AZ238" i="13" s="1"/>
  <c r="BA238" i="13" s="1"/>
  <c r="AL229" i="13"/>
  <c r="V228" i="13" l="1"/>
  <c r="AR228" i="13" s="1"/>
  <c r="Y228" i="13"/>
  <c r="AS228" i="13" s="1"/>
  <c r="AB228" i="13"/>
  <c r="AT228" i="13" s="1"/>
  <c r="AI228" i="13"/>
  <c r="AJ228" i="13"/>
  <c r="BC228" i="13" s="1"/>
  <c r="AW228" i="13" l="1"/>
  <c r="AL228" i="13"/>
  <c r="AB38" i="11"/>
  <c r="V38" i="11"/>
  <c r="Y38" i="11"/>
  <c r="AI38" i="11"/>
  <c r="AJ38" i="11"/>
  <c r="AL38" i="11" l="1"/>
  <c r="AW38" i="11" s="1"/>
  <c r="V227" i="13" l="1"/>
  <c r="AR227" i="13" s="1"/>
  <c r="Y227" i="13"/>
  <c r="AS227" i="13" s="1"/>
  <c r="AB227" i="13"/>
  <c r="AI227" i="13"/>
  <c r="AJ227" i="13"/>
  <c r="BC227" i="13" s="1"/>
  <c r="AL227" i="13" l="1"/>
  <c r="AT227" i="13"/>
  <c r="AW227" i="13" s="1"/>
  <c r="V226" i="13"/>
  <c r="Y226" i="13"/>
  <c r="AS226" i="13" s="1"/>
  <c r="AB226" i="13"/>
  <c r="AT226" i="13" s="1"/>
  <c r="AI226" i="13"/>
  <c r="AJ226" i="13"/>
  <c r="BC226" i="13" s="1"/>
  <c r="AL226" i="13" l="1"/>
  <c r="AR226" i="13"/>
  <c r="AW226" i="13" s="1"/>
  <c r="V225" i="13"/>
  <c r="AR225" i="13" s="1"/>
  <c r="Y225" i="13"/>
  <c r="AS225" i="13" s="1"/>
  <c r="AB225" i="13"/>
  <c r="AT225" i="13" s="1"/>
  <c r="AI225" i="13"/>
  <c r="AJ225" i="13"/>
  <c r="BC225" i="13" s="1"/>
  <c r="AW225" i="13" l="1"/>
  <c r="AL225" i="13"/>
  <c r="V224" i="13" l="1"/>
  <c r="AR224" i="13" s="1"/>
  <c r="Y224" i="13"/>
  <c r="AS224" i="13" s="1"/>
  <c r="AB224" i="13"/>
  <c r="AT224" i="13" s="1"/>
  <c r="AI224" i="13"/>
  <c r="AJ224" i="13"/>
  <c r="BC224" i="13" s="1"/>
  <c r="AC185" i="14"/>
  <c r="BB185" i="14"/>
  <c r="BD185" i="14" s="1"/>
  <c r="BE185" i="14" s="1"/>
  <c r="AL224" i="13" l="1"/>
  <c r="AW224" i="13"/>
  <c r="V223" i="13"/>
  <c r="AR223" i="13" s="1"/>
  <c r="Y223" i="13"/>
  <c r="AS223" i="13" s="1"/>
  <c r="AB223" i="13"/>
  <c r="AT223" i="13" s="1"/>
  <c r="AI223" i="13"/>
  <c r="AJ223" i="13"/>
  <c r="BC223" i="13" s="1"/>
  <c r="AW223" i="13" l="1"/>
  <c r="AZ228" i="13" s="1"/>
  <c r="BA228" i="13" s="1"/>
  <c r="AL223" i="13"/>
  <c r="AC62" i="15"/>
  <c r="BB62" i="15"/>
  <c r="BB168" i="14" l="1"/>
  <c r="V222" i="13" l="1"/>
  <c r="AR222" i="13" s="1"/>
  <c r="Y222" i="13"/>
  <c r="AS222" i="13" s="1"/>
  <c r="AB222" i="13"/>
  <c r="AT222" i="13" s="1"/>
  <c r="AI222" i="13"/>
  <c r="AJ222" i="13"/>
  <c r="BC222" i="13" s="1"/>
  <c r="AW222" i="13" l="1"/>
  <c r="AL222" i="13"/>
  <c r="V221" i="13"/>
  <c r="AR221" i="13" s="1"/>
  <c r="Y221" i="13"/>
  <c r="AS221" i="13" s="1"/>
  <c r="AB221" i="13"/>
  <c r="AT221" i="13" s="1"/>
  <c r="AI221" i="13"/>
  <c r="AJ221" i="13"/>
  <c r="BC221" i="13" s="1"/>
  <c r="AW221" i="13" l="1"/>
  <c r="AL221" i="13"/>
  <c r="V220" i="13"/>
  <c r="AR220" i="13" s="1"/>
  <c r="Y220" i="13"/>
  <c r="AS220" i="13" s="1"/>
  <c r="AB220" i="13"/>
  <c r="AT220" i="13" s="1"/>
  <c r="AI220" i="13"/>
  <c r="AJ220" i="13"/>
  <c r="BC220" i="13" s="1"/>
  <c r="AW220" i="13" l="1"/>
  <c r="AZ222" i="13" s="1"/>
  <c r="BA222" i="13" s="1"/>
  <c r="AL220" i="13"/>
  <c r="AC184" i="14"/>
  <c r="BB184" i="14"/>
  <c r="BD184" i="14" s="1"/>
  <c r="BE184" i="14" s="1"/>
  <c r="V218" i="13" l="1"/>
  <c r="AR218" i="13" s="1"/>
  <c r="Y218" i="13"/>
  <c r="AS218" i="13" s="1"/>
  <c r="AB218" i="13"/>
  <c r="AT218" i="13" s="1"/>
  <c r="AE218" i="13"/>
  <c r="AU218" i="13" s="1"/>
  <c r="AH218" i="13"/>
  <c r="AV218" i="13" s="1"/>
  <c r="AI218" i="13"/>
  <c r="AJ218" i="13"/>
  <c r="BC218" i="13" s="1"/>
  <c r="V219" i="13"/>
  <c r="AR219" i="13" s="1"/>
  <c r="Y219" i="13"/>
  <c r="AS219" i="13" s="1"/>
  <c r="AB219" i="13"/>
  <c r="AI219" i="13"/>
  <c r="AJ219" i="13"/>
  <c r="BC219" i="13" s="1"/>
  <c r="AW218" i="13" l="1"/>
  <c r="AL218" i="13"/>
  <c r="AL219" i="13"/>
  <c r="AT219" i="13"/>
  <c r="AW219" i="13" s="1"/>
  <c r="U18" i="11"/>
  <c r="X18" i="11"/>
  <c r="Y18" i="11" s="1"/>
  <c r="AA18" i="11"/>
  <c r="AB18" i="11" s="1"/>
  <c r="AI18" i="11"/>
  <c r="V18" i="11" l="1"/>
  <c r="AJ18" i="11"/>
  <c r="AZ219" i="13"/>
  <c r="BA219" i="13" s="1"/>
  <c r="AL18" i="11" l="1"/>
  <c r="AW18" i="11" s="1"/>
  <c r="AJ33" i="11"/>
  <c r="AI33" i="11" l="1"/>
  <c r="AL33" i="11" s="1"/>
  <c r="AJ23" i="19"/>
  <c r="AI23" i="19"/>
  <c r="AB23" i="19"/>
  <c r="AT23" i="19" s="1"/>
  <c r="Y23" i="19"/>
  <c r="AS23" i="19" s="1"/>
  <c r="V23" i="19"/>
  <c r="V22" i="19"/>
  <c r="AR22" i="19" s="1"/>
  <c r="Y22" i="19"/>
  <c r="AS22" i="19" s="1"/>
  <c r="AB22" i="19"/>
  <c r="AT22" i="19" s="1"/>
  <c r="AE22" i="19"/>
  <c r="AU22" i="19" s="1"/>
  <c r="AH22" i="19"/>
  <c r="AV22" i="19" s="1"/>
  <c r="AI22" i="19"/>
  <c r="AJ22" i="19"/>
  <c r="AL23" i="19" l="1"/>
  <c r="AW33" i="11"/>
  <c r="AR23" i="19"/>
  <c r="AW23" i="19" s="1"/>
  <c r="AW22" i="19"/>
  <c r="AL22" i="19"/>
  <c r="AC61" i="15"/>
  <c r="BB61" i="15"/>
  <c r="AI217" i="13" l="1"/>
  <c r="V217" i="13"/>
  <c r="AR217" i="13" s="1"/>
  <c r="Y217" i="13"/>
  <c r="AS217" i="13" s="1"/>
  <c r="AB217" i="13"/>
  <c r="AE217" i="13"/>
  <c r="AH217" i="13"/>
  <c r="AJ217" i="13"/>
  <c r="BC217" i="13" s="1"/>
  <c r="V216" i="13"/>
  <c r="Y216" i="13"/>
  <c r="AS216" i="13" s="1"/>
  <c r="AB216" i="13"/>
  <c r="AT216" i="13" s="1"/>
  <c r="AI216" i="13"/>
  <c r="AJ216" i="13"/>
  <c r="BC216" i="13" s="1"/>
  <c r="AL217" i="13" l="1"/>
  <c r="AT217" i="13"/>
  <c r="AW217" i="13" s="1"/>
  <c r="AL216" i="13"/>
  <c r="AR216" i="13"/>
  <c r="AW216" i="13" s="1"/>
  <c r="V215" i="13"/>
  <c r="Y215" i="13"/>
  <c r="AS215" i="13" s="1"/>
  <c r="AB215" i="13"/>
  <c r="AT215" i="13" s="1"/>
  <c r="AE215" i="13"/>
  <c r="AH215" i="13"/>
  <c r="AI215" i="13"/>
  <c r="AK215" i="13"/>
  <c r="BD215" i="13" s="1"/>
  <c r="AL215" i="13" l="1"/>
  <c r="AR215" i="13"/>
  <c r="AW215" i="13" s="1"/>
  <c r="AJ21" i="19"/>
  <c r="AI21" i="19"/>
  <c r="AB21" i="19"/>
  <c r="AT21" i="19" s="1"/>
  <c r="Y21" i="19"/>
  <c r="AS21" i="19" s="1"/>
  <c r="V21" i="19"/>
  <c r="AL21" i="19" l="1"/>
  <c r="AR21" i="19"/>
  <c r="AW21" i="19" s="1"/>
  <c r="AJ214" i="13"/>
  <c r="AB214" i="13"/>
  <c r="AT214" i="13" s="1"/>
  <c r="Y214" i="13"/>
  <c r="AS214" i="13" s="1"/>
  <c r="V214" i="13"/>
  <c r="AR214" i="13" s="1"/>
  <c r="AL214" i="13" l="1"/>
  <c r="AW214" i="13"/>
  <c r="BE214" i="13" s="1"/>
  <c r="BI247" i="13" s="1"/>
  <c r="V213" i="13"/>
  <c r="AR213" i="13" s="1"/>
  <c r="Y213" i="13"/>
  <c r="AS213" i="13" s="1"/>
  <c r="AB213" i="13"/>
  <c r="AT213" i="13" s="1"/>
  <c r="AI213" i="13"/>
  <c r="AJ213" i="13"/>
  <c r="BC213" i="13" s="1"/>
  <c r="V211" i="13"/>
  <c r="AR211" i="13" s="1"/>
  <c r="Y211" i="13"/>
  <c r="AS211" i="13" s="1"/>
  <c r="AB211" i="13"/>
  <c r="AT211" i="13" s="1"/>
  <c r="AI211" i="13"/>
  <c r="AJ211" i="13"/>
  <c r="BC211" i="13" s="1"/>
  <c r="V212" i="13"/>
  <c r="Y212" i="13"/>
  <c r="AS212" i="13" s="1"/>
  <c r="AB212" i="13"/>
  <c r="AT212" i="13" s="1"/>
  <c r="AI212" i="13"/>
  <c r="AJ212" i="13"/>
  <c r="BC212" i="13" s="1"/>
  <c r="AW213" i="13" l="1"/>
  <c r="AL213" i="13"/>
  <c r="AL211" i="13"/>
  <c r="AW211" i="13"/>
  <c r="AL212" i="13"/>
  <c r="AR212" i="13"/>
  <c r="AW212" i="13" s="1"/>
  <c r="V210" i="13"/>
  <c r="AR210" i="13" s="1"/>
  <c r="Y210" i="13"/>
  <c r="AS210" i="13" s="1"/>
  <c r="AB210" i="13"/>
  <c r="AT210" i="13" s="1"/>
  <c r="AI210" i="13"/>
  <c r="AJ210" i="13"/>
  <c r="BC210" i="13" s="1"/>
  <c r="AW210" i="13" l="1"/>
  <c r="AZ217" i="13" s="1"/>
  <c r="BA217" i="13" s="1"/>
  <c r="AL210" i="13"/>
  <c r="Y209" i="13" l="1"/>
  <c r="AS209" i="13" s="1"/>
  <c r="V209" i="13"/>
  <c r="AR209" i="13" s="1"/>
  <c r="AB209" i="13" l="1"/>
  <c r="AT209" i="13" s="1"/>
  <c r="AI209" i="13"/>
  <c r="AJ209" i="13"/>
  <c r="BC209" i="13" s="1"/>
  <c r="AL209" i="13" l="1"/>
  <c r="AW209" i="13"/>
  <c r="V208" i="13"/>
  <c r="AR208" i="13" s="1"/>
  <c r="Y208" i="13"/>
  <c r="AS208" i="13" s="1"/>
  <c r="AB208" i="13"/>
  <c r="AT208" i="13" s="1"/>
  <c r="AE208" i="13"/>
  <c r="AU208" i="13" s="1"/>
  <c r="AH208" i="13"/>
  <c r="AV208" i="13" s="1"/>
  <c r="AI208" i="13"/>
  <c r="AJ208" i="13"/>
  <c r="BC208" i="13" s="1"/>
  <c r="AL208" i="13" l="1"/>
  <c r="AW208" i="13"/>
  <c r="V207" i="13"/>
  <c r="AR207" i="13" s="1"/>
  <c r="Y207" i="13"/>
  <c r="AS207" i="13" s="1"/>
  <c r="AB207" i="13"/>
  <c r="AT207" i="13" s="1"/>
  <c r="AI207" i="13"/>
  <c r="AJ207" i="13"/>
  <c r="BC207" i="13" s="1"/>
  <c r="V206" i="13"/>
  <c r="AR206" i="13" s="1"/>
  <c r="Y206" i="13"/>
  <c r="AS206" i="13" s="1"/>
  <c r="AB206" i="13"/>
  <c r="AT206" i="13" s="1"/>
  <c r="AI206" i="13"/>
  <c r="AK206" i="13"/>
  <c r="BD206" i="13" s="1"/>
  <c r="BH247" i="13" s="1"/>
  <c r="V205" i="13"/>
  <c r="AR205" i="13" s="1"/>
  <c r="Y205" i="13"/>
  <c r="AS205" i="13" s="1"/>
  <c r="AB205" i="13"/>
  <c r="AT205" i="13" s="1"/>
  <c r="AI205" i="13"/>
  <c r="AJ205" i="13"/>
  <c r="BC205" i="13" s="1"/>
  <c r="AL207" i="13" l="1"/>
  <c r="AW207" i="13"/>
  <c r="AW206" i="13"/>
  <c r="AL206" i="13"/>
  <c r="AW205" i="13"/>
  <c r="AL205" i="13"/>
  <c r="V204" i="13"/>
  <c r="AR204" i="13" s="1"/>
  <c r="Y204" i="13"/>
  <c r="AS204" i="13" s="1"/>
  <c r="AB204" i="13"/>
  <c r="AT204" i="13" s="1"/>
  <c r="AI204" i="13"/>
  <c r="AJ204" i="13"/>
  <c r="BC204" i="13" s="1"/>
  <c r="V203" i="13"/>
  <c r="AR203" i="13" s="1"/>
  <c r="Y203" i="13"/>
  <c r="AS203" i="13" s="1"/>
  <c r="AB203" i="13"/>
  <c r="AT203" i="13" s="1"/>
  <c r="AI203" i="13"/>
  <c r="AJ203" i="13"/>
  <c r="BC203" i="13" s="1"/>
  <c r="AL204" i="13" l="1"/>
  <c r="AW204" i="13"/>
  <c r="AW203" i="13"/>
  <c r="AL203" i="13"/>
  <c r="V202" i="13"/>
  <c r="AR202" i="13" s="1"/>
  <c r="Y202" i="13"/>
  <c r="AS202" i="13" s="1"/>
  <c r="AB202" i="13"/>
  <c r="AT202" i="13" s="1"/>
  <c r="AI202" i="13"/>
  <c r="AJ202" i="13"/>
  <c r="BC202" i="13" s="1"/>
  <c r="AW202" i="13" l="1"/>
  <c r="AL202" i="13"/>
  <c r="AC183" i="14"/>
  <c r="BB183" i="14"/>
  <c r="BD183" i="14" s="1"/>
  <c r="BE183" i="14" s="1"/>
  <c r="V201" i="13"/>
  <c r="AR201" i="13" s="1"/>
  <c r="Y201" i="13"/>
  <c r="AS201" i="13" s="1"/>
  <c r="AB201" i="13"/>
  <c r="AI201" i="13"/>
  <c r="AJ201" i="13"/>
  <c r="BC201" i="13" s="1"/>
  <c r="AL201" i="13" l="1"/>
  <c r="AT201" i="13"/>
  <c r="AW201" i="13" s="1"/>
  <c r="V200" i="13"/>
  <c r="AR200" i="13" s="1"/>
  <c r="Y200" i="13"/>
  <c r="AS200" i="13" s="1"/>
  <c r="AB200" i="13"/>
  <c r="AT200" i="13" s="1"/>
  <c r="AI200" i="13"/>
  <c r="AJ200" i="13"/>
  <c r="BC200" i="13" s="1"/>
  <c r="AW200" i="13" l="1"/>
  <c r="AL200" i="13"/>
  <c r="V199" i="13" l="1"/>
  <c r="AR199" i="13" s="1"/>
  <c r="Y199" i="13"/>
  <c r="AS199" i="13" s="1"/>
  <c r="AB199" i="13"/>
  <c r="AI199" i="13"/>
  <c r="AJ199" i="13"/>
  <c r="BC199" i="13" s="1"/>
  <c r="AL199" i="13" l="1"/>
  <c r="AT199" i="13"/>
  <c r="AW199" i="13" s="1"/>
  <c r="AZ209" i="13" s="1"/>
  <c r="BA209" i="13" s="1"/>
  <c r="AS195" i="13" l="1"/>
  <c r="V19" i="19" l="1"/>
  <c r="AR19" i="19" s="1"/>
  <c r="Y19" i="19"/>
  <c r="Z19" i="19"/>
  <c r="AB19" i="19" s="1"/>
  <c r="AT19" i="19" s="1"/>
  <c r="AE19" i="19"/>
  <c r="AU19" i="19" s="1"/>
  <c r="AH19" i="19"/>
  <c r="AV19" i="19" s="1"/>
  <c r="AJ19" i="19"/>
  <c r="V20" i="19"/>
  <c r="AR20" i="19" s="1"/>
  <c r="Y20" i="19"/>
  <c r="AS20" i="19" s="1"/>
  <c r="AB20" i="19"/>
  <c r="AT20" i="19" s="1"/>
  <c r="AE20" i="19"/>
  <c r="AU20" i="19" s="1"/>
  <c r="AH20" i="19"/>
  <c r="AV20" i="19" s="1"/>
  <c r="AI20" i="19"/>
  <c r="AJ20" i="19"/>
  <c r="AI19" i="19" l="1"/>
  <c r="AL19" i="19"/>
  <c r="AW20" i="19"/>
  <c r="AL20" i="19"/>
  <c r="AS19" i="19"/>
  <c r="AW19" i="19" s="1"/>
  <c r="V197" i="13" l="1"/>
  <c r="Y197" i="13"/>
  <c r="AS197" i="13" s="1"/>
  <c r="AB197" i="13"/>
  <c r="AT197" i="13" s="1"/>
  <c r="AI197" i="13"/>
  <c r="AJ197" i="13"/>
  <c r="BC197" i="13" s="1"/>
  <c r="AL197" i="13" l="1"/>
  <c r="AR197" i="13"/>
  <c r="AW197" i="13" s="1"/>
  <c r="V196" i="13"/>
  <c r="AR196" i="13" s="1"/>
  <c r="Y196" i="13"/>
  <c r="AS196" i="13" s="1"/>
  <c r="AB196" i="13"/>
  <c r="AT196" i="13" s="1"/>
  <c r="AI196" i="13"/>
  <c r="AJ196" i="13"/>
  <c r="BC196" i="13" s="1"/>
  <c r="AW196" i="13" l="1"/>
  <c r="AL196" i="13"/>
  <c r="V195" i="13"/>
  <c r="AR195" i="13" s="1"/>
  <c r="Y195" i="13"/>
  <c r="AB195" i="13"/>
  <c r="AT195" i="13" s="1"/>
  <c r="AI195" i="13"/>
  <c r="AJ195" i="13"/>
  <c r="BC195" i="13" s="1"/>
  <c r="AW195" i="13" l="1"/>
  <c r="AL195" i="13"/>
  <c r="V194" i="13"/>
  <c r="AR194" i="13" s="1"/>
  <c r="Y194" i="13"/>
  <c r="AS194" i="13" s="1"/>
  <c r="AB194" i="13"/>
  <c r="AT194" i="13" s="1"/>
  <c r="AI194" i="13"/>
  <c r="AJ194" i="13"/>
  <c r="BC194" i="13" s="1"/>
  <c r="AW194" i="13" l="1"/>
  <c r="AL194" i="13"/>
  <c r="V193" i="13"/>
  <c r="AR193" i="13" s="1"/>
  <c r="Y193" i="13"/>
  <c r="AB193" i="13"/>
  <c r="AT193" i="13" s="1"/>
  <c r="AI193" i="13"/>
  <c r="AJ193" i="13"/>
  <c r="BC193" i="13" s="1"/>
  <c r="AL193" i="13" l="1"/>
  <c r="AS193" i="13"/>
  <c r="AW193" i="13" s="1"/>
  <c r="AI192" i="13" l="1"/>
  <c r="AB192" i="13"/>
  <c r="AT192" i="13" s="1"/>
  <c r="Y192" i="13"/>
  <c r="AS192" i="13" s="1"/>
  <c r="V192" i="13"/>
  <c r="AL192" i="13" l="1"/>
  <c r="AR192" i="13"/>
  <c r="AW192" i="13" s="1"/>
  <c r="V191" i="13"/>
  <c r="AR191" i="13" s="1"/>
  <c r="Y191" i="13"/>
  <c r="AS191" i="13" s="1"/>
  <c r="AB191" i="13"/>
  <c r="AT191" i="13" s="1"/>
  <c r="AI191" i="13"/>
  <c r="AJ191" i="13"/>
  <c r="BC191" i="13" s="1"/>
  <c r="AZ198" i="13" l="1"/>
  <c r="BA198" i="13" s="1"/>
  <c r="AL191" i="13"/>
  <c r="AW191" i="13"/>
  <c r="V190" i="13" l="1"/>
  <c r="Y190" i="13"/>
  <c r="AS190" i="13" s="1"/>
  <c r="AB190" i="13"/>
  <c r="AT190" i="13" s="1"/>
  <c r="AI190" i="13"/>
  <c r="AJ190" i="13"/>
  <c r="BC190" i="13" s="1"/>
  <c r="AL190" i="13" l="1"/>
  <c r="AR190" i="13"/>
  <c r="AW190" i="13" s="1"/>
  <c r="V189" i="13"/>
  <c r="AR189" i="13" s="1"/>
  <c r="Y189" i="13"/>
  <c r="AS189" i="13" s="1"/>
  <c r="AB189" i="13"/>
  <c r="AT189" i="13" s="1"/>
  <c r="AE189" i="13"/>
  <c r="AU189" i="13" s="1"/>
  <c r="AH189" i="13"/>
  <c r="AV189" i="13" s="1"/>
  <c r="AI189" i="13"/>
  <c r="AJ189" i="13"/>
  <c r="AW189" i="13" l="1"/>
  <c r="AL189" i="13"/>
  <c r="AC182" i="14"/>
  <c r="BB182" i="14"/>
  <c r="BD182" i="14" s="1"/>
  <c r="BE182" i="14" s="1"/>
  <c r="AZ191" i="13" l="1"/>
  <c r="BA191" i="13" s="1"/>
  <c r="V18" i="19" l="1"/>
  <c r="AR18" i="19" s="1"/>
  <c r="Y18" i="19"/>
  <c r="AS18" i="19" s="1"/>
  <c r="AB18" i="19"/>
  <c r="AT18" i="19" s="1"/>
  <c r="AE18" i="19"/>
  <c r="AU18" i="19" s="1"/>
  <c r="AH18" i="19"/>
  <c r="AV18" i="19" s="1"/>
  <c r="AI18" i="19"/>
  <c r="AJ18" i="19"/>
  <c r="V17" i="19"/>
  <c r="Y17" i="19"/>
  <c r="AS17" i="19" s="1"/>
  <c r="AB17" i="19"/>
  <c r="AT17" i="19" s="1"/>
  <c r="AE17" i="19"/>
  <c r="AU17" i="19" s="1"/>
  <c r="AH17" i="19"/>
  <c r="AV17" i="19" s="1"/>
  <c r="AI17" i="19"/>
  <c r="AJ17" i="19"/>
  <c r="AW18" i="19" l="1"/>
  <c r="AL18" i="19"/>
  <c r="AL17" i="19"/>
  <c r="AR17" i="19"/>
  <c r="AW17" i="19" s="1"/>
  <c r="V187" i="13" l="1"/>
  <c r="AR187" i="13" s="1"/>
  <c r="Y187" i="13"/>
  <c r="AS187" i="13" s="1"/>
  <c r="AB187" i="13"/>
  <c r="AT187" i="13" s="1"/>
  <c r="AI187" i="13"/>
  <c r="AJ187" i="13"/>
  <c r="BC187" i="13" s="1"/>
  <c r="AW187" i="13" l="1"/>
  <c r="AL187" i="13"/>
  <c r="AJ16" i="19"/>
  <c r="AI16" i="19"/>
  <c r="AH16" i="19"/>
  <c r="AV16" i="19" s="1"/>
  <c r="AE16" i="19"/>
  <c r="AU16" i="19" s="1"/>
  <c r="AB16" i="19"/>
  <c r="AT16" i="19" s="1"/>
  <c r="Y16" i="19"/>
  <c r="AS16" i="19" s="1"/>
  <c r="V16" i="19"/>
  <c r="V15" i="19"/>
  <c r="AR15" i="19" s="1"/>
  <c r="Y15" i="19"/>
  <c r="AS15" i="19" s="1"/>
  <c r="AB15" i="19"/>
  <c r="AT15" i="19" s="1"/>
  <c r="AE15" i="19"/>
  <c r="AU15" i="19" s="1"/>
  <c r="AH15" i="19"/>
  <c r="AV15" i="19" s="1"/>
  <c r="AI15" i="19"/>
  <c r="AJ15" i="19"/>
  <c r="AL16" i="19" l="1"/>
  <c r="AW15" i="19"/>
  <c r="AR16" i="19"/>
  <c r="AW16" i="19" s="1"/>
  <c r="AL15" i="19"/>
  <c r="AJ14" i="19"/>
  <c r="AI14" i="19"/>
  <c r="AH14" i="19"/>
  <c r="AV14" i="19" s="1"/>
  <c r="AE14" i="19"/>
  <c r="AU14" i="19" s="1"/>
  <c r="AB14" i="19"/>
  <c r="AT14" i="19" s="1"/>
  <c r="Y14" i="19"/>
  <c r="AS14" i="19" s="1"/>
  <c r="V14" i="19"/>
  <c r="AR14" i="19" s="1"/>
  <c r="AW14" i="19" l="1"/>
  <c r="AL14" i="19"/>
  <c r="V186" i="13"/>
  <c r="AR186" i="13" s="1"/>
  <c r="Y186" i="13"/>
  <c r="AS186" i="13" s="1"/>
  <c r="AB186" i="13"/>
  <c r="AT186" i="13" s="1"/>
  <c r="AI186" i="13"/>
  <c r="AJ186" i="13"/>
  <c r="BC186" i="13" s="1"/>
  <c r="AL186" i="13" l="1"/>
  <c r="AW186" i="13"/>
  <c r="K180" i="14"/>
  <c r="S180" i="14"/>
  <c r="U180" i="14"/>
  <c r="Y180" i="14"/>
  <c r="BB180" i="14"/>
  <c r="K181" i="14"/>
  <c r="S181" i="14"/>
  <c r="U181" i="14"/>
  <c r="Y181" i="14"/>
  <c r="BB181" i="14"/>
  <c r="AC181" i="14" l="1"/>
  <c r="AC180" i="14"/>
  <c r="C2" i="13"/>
  <c r="AJ185" i="13" l="1"/>
  <c r="BC185" i="13" s="1"/>
  <c r="AI185" i="13"/>
  <c r="AB185" i="13"/>
  <c r="AT185" i="13" s="1"/>
  <c r="Y185" i="13"/>
  <c r="AS185" i="13" s="1"/>
  <c r="V185" i="13"/>
  <c r="AL185" i="13" l="1"/>
  <c r="AR185" i="13"/>
  <c r="AW185" i="13" s="1"/>
  <c r="AC179" i="14"/>
  <c r="BB179" i="14"/>
  <c r="BD181" i="14" s="1"/>
  <c r="BE181" i="14" s="1"/>
  <c r="V184" i="13" l="1"/>
  <c r="AR184" i="13" s="1"/>
  <c r="Y184" i="13"/>
  <c r="AB184" i="13"/>
  <c r="AT184" i="13" s="1"/>
  <c r="AI184" i="13"/>
  <c r="AJ184" i="13"/>
  <c r="BC184" i="13" s="1"/>
  <c r="AL184" i="13" l="1"/>
  <c r="AS184" i="13"/>
  <c r="AW184" i="13" s="1"/>
  <c r="AZ187" i="13" s="1"/>
  <c r="BA187" i="13" s="1"/>
  <c r="AJ183" i="13"/>
  <c r="BC183" i="13" s="1"/>
  <c r="AI183" i="13"/>
  <c r="AB183" i="13"/>
  <c r="AT183" i="13" s="1"/>
  <c r="Y183" i="13"/>
  <c r="AS183" i="13" s="1"/>
  <c r="V183" i="13"/>
  <c r="AR183" i="13" s="1"/>
  <c r="V182" i="13"/>
  <c r="AR182" i="13" s="1"/>
  <c r="Y182" i="13"/>
  <c r="AS182" i="13" s="1"/>
  <c r="AB182" i="13"/>
  <c r="AT182" i="13" s="1"/>
  <c r="AE182" i="13"/>
  <c r="AU182" i="13" s="1"/>
  <c r="AH182" i="13"/>
  <c r="AI182" i="13"/>
  <c r="AJ182" i="13"/>
  <c r="BC182" i="13" s="1"/>
  <c r="AL182" i="13" l="1"/>
  <c r="AV182" i="13"/>
  <c r="AW182" i="13" s="1"/>
  <c r="AW183" i="13"/>
  <c r="AL183" i="13"/>
  <c r="AC178" i="14"/>
  <c r="BB178" i="14"/>
  <c r="V181" i="13" l="1"/>
  <c r="AR181" i="13" s="1"/>
  <c r="Y181" i="13"/>
  <c r="AS181" i="13" s="1"/>
  <c r="AB181" i="13"/>
  <c r="AT181" i="13" s="1"/>
  <c r="AI181" i="13"/>
  <c r="AJ181" i="13"/>
  <c r="BC181" i="13" s="1"/>
  <c r="AL181" i="13" l="1"/>
  <c r="AW181" i="13"/>
  <c r="V180" i="13"/>
  <c r="AR180" i="13" s="1"/>
  <c r="Y180" i="13"/>
  <c r="AS180" i="13" s="1"/>
  <c r="AB180" i="13"/>
  <c r="AT180" i="13" s="1"/>
  <c r="AI180" i="13"/>
  <c r="AJ180" i="13"/>
  <c r="BC180" i="13" s="1"/>
  <c r="AW180" i="13" l="1"/>
  <c r="AL180" i="13"/>
  <c r="BB168" i="13"/>
  <c r="AJ179" i="13"/>
  <c r="BC179" i="13" s="1"/>
  <c r="AI179" i="13"/>
  <c r="AB179" i="13"/>
  <c r="AT179" i="13" s="1"/>
  <c r="Y179" i="13"/>
  <c r="AS179" i="13" s="1"/>
  <c r="V179" i="13"/>
  <c r="AL179" i="13" l="1"/>
  <c r="AR179" i="13"/>
  <c r="AW179" i="13" s="1"/>
  <c r="AA177" i="14"/>
  <c r="AC177" i="14" s="1"/>
  <c r="BB177" i="14"/>
  <c r="BD178" i="14" s="1"/>
  <c r="BE178" i="14" s="1"/>
  <c r="V178" i="13"/>
  <c r="AR178" i="13" s="1"/>
  <c r="Y178" i="13"/>
  <c r="AS178" i="13" s="1"/>
  <c r="AB178" i="13"/>
  <c r="AT178" i="13" s="1"/>
  <c r="AI178" i="13"/>
  <c r="AJ178" i="13"/>
  <c r="BC178" i="13" s="1"/>
  <c r="AL178" i="13" l="1"/>
  <c r="AW178" i="13"/>
  <c r="V177" i="13"/>
  <c r="AR177" i="13" s="1"/>
  <c r="Y177" i="13"/>
  <c r="AB177" i="13"/>
  <c r="AT177" i="13" s="1"/>
  <c r="AI177" i="13"/>
  <c r="AJ177" i="13"/>
  <c r="AL177" i="13" l="1"/>
  <c r="AS177" i="13"/>
  <c r="AW177" i="13" s="1"/>
  <c r="V176" i="13" l="1"/>
  <c r="AR176" i="13" s="1"/>
  <c r="Y176" i="13"/>
  <c r="AS176" i="13" s="1"/>
  <c r="AB176" i="13"/>
  <c r="AT176" i="13" s="1"/>
  <c r="AI176" i="13"/>
  <c r="AJ176" i="13"/>
  <c r="BC176" i="13" s="1"/>
  <c r="AW176" i="13" l="1"/>
  <c r="AZ183" i="13" s="1"/>
  <c r="BA183" i="13" s="1"/>
  <c r="AL176" i="13"/>
  <c r="V175" i="13"/>
  <c r="AR175" i="13" s="1"/>
  <c r="Y175" i="13"/>
  <c r="AS175" i="13" s="1"/>
  <c r="AB175" i="13"/>
  <c r="AT175" i="13" s="1"/>
  <c r="AI175" i="13"/>
  <c r="AJ175" i="13"/>
  <c r="BC175" i="13" s="1"/>
  <c r="AL175" i="13" l="1"/>
  <c r="AW175" i="13"/>
  <c r="V174" i="13"/>
  <c r="Y174" i="13"/>
  <c r="AS174" i="13" s="1"/>
  <c r="AB174" i="13"/>
  <c r="AT174" i="13" s="1"/>
  <c r="AI174" i="13"/>
  <c r="AJ174" i="13"/>
  <c r="BC174" i="13" s="1"/>
  <c r="AC176" i="14"/>
  <c r="BB176" i="14"/>
  <c r="BD176" i="14" s="1"/>
  <c r="BE176" i="14" s="1"/>
  <c r="BG187" i="14" s="1"/>
  <c r="AL174" i="13" l="1"/>
  <c r="AR174" i="13"/>
  <c r="AW174" i="13" s="1"/>
  <c r="V173" i="13"/>
  <c r="AR173" i="13" s="1"/>
  <c r="Y173" i="13"/>
  <c r="AS173" i="13" s="1"/>
  <c r="AB173" i="13"/>
  <c r="AT173" i="13" s="1"/>
  <c r="AI173" i="13"/>
  <c r="AJ173" i="13"/>
  <c r="BC173" i="13" s="1"/>
  <c r="AL173" i="13" l="1"/>
  <c r="AW173" i="13"/>
  <c r="V172" i="13"/>
  <c r="AR172" i="13" s="1"/>
  <c r="Y172" i="13"/>
  <c r="AS172" i="13" s="1"/>
  <c r="AB172" i="13"/>
  <c r="AT172" i="13" s="1"/>
  <c r="AI172" i="13"/>
  <c r="AJ172" i="13"/>
  <c r="BC172" i="13" s="1"/>
  <c r="AW172" i="13" l="1"/>
  <c r="AL172" i="13"/>
  <c r="V171" i="13"/>
  <c r="AR171" i="13" s="1"/>
  <c r="Y171" i="13"/>
  <c r="AS171" i="13" s="1"/>
  <c r="AB171" i="13"/>
  <c r="AT171" i="13" s="1"/>
  <c r="AI171" i="13"/>
  <c r="AJ171" i="13"/>
  <c r="BC171" i="13" s="1"/>
  <c r="AW171" i="13" l="1"/>
  <c r="AL171" i="13"/>
  <c r="BB165" i="13"/>
  <c r="AS168" i="13"/>
  <c r="V168" i="13"/>
  <c r="Y168" i="13"/>
  <c r="AB168" i="13"/>
  <c r="AT168" i="13" s="1"/>
  <c r="AI168" i="13"/>
  <c r="AK168" i="13"/>
  <c r="BD168" i="13" s="1"/>
  <c r="V167" i="13"/>
  <c r="AR167" i="13" s="1"/>
  <c r="Y167" i="13"/>
  <c r="AS167" i="13" s="1"/>
  <c r="AB167" i="13"/>
  <c r="AT167" i="13" s="1"/>
  <c r="AI167" i="13"/>
  <c r="AJ167" i="13"/>
  <c r="BC167" i="13" s="1"/>
  <c r="AB170" i="13"/>
  <c r="Y170" i="13"/>
  <c r="AS170" i="13" l="1"/>
  <c r="AL170" i="13"/>
  <c r="AT170" i="13"/>
  <c r="AL168" i="13"/>
  <c r="AR168" i="13"/>
  <c r="AW168" i="13" s="1"/>
  <c r="AW167" i="13"/>
  <c r="AL167" i="13"/>
  <c r="AR170" i="13"/>
  <c r="V169" i="13"/>
  <c r="Y169" i="13"/>
  <c r="AS169" i="13" s="1"/>
  <c r="AB169" i="13"/>
  <c r="AT169" i="13" s="1"/>
  <c r="AI169" i="13"/>
  <c r="AJ169" i="13"/>
  <c r="BC169" i="13" s="1"/>
  <c r="BG247" i="13" s="1"/>
  <c r="AW170" i="13" l="1"/>
  <c r="AZ168" i="13"/>
  <c r="BA168" i="13" s="1"/>
  <c r="AL169" i="13"/>
  <c r="AR169" i="13"/>
  <c r="AW169" i="13" s="1"/>
  <c r="BF175" i="14"/>
  <c r="AZ175" i="13" l="1"/>
  <c r="BA175" i="13" s="1"/>
  <c r="BF247" i="13" s="1"/>
  <c r="AC175" i="14"/>
  <c r="BB175" i="14"/>
  <c r="AC174" i="14" l="1"/>
  <c r="BB174" i="14"/>
  <c r="BD175" i="14" l="1"/>
  <c r="BE175" i="14" s="1"/>
  <c r="BF173" i="14"/>
  <c r="AC173" i="14"/>
  <c r="BB173" i="14"/>
  <c r="BD173" i="14" s="1"/>
  <c r="BE173" i="14" l="1"/>
  <c r="AJ13" i="19"/>
  <c r="AI13" i="19"/>
  <c r="AB13" i="19"/>
  <c r="AT13" i="19" s="1"/>
  <c r="Y13" i="19"/>
  <c r="AS13" i="19" s="1"/>
  <c r="V13" i="19"/>
  <c r="AL13" i="19" l="1"/>
  <c r="AR13" i="19"/>
  <c r="AW13" i="19" s="1"/>
  <c r="V165" i="13" l="1"/>
  <c r="AR165" i="13" s="1"/>
  <c r="Y165" i="13"/>
  <c r="AS165" i="13" s="1"/>
  <c r="AB165" i="13"/>
  <c r="AT165" i="13" s="1"/>
  <c r="AI165" i="13"/>
  <c r="AJ165" i="13"/>
  <c r="BC165" i="13" s="1"/>
  <c r="AW165" i="13" l="1"/>
  <c r="AL165" i="13"/>
  <c r="V163" i="13"/>
  <c r="AR163" i="13" s="1"/>
  <c r="Y163" i="13"/>
  <c r="AS163" i="13" s="1"/>
  <c r="AB163" i="13"/>
  <c r="AT163" i="13" s="1"/>
  <c r="AI163" i="13"/>
  <c r="AJ163" i="13"/>
  <c r="BC163" i="13" s="1"/>
  <c r="V164" i="13"/>
  <c r="AR164" i="13" s="1"/>
  <c r="Y164" i="13"/>
  <c r="AS164" i="13" s="1"/>
  <c r="AB164" i="13"/>
  <c r="AI164" i="13"/>
  <c r="AJ164" i="13"/>
  <c r="BC164" i="13" s="1"/>
  <c r="AL164" i="13" l="1"/>
  <c r="AL163" i="13"/>
  <c r="AT164" i="13"/>
  <c r="AW164" i="13" s="1"/>
  <c r="AW163" i="13"/>
  <c r="V162" i="13"/>
  <c r="AR162" i="13" s="1"/>
  <c r="Y162" i="13"/>
  <c r="AS162" i="13" s="1"/>
  <c r="AB162" i="13"/>
  <c r="AT162" i="13" s="1"/>
  <c r="AI162" i="13"/>
  <c r="AJ162" i="13"/>
  <c r="BC162" i="13" s="1"/>
  <c r="AW162" i="13" l="1"/>
  <c r="AZ165" i="13" s="1"/>
  <c r="AL162" i="13"/>
  <c r="V161" i="13"/>
  <c r="AR161" i="13" s="1"/>
  <c r="Y161" i="13"/>
  <c r="AS161" i="13" s="1"/>
  <c r="AB161" i="13"/>
  <c r="AT161" i="13" s="1"/>
  <c r="AI161" i="13"/>
  <c r="AJ161" i="13"/>
  <c r="BC161" i="13" s="1"/>
  <c r="BA165" i="13" l="1"/>
  <c r="AL161" i="13"/>
  <c r="AW161" i="13"/>
  <c r="AJ12" i="19"/>
  <c r="AI12" i="19"/>
  <c r="AB12" i="19"/>
  <c r="AT12" i="19" s="1"/>
  <c r="Y12" i="19"/>
  <c r="AS12" i="19" s="1"/>
  <c r="V12" i="19"/>
  <c r="AL12" i="19" l="1"/>
  <c r="AR12" i="19"/>
  <c r="AW12" i="19" s="1"/>
  <c r="V35" i="11"/>
  <c r="Y35" i="11"/>
  <c r="AB35" i="11"/>
  <c r="AI35" i="11"/>
  <c r="AJ35" i="11"/>
  <c r="V36" i="11"/>
  <c r="Y36" i="11"/>
  <c r="AB36" i="11"/>
  <c r="AI36" i="11"/>
  <c r="AJ36" i="11"/>
  <c r="V37" i="11"/>
  <c r="Y37" i="11"/>
  <c r="AB37" i="11"/>
  <c r="AI37" i="11"/>
  <c r="AJ37" i="11"/>
  <c r="V40" i="11"/>
  <c r="Y40" i="11"/>
  <c r="AB40" i="11"/>
  <c r="AI40" i="11"/>
  <c r="AJ40" i="11"/>
  <c r="V41" i="11"/>
  <c r="Y41" i="11"/>
  <c r="AB41" i="11"/>
  <c r="AI41" i="11"/>
  <c r="AJ41" i="11"/>
  <c r="V43" i="11"/>
  <c r="Y43" i="11"/>
  <c r="AB43" i="11"/>
  <c r="AI43" i="11"/>
  <c r="AJ43" i="11"/>
  <c r="V44" i="11"/>
  <c r="Y44" i="11"/>
  <c r="AB44" i="11"/>
  <c r="AI44" i="11"/>
  <c r="AJ44" i="11"/>
  <c r="V28" i="11"/>
  <c r="Y28" i="11"/>
  <c r="AB28" i="11"/>
  <c r="AI28" i="11"/>
  <c r="AJ28" i="11"/>
  <c r="V30" i="11"/>
  <c r="Y30" i="11"/>
  <c r="AB30" i="11"/>
  <c r="AJ30" i="11"/>
  <c r="V34" i="11"/>
  <c r="Y34" i="11"/>
  <c r="AB34" i="11"/>
  <c r="AI34" i="11"/>
  <c r="AJ34" i="11"/>
  <c r="AL41" i="11" l="1"/>
  <c r="AW41" i="11" s="1"/>
  <c r="AL1" i="11"/>
  <c r="AL43" i="11"/>
  <c r="AW43" i="11" s="1"/>
  <c r="AL30" i="11"/>
  <c r="AW30" i="11" s="1"/>
  <c r="AL28" i="11"/>
  <c r="AW28" i="11" s="1"/>
  <c r="AL44" i="11"/>
  <c r="AW44" i="11" s="1"/>
  <c r="AL34" i="11"/>
  <c r="AW34" i="11" s="1"/>
  <c r="AL35" i="11"/>
  <c r="AW35" i="11" s="1"/>
  <c r="AL36" i="11"/>
  <c r="AW36" i="11" s="1"/>
  <c r="AL40" i="11"/>
  <c r="AW40" i="11" s="1"/>
  <c r="AL37" i="11"/>
  <c r="AW37" i="11" s="1"/>
  <c r="V159" i="13"/>
  <c r="AR159" i="13" s="1"/>
  <c r="Y159" i="13"/>
  <c r="AS159" i="13" s="1"/>
  <c r="AB159" i="13"/>
  <c r="AT159" i="13" s="1"/>
  <c r="AI159" i="13"/>
  <c r="AJ159" i="13"/>
  <c r="BC159" i="13" s="1"/>
  <c r="V160" i="13"/>
  <c r="Y160" i="13"/>
  <c r="AS160" i="13" s="1"/>
  <c r="AB160" i="13"/>
  <c r="AT160" i="13" s="1"/>
  <c r="AI160" i="13"/>
  <c r="AJ160" i="13"/>
  <c r="BC160" i="13" s="1"/>
  <c r="AR160" i="13" l="1"/>
  <c r="AW160" i="13" s="1"/>
  <c r="AL160" i="13"/>
  <c r="AW159" i="13"/>
  <c r="AL159" i="13"/>
  <c r="V158" i="13"/>
  <c r="AR158" i="13" s="1"/>
  <c r="Y158" i="13"/>
  <c r="AS158" i="13" s="1"/>
  <c r="AB158" i="13"/>
  <c r="AI158" i="13"/>
  <c r="AJ158" i="13"/>
  <c r="BC158" i="13" s="1"/>
  <c r="AL158" i="13" l="1"/>
  <c r="AT158" i="13"/>
  <c r="AW158" i="13" s="1"/>
  <c r="V157" i="13"/>
  <c r="AR157" i="13" s="1"/>
  <c r="Y157" i="13"/>
  <c r="AS157" i="13" s="1"/>
  <c r="AB157" i="13"/>
  <c r="AT157" i="13" s="1"/>
  <c r="AI157" i="13"/>
  <c r="BF172" i="14"/>
  <c r="AC172" i="14"/>
  <c r="BB172" i="14"/>
  <c r="BD172" i="14" s="1"/>
  <c r="BE172" i="14" l="1"/>
  <c r="AW157" i="13"/>
  <c r="AL157" i="13"/>
  <c r="V156" i="13"/>
  <c r="AR156" i="13" s="1"/>
  <c r="Y156" i="13"/>
  <c r="AB156" i="13"/>
  <c r="AT156" i="13" s="1"/>
  <c r="AI156" i="13"/>
  <c r="AJ156" i="13"/>
  <c r="BC156" i="13" s="1"/>
  <c r="AJ155" i="13"/>
  <c r="BC155" i="13" s="1"/>
  <c r="AI155" i="13"/>
  <c r="AB155" i="13"/>
  <c r="AT155" i="13" s="1"/>
  <c r="Y155" i="13"/>
  <c r="AS155" i="13" s="1"/>
  <c r="V155" i="13"/>
  <c r="AR155" i="13" s="1"/>
  <c r="AL156" i="13" l="1"/>
  <c r="AS156" i="13"/>
  <c r="AW156" i="13" s="1"/>
  <c r="AW155" i="13"/>
  <c r="AL155" i="13"/>
  <c r="BB154" i="13"/>
  <c r="V154" i="13"/>
  <c r="AR154" i="13" s="1"/>
  <c r="Y154" i="13"/>
  <c r="AS154" i="13" s="1"/>
  <c r="AB154" i="13"/>
  <c r="AT154" i="13" s="1"/>
  <c r="AI154" i="13"/>
  <c r="AJ154" i="13"/>
  <c r="BC154" i="13" s="1"/>
  <c r="AZ161" i="13" l="1"/>
  <c r="BA161" i="13" s="1"/>
  <c r="AW154" i="13"/>
  <c r="AL154" i="13"/>
  <c r="V153" i="13"/>
  <c r="Y153" i="13"/>
  <c r="AS153" i="13" s="1"/>
  <c r="AB153" i="13"/>
  <c r="AT153" i="13" s="1"/>
  <c r="AI153" i="13"/>
  <c r="AR153" i="13" l="1"/>
  <c r="AW153" i="13" s="1"/>
  <c r="AL153" i="13"/>
  <c r="AJ152" i="13"/>
  <c r="BC152" i="13" s="1"/>
  <c r="AI152" i="13"/>
  <c r="AB152" i="13"/>
  <c r="AT152" i="13" s="1"/>
  <c r="Y152" i="13"/>
  <c r="AS152" i="13" s="1"/>
  <c r="V152" i="13"/>
  <c r="AL152" i="13" l="1"/>
  <c r="AR152" i="13"/>
  <c r="AW152" i="13" s="1"/>
  <c r="BF171" i="14"/>
  <c r="AC171" i="14"/>
  <c r="BB171" i="14"/>
  <c r="BD171" i="14" s="1"/>
  <c r="AI151" i="13"/>
  <c r="AB151" i="13"/>
  <c r="Y151" i="13"/>
  <c r="V151" i="13"/>
  <c r="AL151" i="13" l="1"/>
  <c r="BE171" i="14"/>
  <c r="AJ150" i="13"/>
  <c r="BC150" i="13" s="1"/>
  <c r="AI150" i="13"/>
  <c r="AB150" i="13"/>
  <c r="AT150" i="13" s="1"/>
  <c r="Y150" i="13"/>
  <c r="V150" i="13"/>
  <c r="AR150" i="13" s="1"/>
  <c r="AL150" i="13" l="1"/>
  <c r="AS150" i="13"/>
  <c r="AW150" i="13" s="1"/>
  <c r="AJ149" i="13"/>
  <c r="BC149" i="13" s="1"/>
  <c r="AI149" i="13"/>
  <c r="AB149" i="13"/>
  <c r="Y149" i="13"/>
  <c r="V149" i="13"/>
  <c r="AW149" i="13" s="1"/>
  <c r="AL149" i="13" l="1"/>
  <c r="AJ147" i="13"/>
  <c r="BC147" i="13" s="1"/>
  <c r="AI147" i="13"/>
  <c r="AB147" i="13"/>
  <c r="AT147" i="13" s="1"/>
  <c r="Y147" i="13"/>
  <c r="V147" i="13"/>
  <c r="AR147" i="13" s="1"/>
  <c r="AL147" i="13" l="1"/>
  <c r="AS147" i="13"/>
  <c r="AW147" i="13" s="1"/>
  <c r="AZ154" i="13" s="1"/>
  <c r="BA154" i="13" s="1"/>
  <c r="V146" i="13" l="1"/>
  <c r="AR146" i="13" s="1"/>
  <c r="Y146" i="13"/>
  <c r="AS146" i="13" s="1"/>
  <c r="AB146" i="13"/>
  <c r="AT146" i="13" s="1"/>
  <c r="AI146" i="13"/>
  <c r="AJ146" i="13"/>
  <c r="BC146" i="13" s="1"/>
  <c r="AW146" i="13" l="1"/>
  <c r="AL146" i="13"/>
  <c r="AJ11" i="19" l="1"/>
  <c r="AI11" i="19"/>
  <c r="AB11" i="19"/>
  <c r="AT11" i="19" s="1"/>
  <c r="Y11" i="19"/>
  <c r="AS11" i="19" s="1"/>
  <c r="V11" i="19"/>
  <c r="AR11" i="19" s="1"/>
  <c r="AW11" i="19" l="1"/>
  <c r="AL11" i="19"/>
  <c r="V145" i="13"/>
  <c r="AR145" i="13" s="1"/>
  <c r="Y145" i="13"/>
  <c r="AS145" i="13" s="1"/>
  <c r="AB145" i="13"/>
  <c r="AT145" i="13" s="1"/>
  <c r="AI145" i="13"/>
  <c r="AJ145" i="13"/>
  <c r="BC145" i="13" s="1"/>
  <c r="AL145" i="13" l="1"/>
  <c r="AW145" i="13"/>
  <c r="V144" i="13"/>
  <c r="AR144" i="13" s="1"/>
  <c r="Y144" i="13"/>
  <c r="AS144" i="13" s="1"/>
  <c r="AB144" i="13"/>
  <c r="AT144" i="13" s="1"/>
  <c r="AI144" i="13"/>
  <c r="AJ144" i="13"/>
  <c r="BC144" i="13" s="1"/>
  <c r="V143" i="13"/>
  <c r="AR143" i="13" s="1"/>
  <c r="Y143" i="13"/>
  <c r="AS143" i="13" s="1"/>
  <c r="AB143" i="13"/>
  <c r="AT143" i="13" s="1"/>
  <c r="AE143" i="13"/>
  <c r="AU143" i="13" s="1"/>
  <c r="AH143" i="13"/>
  <c r="AV143" i="13" s="1"/>
  <c r="AI143" i="13"/>
  <c r="AJ143" i="13"/>
  <c r="BC143" i="13" s="1"/>
  <c r="AC29" i="8"/>
  <c r="BB146" i="13" l="1"/>
  <c r="AW143" i="13"/>
  <c r="AW144" i="13"/>
  <c r="AL143" i="13"/>
  <c r="AL144" i="13"/>
  <c r="V142" i="13"/>
  <c r="AR142" i="13" s="1"/>
  <c r="Y142" i="13"/>
  <c r="AS142" i="13" s="1"/>
  <c r="AB142" i="13"/>
  <c r="AT142" i="13" s="1"/>
  <c r="AI142" i="13"/>
  <c r="AJ142" i="13"/>
  <c r="BC142" i="13" s="1"/>
  <c r="AL142" i="13" l="1"/>
  <c r="AW142" i="13"/>
  <c r="V21" i="11"/>
  <c r="V141" i="13" l="1"/>
  <c r="AR141" i="13" s="1"/>
  <c r="Y141" i="13"/>
  <c r="AS141" i="13" s="1"/>
  <c r="AB141" i="13"/>
  <c r="AT141" i="13" s="1"/>
  <c r="AI141" i="13"/>
  <c r="AJ141" i="13"/>
  <c r="BC141" i="13" s="1"/>
  <c r="AW141" i="13" l="1"/>
  <c r="AZ146" i="13" s="1"/>
  <c r="BA146" i="13" s="1"/>
  <c r="AL141" i="13"/>
  <c r="BB140" i="13"/>
  <c r="V140" i="13"/>
  <c r="AR140" i="13" s="1"/>
  <c r="Y140" i="13"/>
  <c r="AB140" i="13"/>
  <c r="AT140" i="13" s="1"/>
  <c r="AI140" i="13"/>
  <c r="AJ140" i="13"/>
  <c r="BC140" i="13" s="1"/>
  <c r="AL140" i="13" l="1"/>
  <c r="AS140" i="13"/>
  <c r="AW140" i="13" s="1"/>
  <c r="V139" i="13"/>
  <c r="AR139" i="13" s="1"/>
  <c r="Y139" i="13"/>
  <c r="AS139" i="13" s="1"/>
  <c r="AB139" i="13"/>
  <c r="AI139" i="13"/>
  <c r="AJ139" i="13"/>
  <c r="BC139" i="13" s="1"/>
  <c r="V138" i="13"/>
  <c r="AR138" i="13" s="1"/>
  <c r="Y138" i="13"/>
  <c r="AS138" i="13" s="1"/>
  <c r="AB138" i="13"/>
  <c r="AT138" i="13" s="1"/>
  <c r="AI138" i="13"/>
  <c r="AJ138" i="13"/>
  <c r="BC138" i="13" s="1"/>
  <c r="AL139" i="13" l="1"/>
  <c r="AL138" i="13"/>
  <c r="AT139" i="13"/>
  <c r="AW139" i="13" s="1"/>
  <c r="AW138" i="13"/>
  <c r="AI137" i="13" l="1"/>
  <c r="AJ137" i="13"/>
  <c r="BC137" i="13" s="1"/>
  <c r="AB137" i="13"/>
  <c r="AT137" i="13" s="1"/>
  <c r="Y137" i="13"/>
  <c r="V137" i="13"/>
  <c r="BB132" i="13"/>
  <c r="BB135" i="13"/>
  <c r="V136" i="13"/>
  <c r="AR136" i="13" s="1"/>
  <c r="Y136" i="13"/>
  <c r="AS136" i="13" s="1"/>
  <c r="AB136" i="13"/>
  <c r="AT136" i="13" s="1"/>
  <c r="AI136" i="13"/>
  <c r="AJ136" i="13"/>
  <c r="BC136" i="13" s="1"/>
  <c r="AL137" i="13" l="1"/>
  <c r="AW137" i="13"/>
  <c r="AW136" i="13"/>
  <c r="AL136" i="13"/>
  <c r="AZ140" i="13" l="1"/>
  <c r="BA140" i="13" s="1"/>
  <c r="BF170" i="14" l="1"/>
  <c r="AC170" i="14" l="1"/>
  <c r="BB170" i="14"/>
  <c r="V135" i="13" l="1"/>
  <c r="AR135" i="13" s="1"/>
  <c r="Y135" i="13"/>
  <c r="AS135" i="13" s="1"/>
  <c r="AB135" i="13"/>
  <c r="AT135" i="13" s="1"/>
  <c r="AI135" i="13"/>
  <c r="AJ135" i="13"/>
  <c r="V134" i="13"/>
  <c r="AR134" i="13" s="1"/>
  <c r="Y134" i="13"/>
  <c r="AS134" i="13" s="1"/>
  <c r="AB134" i="13"/>
  <c r="AT134" i="13" s="1"/>
  <c r="AI134" i="13"/>
  <c r="AJ134" i="13"/>
  <c r="BC134" i="13" s="1"/>
  <c r="AL135" i="13" l="1"/>
  <c r="AL134" i="13"/>
  <c r="AW135" i="13"/>
  <c r="AW134" i="13"/>
  <c r="AC169" i="14"/>
  <c r="BB169" i="14"/>
  <c r="BB60" i="15" l="1"/>
  <c r="AC60" i="15"/>
  <c r="AC168" i="14" l="1"/>
  <c r="V133" i="13" l="1"/>
  <c r="AR133" i="13" s="1"/>
  <c r="Y133" i="13"/>
  <c r="AS133" i="13" s="1"/>
  <c r="AB133" i="13"/>
  <c r="AT133" i="13" s="1"/>
  <c r="AI133" i="13"/>
  <c r="AK133" i="13"/>
  <c r="BD133" i="13" s="1"/>
  <c r="AW133" i="13" l="1"/>
  <c r="AL133" i="13"/>
  <c r="AC167" i="14"/>
  <c r="BB167" i="14"/>
  <c r="BD170" i="14" l="1"/>
  <c r="BE170" i="14" s="1"/>
  <c r="AZ135" i="13"/>
  <c r="BA135" i="13" s="1"/>
  <c r="BF166" i="14"/>
  <c r="K166" i="14"/>
  <c r="S166" i="14"/>
  <c r="U166" i="14"/>
  <c r="Y166" i="14"/>
  <c r="BB166" i="14"/>
  <c r="AC166" i="14" l="1"/>
  <c r="V132" i="13"/>
  <c r="AR132" i="13" s="1"/>
  <c r="Y132" i="13"/>
  <c r="AS132" i="13" s="1"/>
  <c r="AB132" i="13"/>
  <c r="AT132" i="13" s="1"/>
  <c r="AI132" i="13"/>
  <c r="AJ132" i="13"/>
  <c r="BC132" i="13" s="1"/>
  <c r="AL132" i="13" l="1"/>
  <c r="AW132" i="13"/>
  <c r="V130" i="13"/>
  <c r="AR130" i="13" s="1"/>
  <c r="Y130" i="13"/>
  <c r="AS130" i="13" s="1"/>
  <c r="AB130" i="13"/>
  <c r="AT130" i="13" s="1"/>
  <c r="AI130" i="13"/>
  <c r="AJ130" i="13"/>
  <c r="BC130" i="13" s="1"/>
  <c r="V131" i="13"/>
  <c r="Y131" i="13"/>
  <c r="AS131" i="13" s="1"/>
  <c r="AB131" i="13"/>
  <c r="AT131" i="13" s="1"/>
  <c r="AI131" i="13"/>
  <c r="AJ131" i="13"/>
  <c r="BC131" i="13" s="1"/>
  <c r="AL131" i="13" l="1"/>
  <c r="AW130" i="13"/>
  <c r="AL130" i="13"/>
  <c r="AR131" i="13"/>
  <c r="AW131" i="13" s="1"/>
  <c r="AJ129" i="13"/>
  <c r="BC129" i="13" s="1"/>
  <c r="AI129" i="13"/>
  <c r="AB129" i="13"/>
  <c r="AT129" i="13" s="1"/>
  <c r="Y129" i="13"/>
  <c r="AS129" i="13" s="1"/>
  <c r="V129" i="13"/>
  <c r="AR129" i="13" s="1"/>
  <c r="AW129" i="13" l="1"/>
  <c r="AL129" i="13"/>
  <c r="V128" i="13"/>
  <c r="AR128" i="13" s="1"/>
  <c r="Y128" i="13"/>
  <c r="AS128" i="13" s="1"/>
  <c r="AB128" i="13"/>
  <c r="AT128" i="13" s="1"/>
  <c r="AE128" i="13"/>
  <c r="AH128" i="13"/>
  <c r="AI128" i="13"/>
  <c r="AJ128" i="13"/>
  <c r="BC128" i="13" s="1"/>
  <c r="AL128" i="13" l="1"/>
  <c r="AW128" i="13"/>
  <c r="V127" i="13"/>
  <c r="Y127" i="13"/>
  <c r="AS127" i="13" s="1"/>
  <c r="AB127" i="13"/>
  <c r="AT127" i="13" s="1"/>
  <c r="AI127" i="13"/>
  <c r="AJ127" i="13"/>
  <c r="BC127" i="13" s="1"/>
  <c r="AL127" i="13" l="1"/>
  <c r="AR127" i="13"/>
  <c r="AW127" i="13" s="1"/>
  <c r="V126" i="13"/>
  <c r="Y126" i="13"/>
  <c r="AS126" i="13" s="1"/>
  <c r="AB126" i="13"/>
  <c r="AT126" i="13" s="1"/>
  <c r="AI126" i="13"/>
  <c r="AJ126" i="13"/>
  <c r="BC126" i="13" s="1"/>
  <c r="AL126" i="13" l="1"/>
  <c r="AR126" i="13"/>
  <c r="AW126" i="13" s="1"/>
  <c r="V124" i="13"/>
  <c r="Y124" i="13"/>
  <c r="AS124" i="13" s="1"/>
  <c r="AB124" i="13"/>
  <c r="AT124" i="13" s="1"/>
  <c r="AI124" i="13"/>
  <c r="AJ124" i="13"/>
  <c r="BC124" i="13" s="1"/>
  <c r="V125" i="13"/>
  <c r="AR125" i="13" s="1"/>
  <c r="Y125" i="13"/>
  <c r="AS125" i="13" s="1"/>
  <c r="AB125" i="13"/>
  <c r="AI125" i="13"/>
  <c r="AJ125" i="13"/>
  <c r="BC125" i="13" s="1"/>
  <c r="AC164" i="14"/>
  <c r="BB164" i="14"/>
  <c r="AC165" i="14"/>
  <c r="BB165" i="14"/>
  <c r="AL124" i="13" l="1"/>
  <c r="AL125" i="13"/>
  <c r="AT125" i="13"/>
  <c r="AW125" i="13" s="1"/>
  <c r="AR124" i="13"/>
  <c r="AW124" i="13" s="1"/>
  <c r="V123" i="13"/>
  <c r="AR123" i="13" s="1"/>
  <c r="Y123" i="13"/>
  <c r="AS123" i="13" s="1"/>
  <c r="AB123" i="13"/>
  <c r="AT123" i="13" s="1"/>
  <c r="AI123" i="13"/>
  <c r="AJ123" i="13"/>
  <c r="BC123" i="13" s="1"/>
  <c r="AW123" i="13" l="1"/>
  <c r="AZ132" i="13" s="1"/>
  <c r="AL123" i="13"/>
  <c r="BF162" i="14"/>
  <c r="AC163" i="14"/>
  <c r="BB163" i="14"/>
  <c r="BD166" i="14" s="1"/>
  <c r="BA132" i="13" l="1"/>
  <c r="BE166" i="14"/>
  <c r="AC162" i="14"/>
  <c r="BB162" i="14"/>
  <c r="BB122" i="13" l="1"/>
  <c r="V122" i="13"/>
  <c r="AR122" i="13" s="1"/>
  <c r="Y122" i="13"/>
  <c r="AS122" i="13" s="1"/>
  <c r="AB122" i="13"/>
  <c r="AT122" i="13" s="1"/>
  <c r="AI122" i="13"/>
  <c r="AJ122" i="13"/>
  <c r="BC122" i="13" s="1"/>
  <c r="AW122" i="13" l="1"/>
  <c r="AL122" i="13"/>
  <c r="AC161" i="14"/>
  <c r="BB161" i="14"/>
  <c r="BD162" i="14" s="1"/>
  <c r="BE162" i="14" s="1"/>
  <c r="V121" i="13"/>
  <c r="AR121" i="13" s="1"/>
  <c r="Y121" i="13"/>
  <c r="AS121" i="13" s="1"/>
  <c r="AB121" i="13"/>
  <c r="AT121" i="13" s="1"/>
  <c r="AI121" i="13"/>
  <c r="AJ121" i="13"/>
  <c r="BC121" i="13" s="1"/>
  <c r="AW121" i="13" l="1"/>
  <c r="AL121" i="13"/>
  <c r="BF160" i="14"/>
  <c r="AC160" i="14"/>
  <c r="BB160" i="14"/>
  <c r="BD160" i="14" s="1"/>
  <c r="AZ122" i="13" l="1"/>
  <c r="BA122" i="13" s="1"/>
  <c r="BE160" i="14"/>
  <c r="AC59" i="15"/>
  <c r="BB59" i="15"/>
  <c r="AC58" i="15" l="1"/>
  <c r="BB58" i="15"/>
  <c r="V10" i="19" l="1"/>
  <c r="AR10" i="19" s="1"/>
  <c r="Y10" i="19"/>
  <c r="AS10" i="19" s="1"/>
  <c r="AB10" i="19"/>
  <c r="AT10" i="19" s="1"/>
  <c r="AE10" i="19"/>
  <c r="AU10" i="19" s="1"/>
  <c r="AH10" i="19"/>
  <c r="AV10" i="19" s="1"/>
  <c r="AI10" i="19"/>
  <c r="AJ10" i="19"/>
  <c r="AW10" i="19" l="1"/>
  <c r="AL10" i="19"/>
  <c r="AJ9" i="19"/>
  <c r="AI9" i="19"/>
  <c r="AH9" i="19"/>
  <c r="AV9" i="19" s="1"/>
  <c r="AE9" i="19"/>
  <c r="AU9" i="19" s="1"/>
  <c r="AB9" i="19"/>
  <c r="AT9" i="19" s="1"/>
  <c r="Y9" i="19"/>
  <c r="AS9" i="19" s="1"/>
  <c r="V9" i="19"/>
  <c r="AR9" i="19" s="1"/>
  <c r="AI8" i="19"/>
  <c r="AH8" i="19"/>
  <c r="AV8" i="19" s="1"/>
  <c r="AE8" i="19"/>
  <c r="AB8" i="19"/>
  <c r="AT8" i="19" s="1"/>
  <c r="Y8" i="19"/>
  <c r="AS8" i="19" s="1"/>
  <c r="V8" i="19"/>
  <c r="AR8" i="19" s="1"/>
  <c r="AL8" i="19" l="1"/>
  <c r="AW9" i="19"/>
  <c r="AU8" i="19"/>
  <c r="AW8" i="19" s="1"/>
  <c r="AL9" i="19"/>
  <c r="V120" i="13" l="1"/>
  <c r="AR120" i="13" s="1"/>
  <c r="Y120" i="13"/>
  <c r="AS120" i="13" s="1"/>
  <c r="AB120" i="13"/>
  <c r="AT120" i="13" s="1"/>
  <c r="AE120" i="13"/>
  <c r="AU120" i="13" s="1"/>
  <c r="AH120" i="13"/>
  <c r="AV120" i="13" s="1"/>
  <c r="AI120" i="13"/>
  <c r="AJ120" i="13"/>
  <c r="BC120" i="13" s="1"/>
  <c r="V119" i="13"/>
  <c r="AR119" i="13" s="1"/>
  <c r="Y119" i="13"/>
  <c r="AS119" i="13" s="1"/>
  <c r="AB119" i="13"/>
  <c r="AT119" i="13" s="1"/>
  <c r="AI119" i="13"/>
  <c r="AJ119" i="13"/>
  <c r="BC119" i="13" s="1"/>
  <c r="AW120" i="13" l="1"/>
  <c r="AL120" i="13"/>
  <c r="AL119" i="13"/>
  <c r="AW119" i="13"/>
  <c r="V118" i="13"/>
  <c r="Y118" i="13"/>
  <c r="AS118" i="13" s="1"/>
  <c r="AB118" i="13"/>
  <c r="AT118" i="13" s="1"/>
  <c r="AE118" i="13"/>
  <c r="AU118" i="13" s="1"/>
  <c r="AH118" i="13"/>
  <c r="AV118" i="13" s="1"/>
  <c r="AI118" i="13"/>
  <c r="AK118" i="13"/>
  <c r="AL1" i="13" s="1"/>
  <c r="BD118" i="13" l="1"/>
  <c r="BH168" i="13" s="1"/>
  <c r="BH2" i="13" s="1"/>
  <c r="AR118" i="13"/>
  <c r="AW118" i="13" s="1"/>
  <c r="AL118" i="13"/>
  <c r="AJ7" i="19"/>
  <c r="AI7" i="19"/>
  <c r="AH7" i="19"/>
  <c r="AV7" i="19" s="1"/>
  <c r="AE7" i="19"/>
  <c r="AU7" i="19" s="1"/>
  <c r="AB7" i="19"/>
  <c r="Y7" i="19"/>
  <c r="AS7" i="19" s="1"/>
  <c r="V7" i="19"/>
  <c r="AR7" i="19" s="1"/>
  <c r="AL7" i="19" l="1"/>
  <c r="AT7" i="19"/>
  <c r="AW7" i="19" s="1"/>
  <c r="V117" i="13"/>
  <c r="AR117" i="13" s="1"/>
  <c r="Y117" i="13"/>
  <c r="AB117" i="13"/>
  <c r="AT117" i="13" s="1"/>
  <c r="AE117" i="13"/>
  <c r="AU117" i="13" s="1"/>
  <c r="AH117" i="13"/>
  <c r="AV117" i="13" s="1"/>
  <c r="AI117" i="13"/>
  <c r="AJ117" i="13"/>
  <c r="BC117" i="13" s="1"/>
  <c r="BB120" i="13" l="1"/>
  <c r="AL117" i="13"/>
  <c r="AS117" i="13"/>
  <c r="AW117" i="13" s="1"/>
  <c r="AZ120" i="13" s="1"/>
  <c r="BB116" i="13"/>
  <c r="AJ116" i="13"/>
  <c r="BC116" i="13" s="1"/>
  <c r="AI116" i="13"/>
  <c r="AB116" i="13"/>
  <c r="AT116" i="13" s="1"/>
  <c r="Y116" i="13"/>
  <c r="AS116" i="13" s="1"/>
  <c r="V116" i="13"/>
  <c r="AR116" i="13" s="1"/>
  <c r="BA120" i="13" l="1"/>
  <c r="AW116" i="13"/>
  <c r="AL116" i="13"/>
  <c r="BF159" i="14" l="1"/>
  <c r="BB159" i="14"/>
  <c r="AC159" i="14"/>
  <c r="V115" i="13" l="1"/>
  <c r="AR115" i="13" s="1"/>
  <c r="Y115" i="13"/>
  <c r="AS115" i="13" s="1"/>
  <c r="AB115" i="13"/>
  <c r="AT115" i="13" s="1"/>
  <c r="AE115" i="13"/>
  <c r="AH115" i="13"/>
  <c r="AI115" i="13"/>
  <c r="AJ115" i="13"/>
  <c r="AW115" i="13" l="1"/>
  <c r="AL115" i="13"/>
  <c r="AJ6" i="19"/>
  <c r="AI6" i="19"/>
  <c r="AB6" i="19"/>
  <c r="AT6" i="19" s="1"/>
  <c r="Y6" i="19"/>
  <c r="AS6" i="19" s="1"/>
  <c r="V6" i="19"/>
  <c r="AL6" i="19" l="1"/>
  <c r="AR6" i="19"/>
  <c r="AW6" i="19" s="1"/>
  <c r="V114" i="13"/>
  <c r="AR114" i="13" s="1"/>
  <c r="Y114" i="13"/>
  <c r="AS114" i="13" s="1"/>
  <c r="AB114" i="13"/>
  <c r="AT114" i="13" s="1"/>
  <c r="AI114" i="13"/>
  <c r="AJ114" i="13"/>
  <c r="BC114" i="13" s="1"/>
  <c r="V113" i="13"/>
  <c r="AR113" i="13" s="1"/>
  <c r="Y113" i="13"/>
  <c r="AS113" i="13" s="1"/>
  <c r="AB113" i="13"/>
  <c r="AT113" i="13" s="1"/>
  <c r="AI113" i="13"/>
  <c r="AJ113" i="13"/>
  <c r="BC113" i="13" s="1"/>
  <c r="AC158" i="14"/>
  <c r="BB158" i="14"/>
  <c r="AW114" i="13" l="1"/>
  <c r="AL114" i="13"/>
  <c r="AW113" i="13"/>
  <c r="AL113" i="13"/>
  <c r="V112" i="13"/>
  <c r="Y112" i="13"/>
  <c r="AB112" i="13"/>
  <c r="AI112" i="13"/>
  <c r="AJ112" i="13"/>
  <c r="BC112" i="13" s="1"/>
  <c r="AC157" i="14"/>
  <c r="BB157" i="14"/>
  <c r="BD159" i="14" s="1"/>
  <c r="BE159" i="14" s="1"/>
  <c r="AL112" i="13" l="1"/>
  <c r="AC57" i="15"/>
  <c r="BB57" i="15"/>
  <c r="V25" i="11" l="1"/>
  <c r="Y25" i="11"/>
  <c r="AB25" i="11"/>
  <c r="AI25" i="11"/>
  <c r="AJ25" i="11"/>
  <c r="V26" i="11"/>
  <c r="Y26" i="11"/>
  <c r="AB26" i="11"/>
  <c r="AI26" i="11"/>
  <c r="AJ26" i="11"/>
  <c r="V27" i="11"/>
  <c r="Y27" i="11"/>
  <c r="AB27" i="11"/>
  <c r="AI27" i="11"/>
  <c r="AJ27" i="11"/>
  <c r="V23" i="11"/>
  <c r="Y23" i="11"/>
  <c r="AB23" i="11"/>
  <c r="AI23" i="11"/>
  <c r="AJ23" i="11"/>
  <c r="AL26" i="11" l="1"/>
  <c r="AW26" i="11" s="1"/>
  <c r="AL23" i="11"/>
  <c r="AW23" i="11" s="1"/>
  <c r="AL25" i="11"/>
  <c r="AW25" i="11" s="1"/>
  <c r="AL27" i="11"/>
  <c r="AW27" i="11" s="1"/>
  <c r="V111" i="13"/>
  <c r="Y111" i="13"/>
  <c r="AS111" i="13" s="1"/>
  <c r="AB111" i="13"/>
  <c r="AT111" i="13" s="1"/>
  <c r="AI111" i="13"/>
  <c r="AJ111" i="13"/>
  <c r="BC111" i="13" s="1"/>
  <c r="AL111" i="13" l="1"/>
  <c r="AR111" i="13"/>
  <c r="AW111" i="13" s="1"/>
  <c r="AZ116" i="13" s="1"/>
  <c r="BA116" i="13" s="1"/>
  <c r="BF156" i="14"/>
  <c r="K156" i="14"/>
  <c r="S156" i="14"/>
  <c r="U156" i="14"/>
  <c r="Y156" i="14"/>
  <c r="BB156" i="14"/>
  <c r="BD156" i="14" s="1"/>
  <c r="BE156" i="14" l="1"/>
  <c r="BG175" i="14" s="1"/>
  <c r="AC156" i="14"/>
  <c r="V110" i="13"/>
  <c r="AR110" i="13" s="1"/>
  <c r="Y110" i="13"/>
  <c r="AS110" i="13" s="1"/>
  <c r="AB110" i="13"/>
  <c r="AT110" i="13" s="1"/>
  <c r="AI110" i="13"/>
  <c r="AJ110" i="13"/>
  <c r="BC110" i="13" s="1"/>
  <c r="BG168" i="13" s="1"/>
  <c r="AW110" i="13" l="1"/>
  <c r="AL110" i="13"/>
  <c r="AZ110" i="13" l="1"/>
  <c r="BA110" i="13" s="1"/>
  <c r="BF168" i="13" s="1"/>
  <c r="V107" i="13"/>
  <c r="AR107" i="13" s="1"/>
  <c r="Y107" i="13"/>
  <c r="AS107" i="13" s="1"/>
  <c r="AB107" i="13"/>
  <c r="AT107" i="13" s="1"/>
  <c r="AI107" i="13"/>
  <c r="AJ107" i="13"/>
  <c r="BC107" i="13" s="1"/>
  <c r="AW107" i="13" l="1"/>
  <c r="AL107" i="13"/>
  <c r="AC154" i="14"/>
  <c r="BB154" i="14"/>
  <c r="AJ106" i="13" l="1"/>
  <c r="BC106" i="13" s="1"/>
  <c r="AI106" i="13"/>
  <c r="AB106" i="13"/>
  <c r="AT106" i="13" s="1"/>
  <c r="Y106" i="13"/>
  <c r="AS106" i="13" s="1"/>
  <c r="V106" i="13"/>
  <c r="AR106" i="13" s="1"/>
  <c r="AW106" i="13" l="1"/>
  <c r="AL106" i="13"/>
  <c r="AJ105" i="13"/>
  <c r="BC105" i="13" s="1"/>
  <c r="AI105" i="13"/>
  <c r="AB105" i="13"/>
  <c r="AT105" i="13" s="1"/>
  <c r="Y105" i="13"/>
  <c r="AS105" i="13" s="1"/>
  <c r="V105" i="13"/>
  <c r="AL105" i="13" l="1"/>
  <c r="AR105" i="13"/>
  <c r="AW105" i="13" s="1"/>
  <c r="AJ104" i="13"/>
  <c r="BC104" i="13" s="1"/>
  <c r="AI104" i="13"/>
  <c r="AB104" i="13"/>
  <c r="AT104" i="13" s="1"/>
  <c r="Y104" i="13"/>
  <c r="AS104" i="13" s="1"/>
  <c r="V104" i="13"/>
  <c r="AR104" i="13" s="1"/>
  <c r="AW104" i="13" l="1"/>
  <c r="AL104" i="13"/>
  <c r="BF152" i="14"/>
  <c r="AC153" i="14"/>
  <c r="BB153" i="14"/>
  <c r="BD155" i="14" s="1"/>
  <c r="BE155" i="14" s="1"/>
  <c r="AC56" i="15" l="1"/>
  <c r="BB56" i="15"/>
  <c r="V103" i="13" l="1"/>
  <c r="AR103" i="13" s="1"/>
  <c r="Y103" i="13"/>
  <c r="AS103" i="13" s="1"/>
  <c r="AB103" i="13"/>
  <c r="AT103" i="13" s="1"/>
  <c r="AE103" i="13"/>
  <c r="AU103" i="13" s="1"/>
  <c r="AH103" i="13"/>
  <c r="AV103" i="13" s="1"/>
  <c r="AI103" i="13"/>
  <c r="AJ103" i="13"/>
  <c r="BB107" i="13" l="1"/>
  <c r="AL103" i="13"/>
  <c r="AW103" i="13"/>
  <c r="BB102" i="13"/>
  <c r="V102" i="13"/>
  <c r="AR102" i="13" s="1"/>
  <c r="Y102" i="13"/>
  <c r="AB102" i="13"/>
  <c r="AT102" i="13" s="1"/>
  <c r="AI102" i="13"/>
  <c r="AJ102" i="13"/>
  <c r="BC102" i="13" s="1"/>
  <c r="AZ107" i="13" l="1"/>
  <c r="BA107" i="13" s="1"/>
  <c r="AL102" i="13"/>
  <c r="AS102" i="13"/>
  <c r="AW102" i="13" s="1"/>
  <c r="BB152" i="14"/>
  <c r="AC152" i="14"/>
  <c r="AC151" i="14" l="1"/>
  <c r="BB151" i="14"/>
  <c r="V101" i="13" l="1"/>
  <c r="AR101" i="13" s="1"/>
  <c r="Y101" i="13"/>
  <c r="AB101" i="13"/>
  <c r="AT101" i="13" s="1"/>
  <c r="AI101" i="13"/>
  <c r="AJ101" i="13"/>
  <c r="BC101" i="13" s="1"/>
  <c r="AL101" i="13" l="1"/>
  <c r="AS101" i="13"/>
  <c r="AW101" i="13" s="1"/>
  <c r="BB150" i="14"/>
  <c r="AC150" i="14"/>
  <c r="BD152" i="14" l="1"/>
  <c r="BE152" i="14" s="1"/>
  <c r="V99" i="13"/>
  <c r="AR99" i="13" s="1"/>
  <c r="Y99" i="13"/>
  <c r="AS99" i="13" s="1"/>
  <c r="AB99" i="13"/>
  <c r="AT99" i="13" s="1"/>
  <c r="AE99" i="13"/>
  <c r="AH99" i="13"/>
  <c r="AI99" i="13"/>
  <c r="AJ99" i="13"/>
  <c r="BC99" i="13" s="1"/>
  <c r="AW99" i="13" l="1"/>
  <c r="AZ102" i="13" s="1"/>
  <c r="AL99" i="13"/>
  <c r="W15" i="8"/>
  <c r="AC15" i="8" s="1"/>
  <c r="BB15" i="8"/>
  <c r="BA102" i="13" l="1"/>
  <c r="V98" i="13"/>
  <c r="AR98" i="13" s="1"/>
  <c r="Y98" i="13"/>
  <c r="AS98" i="13" s="1"/>
  <c r="AB98" i="13"/>
  <c r="AT98" i="13" s="1"/>
  <c r="AI98" i="13"/>
  <c r="AJ98" i="13"/>
  <c r="BC98" i="13" s="1"/>
  <c r="AW98" i="13" l="1"/>
  <c r="AL98" i="13"/>
  <c r="V97" i="13"/>
  <c r="AR97" i="13" s="1"/>
  <c r="Y97" i="13"/>
  <c r="AS97" i="13" s="1"/>
  <c r="AB97" i="13"/>
  <c r="AT97" i="13" s="1"/>
  <c r="AI97" i="13"/>
  <c r="AJ97" i="13"/>
  <c r="BC97" i="13" s="1"/>
  <c r="AW97" i="13" l="1"/>
  <c r="AL97" i="13"/>
  <c r="BF149" i="14"/>
  <c r="V96" i="13" l="1"/>
  <c r="AR96" i="13" s="1"/>
  <c r="Y96" i="13"/>
  <c r="AB96" i="13"/>
  <c r="AT96" i="13" s="1"/>
  <c r="AI96" i="13"/>
  <c r="AJ96" i="13"/>
  <c r="BC96" i="13" s="1"/>
  <c r="AC149" i="14"/>
  <c r="BB149" i="14"/>
  <c r="AL96" i="13" l="1"/>
  <c r="AS96" i="13"/>
  <c r="AW96" i="13" s="1"/>
  <c r="V95" i="13"/>
  <c r="Y95" i="13"/>
  <c r="AS95" i="13" s="1"/>
  <c r="AB95" i="13"/>
  <c r="AT95" i="13" s="1"/>
  <c r="AE95" i="13"/>
  <c r="AU95" i="13" s="1"/>
  <c r="AH95" i="13"/>
  <c r="AV95" i="13" s="1"/>
  <c r="AI95" i="13"/>
  <c r="AJ95" i="13"/>
  <c r="BC95" i="13" s="1"/>
  <c r="BB98" i="13" l="1"/>
  <c r="AL95" i="13"/>
  <c r="AR95" i="13"/>
  <c r="AW95" i="13" s="1"/>
  <c r="V94" i="13"/>
  <c r="AR94" i="13" s="1"/>
  <c r="Y94" i="13"/>
  <c r="AS94" i="13" s="1"/>
  <c r="AB94" i="13"/>
  <c r="AT94" i="13" s="1"/>
  <c r="AI94" i="13"/>
  <c r="AJ94" i="13"/>
  <c r="BC94" i="13" s="1"/>
  <c r="AW94" i="13" l="1"/>
  <c r="AL94" i="13"/>
  <c r="AC148" i="14"/>
  <c r="BB148" i="14"/>
  <c r="BD149" i="14" l="1"/>
  <c r="BE149" i="14" s="1"/>
  <c r="BB55" i="15"/>
  <c r="AC55" i="15"/>
  <c r="V93" i="13" l="1"/>
  <c r="AR93" i="13" s="1"/>
  <c r="Y93" i="13"/>
  <c r="AS93" i="13" s="1"/>
  <c r="AB93" i="13"/>
  <c r="AT93" i="13" s="1"/>
  <c r="AI93" i="13"/>
  <c r="AJ93" i="13"/>
  <c r="BC93" i="13" s="1"/>
  <c r="AW93" i="13" l="1"/>
  <c r="AL93" i="13"/>
  <c r="O47" i="15"/>
  <c r="AZ98" i="13" l="1"/>
  <c r="BA98" i="13" s="1"/>
  <c r="BB92" i="13"/>
  <c r="BB91" i="13"/>
  <c r="AJ92" i="13"/>
  <c r="BC92" i="13" s="1"/>
  <c r="AI92" i="13"/>
  <c r="AB92" i="13"/>
  <c r="AT92" i="13" s="1"/>
  <c r="Y92" i="13"/>
  <c r="AS92" i="13" s="1"/>
  <c r="V92" i="13"/>
  <c r="AL92" i="13" l="1"/>
  <c r="AR92" i="13"/>
  <c r="AW92" i="13" s="1"/>
  <c r="AZ92" i="13" s="1"/>
  <c r="BA92" i="13" s="1"/>
  <c r="V91" i="13" l="1"/>
  <c r="AR91" i="13" s="1"/>
  <c r="Y91" i="13"/>
  <c r="AS91" i="13" s="1"/>
  <c r="AB91" i="13"/>
  <c r="AT91" i="13" s="1"/>
  <c r="AI91" i="13"/>
  <c r="AJ91" i="13"/>
  <c r="BC91" i="13" s="1"/>
  <c r="AW91" i="13" l="1"/>
  <c r="AL91" i="13"/>
  <c r="AJ90" i="13" l="1"/>
  <c r="BC90" i="13" s="1"/>
  <c r="AI90" i="13"/>
  <c r="AB90" i="13"/>
  <c r="AT90" i="13" s="1"/>
  <c r="Y90" i="13"/>
  <c r="AS90" i="13" s="1"/>
  <c r="V90" i="13"/>
  <c r="AR90" i="13" s="1"/>
  <c r="AW90" i="13" l="1"/>
  <c r="AL90" i="13"/>
  <c r="V89" i="13"/>
  <c r="AR89" i="13" s="1"/>
  <c r="Y89" i="13"/>
  <c r="AB89" i="13"/>
  <c r="AT89" i="13" s="1"/>
  <c r="AI89" i="13"/>
  <c r="AJ89" i="13"/>
  <c r="BC89" i="13" s="1"/>
  <c r="AL89" i="13" l="1"/>
  <c r="AS89" i="13"/>
  <c r="AW89" i="13" s="1"/>
  <c r="AZ91" i="13" s="1"/>
  <c r="BA91" i="13" s="1"/>
  <c r="AC54" i="15"/>
  <c r="BB54" i="15"/>
  <c r="AU3" i="15"/>
  <c r="BB88" i="13" l="1"/>
  <c r="AJ88" i="13"/>
  <c r="BC88" i="13" s="1"/>
  <c r="AI88" i="13"/>
  <c r="AB88" i="13"/>
  <c r="AT88" i="13" s="1"/>
  <c r="Y88" i="13"/>
  <c r="AS88" i="13" s="1"/>
  <c r="V88" i="13"/>
  <c r="AR88" i="13" s="1"/>
  <c r="AW88" i="13" l="1"/>
  <c r="AL88" i="13"/>
  <c r="V87" i="13"/>
  <c r="AR87" i="13" s="1"/>
  <c r="Y87" i="13"/>
  <c r="AS87" i="13" s="1"/>
  <c r="AB87" i="13"/>
  <c r="AT87" i="13" s="1"/>
  <c r="AI87" i="13"/>
  <c r="AJ87" i="13"/>
  <c r="BC87" i="13" s="1"/>
  <c r="AW87" i="13" l="1"/>
  <c r="AL87" i="13"/>
  <c r="D3" i="8"/>
  <c r="V86" i="13" l="1"/>
  <c r="Y86" i="13"/>
  <c r="AS86" i="13" s="1"/>
  <c r="AB86" i="13"/>
  <c r="AT86" i="13" s="1"/>
  <c r="AI86" i="13"/>
  <c r="AJ86" i="13"/>
  <c r="BC86" i="13" s="1"/>
  <c r="AL86" i="13" l="1"/>
  <c r="AR86" i="13"/>
  <c r="AW86" i="13" s="1"/>
  <c r="AJ5" i="19"/>
  <c r="AI5" i="19"/>
  <c r="AH5" i="19"/>
  <c r="AV5" i="19" s="1"/>
  <c r="AE5" i="19"/>
  <c r="AU5" i="19" s="1"/>
  <c r="AB5" i="19"/>
  <c r="AT5" i="19" s="1"/>
  <c r="Y5" i="19"/>
  <c r="AS5" i="19" s="1"/>
  <c r="V5" i="19"/>
  <c r="AR5" i="19" s="1"/>
  <c r="BB53" i="15"/>
  <c r="AC53" i="15"/>
  <c r="AW5" i="19" l="1"/>
  <c r="AL5" i="19"/>
  <c r="AJ85" i="13"/>
  <c r="BC85" i="13" s="1"/>
  <c r="AI85" i="13"/>
  <c r="AB85" i="13"/>
  <c r="AT85" i="13" s="1"/>
  <c r="Y85" i="13"/>
  <c r="AS85" i="13" s="1"/>
  <c r="V85" i="13"/>
  <c r="AL85" i="13" l="1"/>
  <c r="AR85" i="13"/>
  <c r="AW85" i="13" s="1"/>
  <c r="V84" i="13"/>
  <c r="Y84" i="13"/>
  <c r="AS84" i="13" s="1"/>
  <c r="AB84" i="13"/>
  <c r="AT84" i="13" s="1"/>
  <c r="AE84" i="13"/>
  <c r="AH84" i="13"/>
  <c r="AI84" i="13"/>
  <c r="AJ84" i="13"/>
  <c r="BC84" i="13" s="1"/>
  <c r="AL84" i="13" l="1"/>
  <c r="AR84" i="13"/>
  <c r="AW84" i="13" s="1"/>
  <c r="AC147" i="14"/>
  <c r="BB147" i="14"/>
  <c r="BD147" i="14" s="1"/>
  <c r="BE147" i="14" s="1"/>
  <c r="AJ83" i="13" l="1"/>
  <c r="BC83" i="13" s="1"/>
  <c r="AI83" i="13"/>
  <c r="AB83" i="13"/>
  <c r="Y83" i="13"/>
  <c r="V83" i="13"/>
  <c r="AL83" i="13" l="1"/>
  <c r="AT83" i="13"/>
  <c r="AR83" i="13"/>
  <c r="AS83" i="13"/>
  <c r="BB82" i="13"/>
  <c r="V82" i="13"/>
  <c r="AR82" i="13" s="1"/>
  <c r="Y82" i="13"/>
  <c r="AS82" i="13" s="1"/>
  <c r="AB82" i="13"/>
  <c r="AT82" i="13" s="1"/>
  <c r="AI82" i="13"/>
  <c r="AJ82" i="13"/>
  <c r="BC82" i="13" s="1"/>
  <c r="AW83" i="13" l="1"/>
  <c r="AZ88" i="13" s="1"/>
  <c r="BA88" i="13" s="1"/>
  <c r="AW82" i="13"/>
  <c r="AL82" i="13"/>
  <c r="AJ81" i="13"/>
  <c r="BC81" i="13" s="1"/>
  <c r="AI81" i="13"/>
  <c r="AB81" i="13"/>
  <c r="AT81" i="13" s="1"/>
  <c r="Y81" i="13"/>
  <c r="AS81" i="13" s="1"/>
  <c r="V81" i="13"/>
  <c r="AR81" i="13" s="1"/>
  <c r="BF146" i="14"/>
  <c r="AC146" i="14"/>
  <c r="BB146" i="14"/>
  <c r="AW81" i="13" l="1"/>
  <c r="AL81" i="13"/>
  <c r="AJ80" i="13" l="1"/>
  <c r="BC80" i="13" s="1"/>
  <c r="AI80" i="13"/>
  <c r="AB80" i="13"/>
  <c r="AT80" i="13" s="1"/>
  <c r="Y80" i="13"/>
  <c r="AS80" i="13" s="1"/>
  <c r="V80" i="13"/>
  <c r="AR80" i="13" s="1"/>
  <c r="AC145" i="14"/>
  <c r="BB145" i="14"/>
  <c r="AW80" i="13" l="1"/>
  <c r="AL80" i="13"/>
  <c r="AJ144" i="14"/>
  <c r="BB144" i="14" s="1"/>
  <c r="K144" i="14"/>
  <c r="S144" i="14"/>
  <c r="U144" i="14"/>
  <c r="AC144" i="14" l="1"/>
  <c r="AC143" i="14"/>
  <c r="BB143" i="14"/>
  <c r="V78" i="13"/>
  <c r="Y78" i="13"/>
  <c r="AS78" i="13" s="1"/>
  <c r="AB78" i="13"/>
  <c r="AT78" i="13" s="1"/>
  <c r="AI78" i="13"/>
  <c r="AJ78" i="13"/>
  <c r="BC78" i="13" s="1"/>
  <c r="V79" i="13"/>
  <c r="AR79" i="13" s="1"/>
  <c r="Y79" i="13"/>
  <c r="AS79" i="13" s="1"/>
  <c r="AB79" i="13"/>
  <c r="AT79" i="13" s="1"/>
  <c r="AI79" i="13"/>
  <c r="AJ79" i="13"/>
  <c r="BC79" i="13" s="1"/>
  <c r="AL78" i="13" l="1"/>
  <c r="AW79" i="13"/>
  <c r="AL79" i="13"/>
  <c r="AR78" i="13"/>
  <c r="AW78" i="13" s="1"/>
  <c r="AC142" i="14"/>
  <c r="BB142" i="14"/>
  <c r="AZ82" i="13" l="1"/>
  <c r="BA82" i="13" s="1"/>
  <c r="AC139" i="14"/>
  <c r="BB139" i="14"/>
  <c r="AC140" i="14"/>
  <c r="BB140" i="14"/>
  <c r="AC141" i="14"/>
  <c r="BB141" i="14"/>
  <c r="BD146" i="14" l="1"/>
  <c r="BE146" i="14" s="1"/>
  <c r="AJ22" i="11"/>
  <c r="AI22" i="11"/>
  <c r="AB22" i="11"/>
  <c r="Y22" i="11"/>
  <c r="V22" i="11"/>
  <c r="AJ21" i="11"/>
  <c r="AI21" i="11"/>
  <c r="AB21" i="11"/>
  <c r="Y21" i="11"/>
  <c r="AJ20" i="11"/>
  <c r="AI20" i="11"/>
  <c r="AB20" i="11"/>
  <c r="Y20" i="11"/>
  <c r="V20" i="11"/>
  <c r="AI1" i="11" l="1"/>
  <c r="AL21" i="11"/>
  <c r="AW21" i="11" s="1"/>
  <c r="AL22" i="11"/>
  <c r="AW22" i="11" s="1"/>
  <c r="AL20" i="11"/>
  <c r="AW20" i="11" s="1"/>
  <c r="BB77" i="13" l="1"/>
  <c r="V77" i="13"/>
  <c r="AR77" i="13" s="1"/>
  <c r="Y77" i="13"/>
  <c r="AS77" i="13" s="1"/>
  <c r="AB77" i="13"/>
  <c r="AT77" i="13" s="1"/>
  <c r="AI77" i="13"/>
  <c r="AJ77" i="13"/>
  <c r="BC77" i="13" s="1"/>
  <c r="AL77" i="13" l="1"/>
  <c r="AW77" i="13"/>
  <c r="BB52" i="15" l="1"/>
  <c r="AC52" i="15"/>
  <c r="AC51" i="15" l="1"/>
  <c r="BB51" i="15"/>
  <c r="BF136" i="14" l="1"/>
  <c r="AC138" i="14" l="1"/>
  <c r="BB138" i="14"/>
  <c r="AC137" i="14" l="1"/>
  <c r="BB137" i="14"/>
  <c r="BD138" i="14" l="1"/>
  <c r="BE138" i="14" s="1"/>
  <c r="AJ76" i="13" l="1"/>
  <c r="BC76" i="13" s="1"/>
  <c r="AI76" i="13"/>
  <c r="AB76" i="13"/>
  <c r="AT76" i="13" s="1"/>
  <c r="Y76" i="13"/>
  <c r="AS76" i="13" s="1"/>
  <c r="V76" i="13"/>
  <c r="AL76" i="13" l="1"/>
  <c r="AR76" i="13"/>
  <c r="AW76" i="13" s="1"/>
  <c r="AJ75" i="13"/>
  <c r="BC75" i="13" s="1"/>
  <c r="AI75" i="13"/>
  <c r="AB75" i="13"/>
  <c r="AT75" i="13" s="1"/>
  <c r="Y75" i="13"/>
  <c r="AS75" i="13" s="1"/>
  <c r="V75" i="13"/>
  <c r="AR75" i="13" s="1"/>
  <c r="AW75" i="13" l="1"/>
  <c r="AZ77" i="13" s="1"/>
  <c r="AL75" i="13"/>
  <c r="BA77" i="13" l="1"/>
  <c r="AB17" i="11" l="1"/>
  <c r="Y17" i="11"/>
  <c r="V17" i="11"/>
  <c r="BB74" i="13" l="1"/>
  <c r="AJ74" i="13"/>
  <c r="BC74" i="13" s="1"/>
  <c r="AI74" i="13"/>
  <c r="AB74" i="13"/>
  <c r="AT74" i="13" s="1"/>
  <c r="Y74" i="13"/>
  <c r="AS74" i="13" s="1"/>
  <c r="V74" i="13"/>
  <c r="AL74" i="13" l="1"/>
  <c r="AR74" i="13"/>
  <c r="AW74" i="13" s="1"/>
  <c r="AJ71" i="13"/>
  <c r="BC71" i="13" s="1"/>
  <c r="AI71" i="13"/>
  <c r="AB71" i="13"/>
  <c r="AT71" i="13" s="1"/>
  <c r="Y71" i="13"/>
  <c r="AS71" i="13" s="1"/>
  <c r="V71" i="13"/>
  <c r="AR71" i="13" s="1"/>
  <c r="K136" i="14"/>
  <c r="O136" i="14"/>
  <c r="P1" i="14" s="1"/>
  <c r="Q136" i="14"/>
  <c r="S136" i="14"/>
  <c r="U136" i="14"/>
  <c r="Y136" i="14"/>
  <c r="Z1" i="14" s="1"/>
  <c r="AA136" i="14"/>
  <c r="BB136" i="14"/>
  <c r="AC136" i="14" l="1"/>
  <c r="AW71" i="13"/>
  <c r="AL71" i="13"/>
  <c r="AC50" i="15"/>
  <c r="BB50" i="15"/>
  <c r="AJ70" i="13" l="1"/>
  <c r="BC70" i="13" s="1"/>
  <c r="AI70" i="13"/>
  <c r="AB70" i="13"/>
  <c r="AT70" i="13" s="1"/>
  <c r="Y70" i="13"/>
  <c r="AS70" i="13" s="1"/>
  <c r="V70" i="13"/>
  <c r="AR70" i="13" s="1"/>
  <c r="AC135" i="14"/>
  <c r="BB135" i="14"/>
  <c r="AW70" i="13" l="1"/>
  <c r="AL70" i="13"/>
  <c r="AJ69" i="13"/>
  <c r="BC69" i="13" s="1"/>
  <c r="AI69" i="13"/>
  <c r="AB69" i="13"/>
  <c r="AT69" i="13" s="1"/>
  <c r="Y69" i="13"/>
  <c r="AS69" i="13" s="1"/>
  <c r="V69" i="13"/>
  <c r="AR69" i="13" s="1"/>
  <c r="AJ68" i="13"/>
  <c r="BC68" i="13" s="1"/>
  <c r="AI68" i="13"/>
  <c r="AB68" i="13"/>
  <c r="AT68" i="13" s="1"/>
  <c r="Y68" i="13"/>
  <c r="V68" i="13"/>
  <c r="AR68" i="13" s="1"/>
  <c r="AC133" i="14"/>
  <c r="BB133" i="14"/>
  <c r="AC134" i="14"/>
  <c r="BB134" i="14"/>
  <c r="BD136" i="14" l="1"/>
  <c r="BE136" i="14" s="1"/>
  <c r="AW69" i="13"/>
  <c r="AL69" i="13"/>
  <c r="AL68" i="13"/>
  <c r="AS68" i="13"/>
  <c r="AW68" i="13" s="1"/>
  <c r="AZ74" i="13" l="1"/>
  <c r="BA74" i="13" s="1"/>
  <c r="BB17" i="8"/>
  <c r="AC17" i="8"/>
  <c r="BB67" i="13" l="1"/>
  <c r="V67" i="13"/>
  <c r="AR67" i="13" s="1"/>
  <c r="Y67" i="13"/>
  <c r="AS67" i="13" s="1"/>
  <c r="AB67" i="13"/>
  <c r="AT67" i="13" s="1"/>
  <c r="AI67" i="13"/>
  <c r="AJ67" i="13"/>
  <c r="BC67" i="13" s="1"/>
  <c r="AW67" i="13" l="1"/>
  <c r="AL67" i="13"/>
  <c r="AC16" i="8"/>
  <c r="BB16" i="8"/>
  <c r="V66" i="13" l="1"/>
  <c r="AR66" i="13" s="1"/>
  <c r="Y66" i="13"/>
  <c r="AS66" i="13" s="1"/>
  <c r="AB66" i="13"/>
  <c r="AT66" i="13" s="1"/>
  <c r="AI66" i="13"/>
  <c r="AJ66" i="13"/>
  <c r="BC66" i="13" s="1"/>
  <c r="AW66" i="13" l="1"/>
  <c r="AL66" i="13"/>
  <c r="BB109" i="14" l="1"/>
  <c r="BB110" i="14"/>
  <c r="BB111" i="14"/>
  <c r="BB112" i="14"/>
  <c r="BB113" i="14"/>
  <c r="BB114" i="14"/>
  <c r="BB115" i="14"/>
  <c r="BB116" i="14"/>
  <c r="BB117" i="14"/>
  <c r="BB118" i="14"/>
  <c r="BB119" i="14"/>
  <c r="AC120" i="14" l="1"/>
  <c r="BB120" i="14"/>
  <c r="BF120" i="14"/>
  <c r="K121" i="14"/>
  <c r="L1" i="14" s="1"/>
  <c r="M121" i="14"/>
  <c r="Q121" i="14"/>
  <c r="R1" i="14" s="1"/>
  <c r="S121" i="14"/>
  <c r="BB121" i="14"/>
  <c r="S122" i="14"/>
  <c r="U122" i="14"/>
  <c r="BB122" i="14"/>
  <c r="AC123" i="14"/>
  <c r="BB123" i="14"/>
  <c r="BF123" i="14"/>
  <c r="AC124" i="14"/>
  <c r="BB124" i="14"/>
  <c r="AC125" i="14"/>
  <c r="BB125" i="14"/>
  <c r="AC126" i="14"/>
  <c r="BB126" i="14"/>
  <c r="AC127" i="14"/>
  <c r="BB127" i="14"/>
  <c r="AC128" i="14"/>
  <c r="BB128" i="14"/>
  <c r="AC129" i="14"/>
  <c r="BB129" i="14"/>
  <c r="BD123" i="14" l="1"/>
  <c r="BE123" i="14" s="1"/>
  <c r="AC122" i="14"/>
  <c r="AC121" i="14"/>
  <c r="V64" i="13" l="1"/>
  <c r="AR64" i="13" s="1"/>
  <c r="Y64" i="13"/>
  <c r="AS64" i="13" s="1"/>
  <c r="AB64" i="13"/>
  <c r="AT64" i="13" s="1"/>
  <c r="AI64" i="13"/>
  <c r="AJ64" i="13"/>
  <c r="BC64" i="13" s="1"/>
  <c r="V65" i="13"/>
  <c r="AR65" i="13" s="1"/>
  <c r="Y65" i="13"/>
  <c r="AS65" i="13" s="1"/>
  <c r="AB65" i="13"/>
  <c r="AT65" i="13" s="1"/>
  <c r="AI65" i="13"/>
  <c r="AJ65" i="13"/>
  <c r="BC65" i="13" s="1"/>
  <c r="AJ63" i="13"/>
  <c r="BC63" i="13" s="1"/>
  <c r="AI63" i="13"/>
  <c r="AB63" i="13"/>
  <c r="AT63" i="13" s="1"/>
  <c r="Y63" i="13"/>
  <c r="AS63" i="13" s="1"/>
  <c r="V63" i="13"/>
  <c r="AL64" i="13" l="1"/>
  <c r="AL63" i="13"/>
  <c r="AW65" i="13"/>
  <c r="AW64" i="13"/>
  <c r="AL65" i="13"/>
  <c r="AR63" i="13"/>
  <c r="AW63" i="13" s="1"/>
  <c r="BB62" i="13"/>
  <c r="AJ62" i="13"/>
  <c r="BC62" i="13" s="1"/>
  <c r="AI62" i="13"/>
  <c r="AB62" i="13"/>
  <c r="AT62" i="13" s="1"/>
  <c r="Y62" i="13"/>
  <c r="AS62" i="13" s="1"/>
  <c r="V62" i="13"/>
  <c r="AZ67" i="13" l="1"/>
  <c r="BA67" i="13" s="1"/>
  <c r="AL62" i="13"/>
  <c r="AR62" i="13"/>
  <c r="AW62" i="13" s="1"/>
  <c r="AJ4" i="19" l="1"/>
  <c r="AI4" i="19"/>
  <c r="AH4" i="19"/>
  <c r="AV4" i="19" s="1"/>
  <c r="AE4" i="19"/>
  <c r="AU4" i="19" s="1"/>
  <c r="AB4" i="19"/>
  <c r="AT4" i="19" s="1"/>
  <c r="Y4" i="19"/>
  <c r="V4" i="19"/>
  <c r="AR4" i="19" s="1"/>
  <c r="AL4" i="19" l="1"/>
  <c r="AS4" i="19"/>
  <c r="AW4" i="19" s="1"/>
  <c r="AJ61" i="13"/>
  <c r="BC61" i="13" s="1"/>
  <c r="AI61" i="13"/>
  <c r="AB61" i="13"/>
  <c r="AT61" i="13" s="1"/>
  <c r="Y61" i="13"/>
  <c r="AS61" i="13" s="1"/>
  <c r="V61" i="13"/>
  <c r="AL61" i="13" l="1"/>
  <c r="AR61" i="13"/>
  <c r="AW61" i="13" s="1"/>
  <c r="BF132" i="14"/>
  <c r="AC132" i="14"/>
  <c r="BB132" i="14"/>
  <c r="AJ60" i="13" l="1"/>
  <c r="BC60" i="13" s="1"/>
  <c r="AI60" i="13"/>
  <c r="AB60" i="13"/>
  <c r="AT60" i="13" s="1"/>
  <c r="Y60" i="13"/>
  <c r="AS60" i="13" s="1"/>
  <c r="V60" i="13"/>
  <c r="AL60" i="13" l="1"/>
  <c r="AR60" i="13"/>
  <c r="AW60" i="13" s="1"/>
  <c r="BB58" i="13"/>
  <c r="AI13" i="11"/>
  <c r="AB13" i="11"/>
  <c r="Y13" i="11"/>
  <c r="V13" i="11"/>
  <c r="AJ59" i="13"/>
  <c r="BC59" i="13" s="1"/>
  <c r="AI59" i="13"/>
  <c r="AB59" i="13"/>
  <c r="AT59" i="13" s="1"/>
  <c r="Y59" i="13"/>
  <c r="AS59" i="13" s="1"/>
  <c r="V59" i="13"/>
  <c r="AL13" i="11" l="1"/>
  <c r="AL59" i="13"/>
  <c r="AR59" i="13"/>
  <c r="AW59" i="13" s="1"/>
  <c r="AJ3" i="19"/>
  <c r="AI3" i="19"/>
  <c r="AH3" i="19"/>
  <c r="AV3" i="19" s="1"/>
  <c r="AE3" i="19"/>
  <c r="AU3" i="19" s="1"/>
  <c r="AB3" i="19"/>
  <c r="AT3" i="19" s="1"/>
  <c r="Y3" i="19"/>
  <c r="AS3" i="19" s="1"/>
  <c r="V3" i="19"/>
  <c r="AR3" i="19" s="1"/>
  <c r="AW13" i="11" l="1"/>
  <c r="AZ62" i="13"/>
  <c r="BA62" i="13" s="1"/>
  <c r="BE59" i="13"/>
  <c r="BI107" i="13" s="1"/>
  <c r="AW3" i="19"/>
  <c r="AL3" i="19"/>
  <c r="AC131" i="14"/>
  <c r="BB131" i="14"/>
  <c r="BD132" i="14" l="1"/>
  <c r="BE132" i="14" s="1"/>
  <c r="BG155" i="14" s="1"/>
  <c r="AJ2" i="19"/>
  <c r="AI2" i="19"/>
  <c r="AZ1" i="19" s="1"/>
  <c r="AH2" i="19"/>
  <c r="AV2" i="19" s="1"/>
  <c r="AE2" i="19"/>
  <c r="AU2" i="19" s="1"/>
  <c r="AB2" i="19"/>
  <c r="AT2" i="19" s="1"/>
  <c r="Y2" i="19"/>
  <c r="AS2" i="19" s="1"/>
  <c r="V2" i="19"/>
  <c r="AL2" i="19" l="1"/>
  <c r="AR2" i="19"/>
  <c r="AW2" i="19" s="1"/>
  <c r="BA1" i="19" s="1"/>
  <c r="BB48" i="15" l="1"/>
  <c r="AC48" i="15"/>
  <c r="BB47" i="15"/>
  <c r="AC47" i="15"/>
  <c r="BB46" i="15" l="1"/>
  <c r="AC46" i="15"/>
  <c r="L1" i="8" l="1"/>
  <c r="V58" i="13"/>
  <c r="AR58" i="13" s="1"/>
  <c r="Y58" i="13"/>
  <c r="AS58" i="13" s="1"/>
  <c r="AB58" i="13"/>
  <c r="AT58" i="13" s="1"/>
  <c r="AE58" i="13"/>
  <c r="AH58" i="13"/>
  <c r="AI58" i="13"/>
  <c r="AJ58" i="13"/>
  <c r="BC58" i="13" s="1"/>
  <c r="AW58" i="13" l="1"/>
  <c r="AL58" i="13"/>
  <c r="AJ57" i="13"/>
  <c r="BC57" i="13" s="1"/>
  <c r="AI57" i="13"/>
  <c r="AB57" i="13"/>
  <c r="AT57" i="13" s="1"/>
  <c r="Y57" i="13"/>
  <c r="AS57" i="13" s="1"/>
  <c r="V57" i="13"/>
  <c r="AR57" i="13" s="1"/>
  <c r="AJ56" i="13"/>
  <c r="BC56" i="13" s="1"/>
  <c r="AI56" i="13"/>
  <c r="AB56" i="13"/>
  <c r="AT56" i="13" s="1"/>
  <c r="Y56" i="13"/>
  <c r="AS56" i="13" s="1"/>
  <c r="V56" i="13"/>
  <c r="AR56" i="13" s="1"/>
  <c r="AW57" i="13" l="1"/>
  <c r="AL57" i="13"/>
  <c r="AW56" i="13"/>
  <c r="AL56" i="13"/>
  <c r="V55" i="13"/>
  <c r="Y55" i="13"/>
  <c r="AS55" i="13" s="1"/>
  <c r="AB55" i="13"/>
  <c r="AT55" i="13" s="1"/>
  <c r="AE55" i="13"/>
  <c r="AH55" i="13"/>
  <c r="AI55" i="13"/>
  <c r="AJ55" i="13"/>
  <c r="BC55" i="13" s="1"/>
  <c r="AL55" i="13" l="1"/>
  <c r="AR55" i="13"/>
  <c r="AW55" i="13" s="1"/>
  <c r="AJ54" i="13"/>
  <c r="BC54" i="13" s="1"/>
  <c r="AI54" i="13"/>
  <c r="AB54" i="13"/>
  <c r="AT54" i="13" s="1"/>
  <c r="Y54" i="13"/>
  <c r="V54" i="13"/>
  <c r="AR54" i="13" s="1"/>
  <c r="AL54" i="13" l="1"/>
  <c r="AS54" i="13"/>
  <c r="AW54" i="13" s="1"/>
  <c r="AH49" i="13"/>
  <c r="AE49" i="13"/>
  <c r="AI46" i="13" l="1"/>
  <c r="V46" i="13"/>
  <c r="AR46" i="13" s="1"/>
  <c r="Y46" i="13"/>
  <c r="AS46" i="13" s="1"/>
  <c r="AB46" i="13"/>
  <c r="AT46" i="13" s="1"/>
  <c r="AE46" i="13"/>
  <c r="AU46" i="13" s="1"/>
  <c r="AH46" i="13"/>
  <c r="AV46" i="13" s="1"/>
  <c r="AJ46" i="13"/>
  <c r="BC46" i="13" s="1"/>
  <c r="AW46" i="13" l="1"/>
  <c r="AL46" i="13"/>
  <c r="BB44" i="13"/>
  <c r="BF130" i="14"/>
  <c r="AJ53" i="13" l="1"/>
  <c r="BC53" i="13" s="1"/>
  <c r="AI53" i="13"/>
  <c r="AB53" i="13"/>
  <c r="AT53" i="13" s="1"/>
  <c r="Y53" i="13"/>
  <c r="AS53" i="13" s="1"/>
  <c r="V53" i="13"/>
  <c r="AR53" i="13" s="1"/>
  <c r="AW53" i="13" l="1"/>
  <c r="AL53" i="13"/>
  <c r="V52" i="13"/>
  <c r="AR52" i="13" s="1"/>
  <c r="Y52" i="13"/>
  <c r="AS52" i="13" s="1"/>
  <c r="AB52" i="13"/>
  <c r="AT52" i="13" s="1"/>
  <c r="AI52" i="13"/>
  <c r="AJ52" i="13"/>
  <c r="BC52" i="13" s="1"/>
  <c r="BG107" i="13" s="1"/>
  <c r="AW52" i="13" l="1"/>
  <c r="AZ58" i="13" s="1"/>
  <c r="BA58" i="13" s="1"/>
  <c r="BF107" i="13" s="1"/>
  <c r="AL52" i="13"/>
  <c r="M130" i="14" l="1"/>
  <c r="AC130" i="14" s="1"/>
  <c r="BB130" i="14"/>
  <c r="BD130" i="14" s="1"/>
  <c r="AE51" i="13" l="1"/>
  <c r="AH51" i="13"/>
  <c r="BE130" i="14" l="1"/>
  <c r="AJ51" i="13" l="1"/>
  <c r="BC51" i="13" s="1"/>
  <c r="AI51" i="13"/>
  <c r="Y51" i="13"/>
  <c r="AS51" i="13" s="1"/>
  <c r="V51" i="13"/>
  <c r="AR51" i="13" s="1"/>
  <c r="AB51" i="13" l="1"/>
  <c r="AJ50" i="13"/>
  <c r="BC50" i="13" s="1"/>
  <c r="AI50" i="13"/>
  <c r="AB50" i="13"/>
  <c r="Y50" i="13"/>
  <c r="V50" i="13"/>
  <c r="AW50" i="13" s="1"/>
  <c r="AL51" i="13" l="1"/>
  <c r="AT51" i="13"/>
  <c r="AW51" i="13" s="1"/>
  <c r="AL50" i="13"/>
  <c r="V49" i="13"/>
  <c r="Y49" i="13"/>
  <c r="AB49" i="13"/>
  <c r="AT49" i="13" s="1"/>
  <c r="AI49" i="13"/>
  <c r="AJ49" i="13"/>
  <c r="BC49" i="13" s="1"/>
  <c r="AR49" i="13" l="1"/>
  <c r="AW49" i="13" s="1"/>
  <c r="AZ51" i="13" s="1"/>
  <c r="AL49" i="13"/>
  <c r="BA51" i="13" l="1"/>
  <c r="BB45" i="15"/>
  <c r="AC45" i="15"/>
  <c r="V44" i="13" l="1"/>
  <c r="Y44" i="13"/>
  <c r="AB44" i="13"/>
  <c r="AE44" i="13"/>
  <c r="AH44" i="13"/>
  <c r="AI44" i="13"/>
  <c r="AJ44" i="13"/>
  <c r="BC44" i="13" s="1"/>
  <c r="AL44" i="13" l="1"/>
  <c r="V47" i="13" l="1"/>
  <c r="Y47" i="13"/>
  <c r="AS47" i="13" s="1"/>
  <c r="AB47" i="13"/>
  <c r="AT47" i="13" s="1"/>
  <c r="AE47" i="13"/>
  <c r="AU47" i="13" s="1"/>
  <c r="AH47" i="13"/>
  <c r="AV47" i="13" s="1"/>
  <c r="AI47" i="13"/>
  <c r="AJ47" i="13"/>
  <c r="BC47" i="13" s="1"/>
  <c r="AJ45" i="13"/>
  <c r="BC45" i="13" s="1"/>
  <c r="AI45" i="13"/>
  <c r="AH45" i="13"/>
  <c r="AV45" i="13" s="1"/>
  <c r="AE45" i="13"/>
  <c r="AU45" i="13" s="1"/>
  <c r="AB45" i="13"/>
  <c r="AT45" i="13" s="1"/>
  <c r="Y45" i="13"/>
  <c r="AS45" i="13" s="1"/>
  <c r="V45" i="13"/>
  <c r="AR45" i="13" s="1"/>
  <c r="BB47" i="13" l="1"/>
  <c r="AL47" i="13"/>
  <c r="AR47" i="13"/>
  <c r="AW47" i="13" s="1"/>
  <c r="AW45" i="13"/>
  <c r="AL45" i="13"/>
  <c r="V43" i="13"/>
  <c r="AR43" i="13" s="1"/>
  <c r="Y43" i="13"/>
  <c r="AB43" i="13"/>
  <c r="AT43" i="13" s="1"/>
  <c r="AE43" i="13"/>
  <c r="AH43" i="13"/>
  <c r="AI43" i="13"/>
  <c r="AJ43" i="13"/>
  <c r="BC43" i="13" s="1"/>
  <c r="AZ47" i="13" l="1"/>
  <c r="BA47" i="13" s="1"/>
  <c r="AL43" i="13"/>
  <c r="AS43" i="13"/>
  <c r="AW43" i="13" s="1"/>
  <c r="V42" i="13"/>
  <c r="AR42" i="13" s="1"/>
  <c r="Y42" i="13"/>
  <c r="AS42" i="13" s="1"/>
  <c r="AB42" i="13"/>
  <c r="AT42" i="13" s="1"/>
  <c r="AI42" i="13"/>
  <c r="AJ42" i="13"/>
  <c r="BC42" i="13" s="1"/>
  <c r="AW42" i="13" l="1"/>
  <c r="AL42" i="13"/>
  <c r="AB41" i="13"/>
  <c r="AT41" i="13" s="1"/>
  <c r="Y41" i="13"/>
  <c r="AS41" i="13" s="1"/>
  <c r="Y40" i="13"/>
  <c r="BB108" i="14"/>
  <c r="BD120" i="14" s="1"/>
  <c r="V41" i="13"/>
  <c r="AR41" i="13" s="1"/>
  <c r="AI41" i="13"/>
  <c r="AJ41" i="13"/>
  <c r="BC41" i="13" s="1"/>
  <c r="BE120" i="14" l="1"/>
  <c r="AW41" i="13"/>
  <c r="AL41" i="13"/>
  <c r="AI17" i="11"/>
  <c r="AL17" i="11" s="1"/>
  <c r="AW17" i="11" l="1"/>
  <c r="AJ40" i="13" l="1"/>
  <c r="BC40" i="13" s="1"/>
  <c r="AI40" i="13"/>
  <c r="AB40" i="13"/>
  <c r="AT40" i="13" s="1"/>
  <c r="AS40" i="13"/>
  <c r="V40" i="13"/>
  <c r="AR40" i="13" s="1"/>
  <c r="AW40" i="13" l="1"/>
  <c r="AZ44" i="13" s="1"/>
  <c r="BA44" i="13" s="1"/>
  <c r="AL40" i="13"/>
  <c r="V57" i="11" l="1"/>
  <c r="Y57" i="11"/>
  <c r="AB57" i="11"/>
  <c r="AI57" i="11"/>
  <c r="AL57" i="11" s="1"/>
  <c r="V16" i="11"/>
  <c r="Y16" i="11"/>
  <c r="AB16" i="11"/>
  <c r="AI16" i="11"/>
  <c r="AL16" i="11" s="1"/>
  <c r="AW57" i="11" l="1"/>
  <c r="AW16" i="11"/>
  <c r="AJ39" i="13"/>
  <c r="BC39" i="13" s="1"/>
  <c r="AI39" i="13"/>
  <c r="AB39" i="13"/>
  <c r="AT39" i="13" s="1"/>
  <c r="Y39" i="13"/>
  <c r="AS39" i="13" s="1"/>
  <c r="V39" i="13"/>
  <c r="AL39" i="13" l="1"/>
  <c r="AR39" i="13"/>
  <c r="AW39" i="13" s="1"/>
  <c r="AJ38" i="13"/>
  <c r="BC38" i="13" s="1"/>
  <c r="AI38" i="13"/>
  <c r="AB38" i="13"/>
  <c r="AT38" i="13" s="1"/>
  <c r="Y38" i="13"/>
  <c r="AS38" i="13" s="1"/>
  <c r="V38" i="13"/>
  <c r="AR38" i="13" s="1"/>
  <c r="AW38" i="13" l="1"/>
  <c r="AL38" i="13"/>
  <c r="BF107" i="14"/>
  <c r="AC107" i="14"/>
  <c r="BB107" i="14"/>
  <c r="AC106" i="14" l="1"/>
  <c r="BB106" i="14"/>
  <c r="BB35" i="13" l="1"/>
  <c r="AI37" i="13"/>
  <c r="AH37" i="13"/>
  <c r="AV37" i="13" s="1"/>
  <c r="AE37" i="13"/>
  <c r="AU37" i="13" s="1"/>
  <c r="AB37" i="13"/>
  <c r="AT37" i="13" s="1"/>
  <c r="X37" i="13"/>
  <c r="Y37" i="13" s="1"/>
  <c r="AS37" i="13" s="1"/>
  <c r="U37" i="13"/>
  <c r="AJ37" i="13" l="1"/>
  <c r="BC37" i="13" s="1"/>
  <c r="V37" i="13"/>
  <c r="AR37" i="13" s="1"/>
  <c r="AW37" i="13" s="1"/>
  <c r="AJ36" i="13"/>
  <c r="BC36" i="13" s="1"/>
  <c r="AI36" i="13"/>
  <c r="AH36" i="13"/>
  <c r="AV36" i="13" s="1"/>
  <c r="AE36" i="13"/>
  <c r="AU36" i="13" s="1"/>
  <c r="AB36" i="13"/>
  <c r="AT36" i="13" s="1"/>
  <c r="Y36" i="13"/>
  <c r="AS36" i="13" s="1"/>
  <c r="V36" i="13"/>
  <c r="AR36" i="13" s="1"/>
  <c r="BB39" i="13" l="1"/>
  <c r="AL37" i="13"/>
  <c r="AW36" i="13"/>
  <c r="AZ39" i="13" s="1"/>
  <c r="AL36" i="13"/>
  <c r="AC105" i="14"/>
  <c r="BB105" i="14"/>
  <c r="BA39" i="13" l="1"/>
  <c r="AC104" i="14"/>
  <c r="BB104" i="14"/>
  <c r="BD107" i="14" s="1"/>
  <c r="BE107" i="14" l="1"/>
  <c r="AC44" i="15"/>
  <c r="BB44" i="15"/>
  <c r="BF101" i="14" l="1"/>
  <c r="BB34" i="13" l="1"/>
  <c r="AJ35" i="13" l="1"/>
  <c r="BC35" i="13" s="1"/>
  <c r="AI35" i="13"/>
  <c r="AH35" i="13"/>
  <c r="AE35" i="13"/>
  <c r="AB35" i="13"/>
  <c r="AT35" i="13" s="1"/>
  <c r="Y35" i="13"/>
  <c r="AS35" i="13" s="1"/>
  <c r="V35" i="13"/>
  <c r="AR35" i="13" s="1"/>
  <c r="AW35" i="13" l="1"/>
  <c r="AL35" i="13"/>
  <c r="AZ35" i="13" l="1"/>
  <c r="BA35" i="13" s="1"/>
  <c r="S103" i="14"/>
  <c r="AC103" i="14" s="1"/>
  <c r="AR103" i="14"/>
  <c r="BF103" i="14" s="1"/>
  <c r="BB103" i="14" l="1"/>
  <c r="AC102" i="14" l="1"/>
  <c r="BB102" i="14"/>
  <c r="BD103" i="14" l="1"/>
  <c r="BE103" i="14" s="1"/>
  <c r="BF38" i="14"/>
  <c r="BF49" i="14"/>
  <c r="BF56" i="14"/>
  <c r="BF62" i="14"/>
  <c r="BF94" i="14"/>
  <c r="AC101" i="14"/>
  <c r="BB101" i="14"/>
  <c r="BB100" i="14" l="1"/>
  <c r="AC100" i="14"/>
  <c r="BB19" i="8" l="1"/>
  <c r="AC19" i="8"/>
  <c r="BB18" i="8"/>
  <c r="AC18" i="8"/>
  <c r="BB99" i="14"/>
  <c r="AC99" i="14"/>
  <c r="AC98" i="14" l="1"/>
  <c r="BB98" i="14"/>
  <c r="AC97" i="14" l="1"/>
  <c r="BB97" i="14"/>
  <c r="AJ34" i="13" l="1"/>
  <c r="BC34" i="13" s="1"/>
  <c r="AI34" i="13"/>
  <c r="AH34" i="13"/>
  <c r="AE34" i="13"/>
  <c r="AB34" i="13"/>
  <c r="AT34" i="13" s="1"/>
  <c r="Y34" i="13"/>
  <c r="AS34" i="13" s="1"/>
  <c r="V34" i="13"/>
  <c r="AR34" i="13" s="1"/>
  <c r="AW34" i="13" l="1"/>
  <c r="AZ34" i="13" s="1"/>
  <c r="AL34" i="13"/>
  <c r="AZ96" i="14"/>
  <c r="BB96" i="14" s="1"/>
  <c r="AA96" i="14"/>
  <c r="AC96" i="14" l="1"/>
  <c r="AB1" i="14"/>
  <c r="BA34" i="13"/>
  <c r="AC95" i="14"/>
  <c r="BB95" i="14"/>
  <c r="BD101" i="14" s="1"/>
  <c r="BE101" i="14" l="1"/>
  <c r="AC87" i="14"/>
  <c r="BB87" i="14"/>
  <c r="AC88" i="14"/>
  <c r="BB88" i="14"/>
  <c r="AC89" i="14"/>
  <c r="BB89" i="14"/>
  <c r="AC90" i="14"/>
  <c r="BB90" i="14"/>
  <c r="AC91" i="14"/>
  <c r="BB91" i="14"/>
  <c r="AC92" i="14"/>
  <c r="BB92" i="14"/>
  <c r="AC93" i="14"/>
  <c r="BB93" i="14"/>
  <c r="AC94" i="14"/>
  <c r="BB94" i="14"/>
  <c r="BB33" i="13" l="1"/>
  <c r="V33" i="13"/>
  <c r="AR33" i="13" s="1"/>
  <c r="Y33" i="13"/>
  <c r="AS33" i="13" s="1"/>
  <c r="AB33" i="13"/>
  <c r="AE33" i="13"/>
  <c r="AH33" i="13"/>
  <c r="AI33" i="13"/>
  <c r="AJ33" i="13"/>
  <c r="BC33" i="13" s="1"/>
  <c r="BB86" i="14"/>
  <c r="AC86" i="14"/>
  <c r="AL33" i="13" l="1"/>
  <c r="AW33" i="13"/>
  <c r="AJ28" i="13"/>
  <c r="BC28" i="13" s="1"/>
  <c r="AI28" i="13"/>
  <c r="AH28" i="13"/>
  <c r="AV28" i="13" s="1"/>
  <c r="AE28" i="13"/>
  <c r="AU28" i="13" s="1"/>
  <c r="AB28" i="13"/>
  <c r="AT28" i="13" s="1"/>
  <c r="Y28" i="13"/>
  <c r="AS28" i="13" s="1"/>
  <c r="V28" i="13"/>
  <c r="AR28" i="13" s="1"/>
  <c r="AW28" i="13" l="1"/>
  <c r="AL28" i="13"/>
  <c r="AC84" i="14"/>
  <c r="BB84" i="14"/>
  <c r="AC85" i="14"/>
  <c r="BB85" i="14"/>
  <c r="AJ32" i="13"/>
  <c r="BC32" i="13" s="1"/>
  <c r="AI32" i="13"/>
  <c r="AH32" i="13"/>
  <c r="AE32" i="13"/>
  <c r="AB32" i="13"/>
  <c r="AT32" i="13" s="1"/>
  <c r="Y32" i="13"/>
  <c r="AS32" i="13" s="1"/>
  <c r="V32" i="13"/>
  <c r="AR32" i="13" s="1"/>
  <c r="AJ31" i="13"/>
  <c r="BC31" i="13" s="1"/>
  <c r="AI31" i="13"/>
  <c r="AH31" i="13"/>
  <c r="AE31" i="13"/>
  <c r="AB31" i="13"/>
  <c r="AT31" i="13" s="1"/>
  <c r="Y31" i="13"/>
  <c r="AS31" i="13" s="1"/>
  <c r="V31" i="13"/>
  <c r="AR31" i="13" s="1"/>
  <c r="AR30" i="13"/>
  <c r="BD94" i="14" l="1"/>
  <c r="BE94" i="14" s="1"/>
  <c r="AL31" i="13"/>
  <c r="AW32" i="13"/>
  <c r="AW31" i="13"/>
  <c r="AL32" i="13"/>
  <c r="AJ30" i="13" l="1"/>
  <c r="BC30" i="13" s="1"/>
  <c r="AI30" i="13"/>
  <c r="AH30" i="13"/>
  <c r="AE30" i="13"/>
  <c r="AB30" i="13"/>
  <c r="AT30" i="13" s="1"/>
  <c r="Y30" i="13"/>
  <c r="AS30" i="13" s="1"/>
  <c r="V30" i="13"/>
  <c r="AW30" i="13" l="1"/>
  <c r="AZ33" i="13" s="1"/>
  <c r="AL30" i="13"/>
  <c r="BA33" i="13" l="1"/>
  <c r="BB83" i="14"/>
  <c r="AC83" i="14"/>
  <c r="AV82" i="14" l="1"/>
  <c r="BB29" i="13" l="1"/>
  <c r="AJ29" i="13"/>
  <c r="BC29" i="13" s="1"/>
  <c r="AI29" i="13"/>
  <c r="AH29" i="13"/>
  <c r="AE29" i="13"/>
  <c r="AB29" i="13"/>
  <c r="AT29" i="13" s="1"/>
  <c r="Y29" i="13"/>
  <c r="AS29" i="13" s="1"/>
  <c r="V29" i="13"/>
  <c r="AR29" i="13" s="1"/>
  <c r="AW29" i="13" l="1"/>
  <c r="AL29" i="13"/>
  <c r="BB43" i="15"/>
  <c r="AC43" i="15"/>
  <c r="AC82" i="14" l="1"/>
  <c r="BB82" i="14" l="1"/>
  <c r="BB81" i="14" l="1"/>
  <c r="AC81" i="14"/>
  <c r="BB78" i="14" l="1"/>
  <c r="AC78" i="14"/>
  <c r="BB77" i="14"/>
  <c r="AC77" i="14"/>
  <c r="AJ27" i="13" l="1"/>
  <c r="BC27" i="13" s="1"/>
  <c r="AI27" i="13"/>
  <c r="AH27" i="13"/>
  <c r="AE27" i="13"/>
  <c r="AB27" i="13"/>
  <c r="AT27" i="13" s="1"/>
  <c r="Y27" i="13"/>
  <c r="AS27" i="13" s="1"/>
  <c r="V27" i="13"/>
  <c r="AL27" i="13" l="1"/>
  <c r="AR27" i="13"/>
  <c r="AW27" i="13" s="1"/>
  <c r="BB42" i="15" l="1"/>
  <c r="AC42" i="15"/>
  <c r="AJ26" i="13" l="1"/>
  <c r="BC26" i="13" s="1"/>
  <c r="AI26" i="13"/>
  <c r="AB26" i="13"/>
  <c r="Y26" i="13"/>
  <c r="V26" i="13"/>
  <c r="AL26" i="13" l="1"/>
  <c r="AW26" i="13"/>
  <c r="AZ29" i="13" s="1"/>
  <c r="V25" i="13"/>
  <c r="AJ25" i="13"/>
  <c r="BC25" i="13" s="1"/>
  <c r="AH25" i="13"/>
  <c r="AE25" i="13"/>
  <c r="AB25" i="13"/>
  <c r="AT25" i="13" s="1"/>
  <c r="Y25" i="13"/>
  <c r="BA29" i="13" l="1"/>
  <c r="AI25" i="13"/>
  <c r="AL25" i="13"/>
  <c r="AW25" i="13"/>
  <c r="V24" i="13"/>
  <c r="AR24" i="13" s="1"/>
  <c r="Y24" i="13"/>
  <c r="AS24" i="13" s="1"/>
  <c r="AB24" i="13"/>
  <c r="AT24" i="13" s="1"/>
  <c r="AE24" i="13"/>
  <c r="AH24" i="13"/>
  <c r="AI24" i="13"/>
  <c r="AJ24" i="13"/>
  <c r="BC24" i="13" s="1"/>
  <c r="BB76" i="14"/>
  <c r="AC76" i="14"/>
  <c r="AC75" i="14"/>
  <c r="BB75" i="14"/>
  <c r="AL24" i="13" l="1"/>
  <c r="AW24" i="13"/>
  <c r="AJ23" i="13" l="1"/>
  <c r="BC23" i="13" s="1"/>
  <c r="AI23" i="13"/>
  <c r="AH23" i="13"/>
  <c r="AE23" i="13"/>
  <c r="AB23" i="13"/>
  <c r="AT23" i="13" s="1"/>
  <c r="Y23" i="13"/>
  <c r="AS23" i="13" s="1"/>
  <c r="V23" i="13"/>
  <c r="AR23" i="13" s="1"/>
  <c r="AL23" i="13" l="1"/>
  <c r="AW23" i="13"/>
  <c r="AI14" i="11"/>
  <c r="AL14" i="11" l="1"/>
  <c r="AM1" i="11" s="1"/>
  <c r="S1" i="11"/>
  <c r="AI22" i="13"/>
  <c r="AI13" i="13"/>
  <c r="AJ13" i="13"/>
  <c r="BC13" i="13" s="1"/>
  <c r="AI14" i="13"/>
  <c r="AJ14" i="13"/>
  <c r="BC14" i="13" s="1"/>
  <c r="AI15" i="13"/>
  <c r="AJ15" i="13"/>
  <c r="BC15" i="13" s="1"/>
  <c r="AI16" i="13"/>
  <c r="AJ16" i="13"/>
  <c r="BC16" i="13" s="1"/>
  <c r="AI17" i="13"/>
  <c r="AJ17" i="13"/>
  <c r="BC17" i="13" s="1"/>
  <c r="AI18" i="13"/>
  <c r="AJ18" i="13"/>
  <c r="BC18" i="13" s="1"/>
  <c r="AI19" i="13"/>
  <c r="AJ19" i="13"/>
  <c r="BC19" i="13" s="1"/>
  <c r="AI20" i="13"/>
  <c r="AJ20" i="13"/>
  <c r="BC20" i="13" s="1"/>
  <c r="AI21" i="13"/>
  <c r="AJ21" i="13"/>
  <c r="BC21" i="13" s="1"/>
  <c r="AJ22" i="13"/>
  <c r="BC22" i="13" s="1"/>
  <c r="AJ12" i="13"/>
  <c r="BC12" i="13" s="1"/>
  <c r="AI12" i="13"/>
  <c r="AJ9" i="13"/>
  <c r="BC9" i="13" s="1"/>
  <c r="AI9" i="13"/>
  <c r="AJ8" i="13"/>
  <c r="AI8" i="13"/>
  <c r="AI1" i="13" l="1"/>
  <c r="BC8" i="13"/>
  <c r="BG14" i="13" s="1"/>
  <c r="BG51" i="13"/>
  <c r="AN1" i="11"/>
  <c r="AL8" i="13"/>
  <c r="AC74" i="14"/>
  <c r="BB74" i="14"/>
  <c r="AC73" i="14"/>
  <c r="BB73" i="14"/>
  <c r="BG2" i="13" l="1"/>
  <c r="AH22" i="13"/>
  <c r="AV22" i="13" s="1"/>
  <c r="AE22" i="13"/>
  <c r="AU22" i="13" s="1"/>
  <c r="AB22" i="13"/>
  <c r="AT22" i="13" s="1"/>
  <c r="Y22" i="13"/>
  <c r="AS22" i="13" s="1"/>
  <c r="V22" i="13"/>
  <c r="AE21" i="13"/>
  <c r="AH21" i="13"/>
  <c r="AB21" i="13"/>
  <c r="Y21" i="13"/>
  <c r="V21" i="13"/>
  <c r="AU21" i="13" l="1"/>
  <c r="AR21" i="13"/>
  <c r="AL21" i="13"/>
  <c r="AR22" i="13"/>
  <c r="AW22" i="13" s="1"/>
  <c r="AL22" i="13"/>
  <c r="AT21" i="13"/>
  <c r="AV21" i="13"/>
  <c r="AS21" i="13"/>
  <c r="AH20" i="13"/>
  <c r="AV20" i="13" s="1"/>
  <c r="AE20" i="13"/>
  <c r="AU20" i="13" s="1"/>
  <c r="AB20" i="13"/>
  <c r="AT20" i="13" s="1"/>
  <c r="Y20" i="13"/>
  <c r="AS20" i="13" s="1"/>
  <c r="V20" i="13"/>
  <c r="BB72" i="14"/>
  <c r="AC72" i="14"/>
  <c r="BB25" i="13" l="1"/>
  <c r="AL20" i="13"/>
  <c r="AW21" i="13"/>
  <c r="AR20" i="13"/>
  <c r="AW20" i="13" s="1"/>
  <c r="M71" i="14"/>
  <c r="W71" i="14"/>
  <c r="AL71" i="14"/>
  <c r="AV71" i="14"/>
  <c r="AZ25" i="13" l="1"/>
  <c r="BA25" i="13" s="1"/>
  <c r="AC71" i="14"/>
  <c r="BB71" i="14"/>
  <c r="BB41" i="15"/>
  <c r="AC41" i="15"/>
  <c r="AC40" i="15" l="1"/>
  <c r="BB40" i="15"/>
  <c r="BB39" i="15" l="1"/>
  <c r="AC39" i="15"/>
  <c r="BB38" i="15"/>
  <c r="AC38" i="15"/>
  <c r="BB37" i="15"/>
  <c r="AC37" i="15"/>
  <c r="BB70" i="14" l="1"/>
  <c r="AC70" i="14"/>
  <c r="BB69" i="14" l="1"/>
  <c r="AC69" i="14"/>
  <c r="AC68" i="14"/>
  <c r="BB68" i="14"/>
  <c r="BD78" i="14" l="1"/>
  <c r="BE78" i="14" s="1"/>
  <c r="BB66" i="14"/>
  <c r="AC66" i="14"/>
  <c r="BB67" i="14" l="1"/>
  <c r="AC67" i="14"/>
  <c r="AT65" i="14" l="1"/>
  <c r="AR65" i="14"/>
  <c r="U65" i="14"/>
  <c r="V1" i="14" s="1"/>
  <c r="S65" i="14"/>
  <c r="T1" i="14" s="1"/>
  <c r="BF67" i="14" l="1"/>
  <c r="AC65" i="14"/>
  <c r="BB65" i="14"/>
  <c r="BB36" i="15" l="1"/>
  <c r="AC36" i="15"/>
  <c r="BB35" i="15"/>
  <c r="AC35" i="15"/>
  <c r="BB34" i="15"/>
  <c r="AC34" i="15"/>
  <c r="BB33" i="15"/>
  <c r="AC33" i="15"/>
  <c r="BB32" i="15"/>
  <c r="AC32" i="15"/>
  <c r="AB19" i="13" l="1"/>
  <c r="Y19" i="13"/>
  <c r="V19" i="13"/>
  <c r="AT19" i="13" l="1"/>
  <c r="AR19" i="13"/>
  <c r="AL19" i="13"/>
  <c r="AS19" i="13"/>
  <c r="AS18" i="13"/>
  <c r="AB18" i="13"/>
  <c r="AT18" i="13" s="1"/>
  <c r="V18" i="13"/>
  <c r="AW19" i="13" l="1"/>
  <c r="AR18" i="13"/>
  <c r="AW18" i="13" s="1"/>
  <c r="AL18" i="13"/>
  <c r="BB64" i="14" l="1"/>
  <c r="AC64" i="14"/>
  <c r="BB31" i="15" l="1"/>
  <c r="AC31" i="15"/>
  <c r="BB30" i="15"/>
  <c r="AC30" i="15"/>
  <c r="AB17" i="13"/>
  <c r="AT17" i="13" s="1"/>
  <c r="Y17" i="13"/>
  <c r="AS17" i="13" s="1"/>
  <c r="V17" i="13"/>
  <c r="AR17" i="13" l="1"/>
  <c r="AW17" i="13" s="1"/>
  <c r="AL17" i="13"/>
  <c r="AH16" i="13"/>
  <c r="AE16" i="13"/>
  <c r="AB16" i="13"/>
  <c r="AT16" i="13" s="1"/>
  <c r="Y16" i="13"/>
  <c r="AS16" i="13" s="1"/>
  <c r="V16" i="13"/>
  <c r="BB63" i="14"/>
  <c r="AC63" i="14"/>
  <c r="BD67" i="14" l="1"/>
  <c r="BE67" i="14" s="1"/>
  <c r="AR16" i="13"/>
  <c r="AW16" i="13" s="1"/>
  <c r="AL16" i="13"/>
  <c r="AZ19" i="13" l="1"/>
  <c r="BA19" i="13" s="1"/>
  <c r="BB62" i="14"/>
  <c r="AC62" i="14" l="1"/>
  <c r="M61" i="14" l="1"/>
  <c r="AC61" i="14" s="1"/>
  <c r="BB61" i="14"/>
  <c r="BB29" i="15" l="1"/>
  <c r="AC29" i="15"/>
  <c r="BA1" i="14" l="1"/>
  <c r="BB79" i="14"/>
  <c r="AC79" i="14" l="1"/>
  <c r="BB80" i="14" l="1"/>
  <c r="BD83" i="14" l="1"/>
  <c r="BE83" i="14" s="1"/>
  <c r="AC80" i="14"/>
  <c r="AH15" i="13" l="1"/>
  <c r="AV15" i="13" s="1"/>
  <c r="AE15" i="13"/>
  <c r="AU15" i="13" s="1"/>
  <c r="AB15" i="13"/>
  <c r="AT15" i="13" s="1"/>
  <c r="Y15" i="13"/>
  <c r="V15" i="13"/>
  <c r="BB15" i="13" l="1"/>
  <c r="AR15" i="13"/>
  <c r="AL15" i="13"/>
  <c r="AS15" i="13"/>
  <c r="Y20" i="8"/>
  <c r="AU3" i="8"/>
  <c r="Y13" i="8"/>
  <c r="AQ3" i="8"/>
  <c r="AO3" i="8"/>
  <c r="AS3" i="8"/>
  <c r="BB60" i="14"/>
  <c r="AC60" i="14"/>
  <c r="AW15" i="13" l="1"/>
  <c r="BB59" i="14"/>
  <c r="AC59" i="14"/>
  <c r="BB58" i="14"/>
  <c r="AC58" i="14"/>
  <c r="AZ15" i="13" l="1"/>
  <c r="BA15" i="13" s="1"/>
  <c r="BF51" i="13" s="1"/>
  <c r="BE15" i="13"/>
  <c r="BI51" i="13" s="1"/>
  <c r="BI2" i="13" s="1"/>
  <c r="AC57" i="14"/>
  <c r="BB57" i="14" l="1"/>
  <c r="BB56" i="14"/>
  <c r="AC56" i="14"/>
  <c r="BD62" i="14" l="1"/>
  <c r="BE62" i="14" s="1"/>
  <c r="BG130" i="14" s="1"/>
  <c r="M55" i="14"/>
  <c r="AC55" i="14" s="1"/>
  <c r="BB55" i="14"/>
  <c r="BB54" i="14" l="1"/>
  <c r="AC54" i="14"/>
  <c r="BB53" i="14" l="1"/>
  <c r="AC53" i="14"/>
  <c r="AH14" i="13" l="1"/>
  <c r="AV14" i="13" s="1"/>
  <c r="AE14" i="13"/>
  <c r="AU14" i="13" s="1"/>
  <c r="AB14" i="13"/>
  <c r="AT14" i="13" s="1"/>
  <c r="Y14" i="13"/>
  <c r="AS14" i="13" s="1"/>
  <c r="V14" i="13"/>
  <c r="AL14" i="13" l="1"/>
  <c r="AR14" i="13"/>
  <c r="AW14" i="13" s="1"/>
  <c r="BB52" i="14"/>
  <c r="AC52" i="14"/>
  <c r="AH13" i="13"/>
  <c r="AV13" i="13" s="1"/>
  <c r="AE13" i="13"/>
  <c r="AU13" i="13" s="1"/>
  <c r="AB13" i="13"/>
  <c r="AT13" i="13" s="1"/>
  <c r="Y13" i="13"/>
  <c r="AS13" i="13" s="1"/>
  <c r="V13" i="13"/>
  <c r="AR13" i="13" l="1"/>
  <c r="AW13" i="13" s="1"/>
  <c r="AL13" i="13"/>
  <c r="AH12" i="13" l="1"/>
  <c r="AV12" i="13" s="1"/>
  <c r="AE12" i="13"/>
  <c r="AU12" i="13" s="1"/>
  <c r="AB12" i="13"/>
  <c r="AT12" i="13" s="1"/>
  <c r="Y12" i="13"/>
  <c r="AS12" i="13" s="1"/>
  <c r="V12" i="13"/>
  <c r="AL12" i="13" l="1"/>
  <c r="AR12" i="13"/>
  <c r="AW12" i="13" s="1"/>
  <c r="AL11" i="13"/>
  <c r="AH11" i="13"/>
  <c r="AV11" i="13" s="1"/>
  <c r="AE11" i="13"/>
  <c r="AU11" i="13" s="1"/>
  <c r="AB11" i="13"/>
  <c r="AT11" i="13" s="1"/>
  <c r="Y11" i="13"/>
  <c r="AS11" i="13" s="1"/>
  <c r="V11" i="13"/>
  <c r="AR11" i="13" s="1"/>
  <c r="AW11" i="13" l="1"/>
  <c r="AL10" i="13" l="1"/>
  <c r="AH10" i="13"/>
  <c r="AV10" i="13" s="1"/>
  <c r="AE10" i="13"/>
  <c r="AU10" i="13" s="1"/>
  <c r="AB10" i="13"/>
  <c r="AT10" i="13" s="1"/>
  <c r="Y10" i="13"/>
  <c r="AS10" i="13" s="1"/>
  <c r="V10" i="13"/>
  <c r="AR10" i="13" s="1"/>
  <c r="BB14" i="13" l="1"/>
  <c r="AW10" i="13"/>
  <c r="AZ14" i="13" s="1"/>
  <c r="BA14" i="13" l="1"/>
  <c r="BB51" i="14" l="1"/>
  <c r="AC51" i="14"/>
  <c r="BB50" i="14"/>
  <c r="AC50" i="14"/>
  <c r="BD56" i="14" l="1"/>
  <c r="BE56" i="14" s="1"/>
  <c r="BB49" i="14"/>
  <c r="AC49" i="14" l="1"/>
  <c r="BB48" i="14"/>
  <c r="AC48" i="14"/>
  <c r="BB47" i="14" l="1"/>
  <c r="AC47" i="14"/>
  <c r="BB46" i="14" l="1"/>
  <c r="AC46" i="14"/>
  <c r="BB45" i="14" l="1"/>
  <c r="AC45" i="14"/>
  <c r="BB44" i="14" l="1"/>
  <c r="AC44" i="14"/>
  <c r="BB43" i="14" l="1"/>
  <c r="AC43" i="14"/>
  <c r="BB42" i="14" l="1"/>
  <c r="AC42" i="14"/>
  <c r="BB41" i="14"/>
  <c r="AC41" i="14"/>
  <c r="AC40" i="14" l="1"/>
  <c r="BB40" i="14"/>
  <c r="BB28" i="15" l="1"/>
  <c r="AC28" i="15"/>
  <c r="BB39" i="14" l="1"/>
  <c r="AC39" i="14"/>
  <c r="BB27" i="15"/>
  <c r="AC27" i="15"/>
  <c r="BD49" i="14" l="1"/>
  <c r="BE49" i="14" s="1"/>
  <c r="BB26" i="15"/>
  <c r="AC26" i="15"/>
  <c r="BB25" i="15" l="1"/>
  <c r="AC25" i="15"/>
  <c r="BB24" i="15" l="1"/>
  <c r="AC24" i="15"/>
  <c r="BB23" i="15" l="1"/>
  <c r="AC23" i="15"/>
  <c r="W38" i="14" l="1"/>
  <c r="BB38" i="14"/>
  <c r="AC38" i="14" l="1"/>
  <c r="X1" i="14"/>
  <c r="BB24" i="14"/>
  <c r="BB23" i="14"/>
  <c r="AC23" i="14"/>
  <c r="AC24" i="14"/>
  <c r="BB37" i="14" l="1"/>
  <c r="AC37" i="14"/>
  <c r="AC36" i="14" l="1"/>
  <c r="BB36" i="14" l="1"/>
  <c r="BB35" i="14"/>
  <c r="AC35" i="14"/>
  <c r="BB34" i="14"/>
  <c r="AC34" i="14"/>
  <c r="BB33" i="14"/>
  <c r="AC33" i="14"/>
  <c r="BB32" i="14"/>
  <c r="AC32" i="14"/>
  <c r="BB31" i="14"/>
  <c r="AC31" i="14"/>
  <c r="BB30" i="14"/>
  <c r="AC30" i="14"/>
  <c r="BB22" i="15" l="1"/>
  <c r="AC22" i="15"/>
  <c r="BB21" i="15" l="1"/>
  <c r="AC21" i="15"/>
  <c r="BB20" i="15"/>
  <c r="AC20" i="15"/>
  <c r="BB29" i="14" l="1"/>
  <c r="AC29" i="14"/>
  <c r="BB28" i="14" l="1"/>
  <c r="AC28" i="14"/>
  <c r="BB27" i="14" l="1"/>
  <c r="AC27" i="14"/>
  <c r="BB19" i="15" l="1"/>
  <c r="AC19" i="15"/>
  <c r="BB18" i="15"/>
  <c r="AC18" i="15"/>
  <c r="BB17" i="15"/>
  <c r="AC17" i="15"/>
  <c r="BB16" i="15"/>
  <c r="AC16" i="15"/>
  <c r="BB26" i="14" l="1"/>
  <c r="AC26" i="14"/>
  <c r="BB25" i="14"/>
  <c r="AC25" i="14"/>
  <c r="BD38" i="14" l="1"/>
  <c r="BE38" i="14" s="1"/>
  <c r="BB22" i="14"/>
  <c r="AC22" i="14"/>
  <c r="BB21" i="14"/>
  <c r="AC21" i="14"/>
  <c r="BB20" i="14"/>
  <c r="AC20" i="14"/>
  <c r="AH9" i="13"/>
  <c r="AV9" i="13" s="1"/>
  <c r="AE9" i="13"/>
  <c r="AU9" i="13" s="1"/>
  <c r="AB9" i="13"/>
  <c r="AT9" i="13" s="1"/>
  <c r="Y9" i="13"/>
  <c r="AS9" i="13" s="1"/>
  <c r="V9" i="13"/>
  <c r="BB19" i="14"/>
  <c r="AC19" i="14"/>
  <c r="AL9" i="13" l="1"/>
  <c r="AR9" i="13"/>
  <c r="AW9" i="13" s="1"/>
  <c r="BB15" i="15"/>
  <c r="AC15" i="15"/>
  <c r="BB18" i="14"/>
  <c r="AC18" i="14"/>
  <c r="BB17" i="14" l="1"/>
  <c r="AC17" i="14"/>
  <c r="BB16" i="14" l="1"/>
  <c r="AC16" i="14"/>
  <c r="BB15" i="14" l="1"/>
  <c r="AC15" i="14"/>
  <c r="BB14" i="14"/>
  <c r="AC14" i="14"/>
  <c r="BB13" i="14" l="1"/>
  <c r="AC13" i="14"/>
  <c r="BB12" i="14" l="1"/>
  <c r="AC12" i="14"/>
  <c r="BB14" i="15" l="1"/>
  <c r="AC14" i="15"/>
  <c r="AT11" i="14" l="1"/>
  <c r="AJ11" i="14"/>
  <c r="AJ10" i="14"/>
  <c r="AL11" i="14"/>
  <c r="AL10" i="14"/>
  <c r="AT10" i="14"/>
  <c r="AR11" i="14"/>
  <c r="AR10" i="14"/>
  <c r="AM1" i="14" l="1"/>
  <c r="BF24" i="14"/>
  <c r="BH2" i="14" s="1"/>
  <c r="AM3" i="14"/>
  <c r="BB11" i="14"/>
  <c r="AC11" i="14"/>
  <c r="BB10" i="14"/>
  <c r="AC10" i="14"/>
  <c r="M9" i="14" l="1"/>
  <c r="BB9" i="14"/>
  <c r="AH8" i="13"/>
  <c r="AV8" i="13" s="1"/>
  <c r="AE8" i="13"/>
  <c r="AU8" i="13" s="1"/>
  <c r="AB8" i="13"/>
  <c r="AT8" i="13" s="1"/>
  <c r="Y8" i="13"/>
  <c r="AS8" i="13" s="1"/>
  <c r="V8" i="13"/>
  <c r="AR8" i="13" s="1"/>
  <c r="BB13" i="15"/>
  <c r="AC13" i="15"/>
  <c r="BB12" i="15"/>
  <c r="AC12" i="15"/>
  <c r="BB11" i="15"/>
  <c r="AC11" i="15"/>
  <c r="BB10" i="15"/>
  <c r="AC10" i="15"/>
  <c r="BB9" i="15"/>
  <c r="AC9" i="15"/>
  <c r="BB8" i="15"/>
  <c r="AC8" i="15"/>
  <c r="BA3" i="15"/>
  <c r="AY3" i="15"/>
  <c r="AW3" i="15"/>
  <c r="AS3" i="15"/>
  <c r="AQ3" i="15"/>
  <c r="AO3" i="15"/>
  <c r="AM3" i="15"/>
  <c r="AK3" i="15"/>
  <c r="AB3" i="15"/>
  <c r="Z3" i="15"/>
  <c r="X3" i="15"/>
  <c r="V3" i="15"/>
  <c r="T3" i="15"/>
  <c r="R3" i="15"/>
  <c r="P3" i="15"/>
  <c r="N3" i="15"/>
  <c r="L3" i="15"/>
  <c r="D3" i="15"/>
  <c r="BA1" i="15"/>
  <c r="AY1" i="15"/>
  <c r="AW1" i="15"/>
  <c r="AU1" i="15"/>
  <c r="AS1" i="15"/>
  <c r="AQ1" i="15"/>
  <c r="AO1" i="15"/>
  <c r="AM1" i="15"/>
  <c r="AK1" i="15"/>
  <c r="AB1" i="15"/>
  <c r="Z1" i="15"/>
  <c r="X1" i="15"/>
  <c r="V1" i="15"/>
  <c r="T1" i="15"/>
  <c r="R1" i="15"/>
  <c r="P1" i="15"/>
  <c r="N1" i="15"/>
  <c r="L1" i="15"/>
  <c r="AC9" i="14" l="1"/>
  <c r="N1" i="14"/>
  <c r="AD1" i="14" s="1"/>
  <c r="BB9" i="13"/>
  <c r="BD24" i="14"/>
  <c r="BE24" i="14" s="1"/>
  <c r="AW8" i="13"/>
  <c r="AZ9" i="13" s="1"/>
  <c r="BC1" i="15"/>
  <c r="BC2" i="15" s="1"/>
  <c r="AD1" i="15"/>
  <c r="AD2" i="15" s="1"/>
  <c r="BA9" i="13" l="1"/>
  <c r="AL7" i="13"/>
  <c r="AH7" i="13"/>
  <c r="AV7" i="13" s="1"/>
  <c r="AE7" i="13"/>
  <c r="AU7" i="13" s="1"/>
  <c r="AB7" i="13"/>
  <c r="AT7" i="13" s="1"/>
  <c r="Y7" i="13"/>
  <c r="AS7" i="13" s="1"/>
  <c r="V7" i="13"/>
  <c r="AR7" i="13" s="1"/>
  <c r="AW7" i="13" l="1"/>
  <c r="AL6" i="13"/>
  <c r="AH6" i="13"/>
  <c r="AV6" i="13" s="1"/>
  <c r="AE6" i="13"/>
  <c r="AU6" i="13" s="1"/>
  <c r="AB6" i="13"/>
  <c r="AT6" i="13" s="1"/>
  <c r="Y6" i="13"/>
  <c r="AS6" i="13" s="1"/>
  <c r="V6" i="13"/>
  <c r="AR6" i="13" s="1"/>
  <c r="BB7" i="13" l="1"/>
  <c r="AW6" i="13"/>
  <c r="AZ7" i="13" l="1"/>
  <c r="BA7" i="13" s="1"/>
  <c r="AC8" i="14" l="1"/>
  <c r="AD2" i="14" s="1"/>
  <c r="L3" i="14"/>
  <c r="AW3" i="8"/>
  <c r="P3" i="8"/>
  <c r="BB9" i="8"/>
  <c r="BB10" i="8"/>
  <c r="BB11" i="8"/>
  <c r="BB7" i="8"/>
  <c r="BB14" i="8"/>
  <c r="BB8" i="8"/>
  <c r="BB20" i="8"/>
  <c r="AC9" i="8"/>
  <c r="AC10" i="8"/>
  <c r="AC11" i="8"/>
  <c r="AC7" i="8"/>
  <c r="AC14" i="8"/>
  <c r="AC8" i="8"/>
  <c r="AC20" i="8"/>
  <c r="AH10" i="11" l="1"/>
  <c r="AE10" i="11"/>
  <c r="AB10" i="11"/>
  <c r="Y10" i="11"/>
  <c r="V10" i="11"/>
  <c r="AW10" i="11" s="1"/>
  <c r="AH9" i="11"/>
  <c r="AE9" i="11"/>
  <c r="AB9" i="11"/>
  <c r="Y9" i="11"/>
  <c r="V9" i="11"/>
  <c r="AH8" i="11"/>
  <c r="AE8" i="11"/>
  <c r="AB8" i="11"/>
  <c r="Y8" i="11"/>
  <c r="V8" i="11"/>
  <c r="AW8" i="11" l="1"/>
  <c r="AW9" i="11"/>
  <c r="X3" i="8" l="1"/>
  <c r="R3" i="8" l="1"/>
  <c r="L3" i="8" l="1"/>
  <c r="N1" i="8"/>
  <c r="N3" i="8" l="1"/>
  <c r="AN8" i="14" l="1"/>
  <c r="BA3" i="14"/>
  <c r="AY3" i="14"/>
  <c r="AW3" i="14"/>
  <c r="AU3" i="14"/>
  <c r="AS3" i="14"/>
  <c r="AQ3" i="14"/>
  <c r="AK3" i="14"/>
  <c r="AB3" i="14"/>
  <c r="Z3" i="14"/>
  <c r="X3" i="14"/>
  <c r="V3" i="14"/>
  <c r="T3" i="14"/>
  <c r="R3" i="14"/>
  <c r="P3" i="14"/>
  <c r="N3" i="14"/>
  <c r="D3" i="14"/>
  <c r="AY1" i="14"/>
  <c r="AW1" i="14"/>
  <c r="AU1" i="14"/>
  <c r="AS1" i="14"/>
  <c r="AQ1" i="14"/>
  <c r="AK1" i="14"/>
  <c r="AL5" i="13"/>
  <c r="AH5" i="13"/>
  <c r="AV5" i="13" s="1"/>
  <c r="AE5" i="13"/>
  <c r="AU5" i="13" s="1"/>
  <c r="AB5" i="13"/>
  <c r="AT5" i="13" s="1"/>
  <c r="Y5" i="13"/>
  <c r="AS5" i="13" s="1"/>
  <c r="V5" i="13"/>
  <c r="AR5" i="13" s="1"/>
  <c r="BE1" i="13" l="1"/>
  <c r="BH1" i="14"/>
  <c r="AW5" i="13"/>
  <c r="AY1" i="13" s="1"/>
  <c r="BB5" i="13"/>
  <c r="BB8" i="14"/>
  <c r="BD8" i="14" s="1"/>
  <c r="BE8" i="14" s="1"/>
  <c r="BG2" i="14" s="1"/>
  <c r="AO3" i="14"/>
  <c r="AO1" i="14"/>
  <c r="BC1" i="14" s="1"/>
  <c r="BG1" i="14" s="1"/>
  <c r="BE2" i="13" l="1"/>
  <c r="BI2" i="14"/>
  <c r="BG56" i="14"/>
  <c r="BD1" i="13"/>
  <c r="BI1" i="14"/>
  <c r="BC2" i="14"/>
  <c r="BG1" i="13" l="1"/>
  <c r="AL4" i="13" l="1"/>
  <c r="AM1" i="13" s="1"/>
  <c r="AH4" i="13"/>
  <c r="AE4" i="13"/>
  <c r="AB4" i="13"/>
  <c r="Y4" i="13"/>
  <c r="V4" i="13"/>
  <c r="AZ5" i="13" l="1"/>
  <c r="AY2" i="13" s="1"/>
  <c r="BA5" i="13" l="1"/>
  <c r="BF14" i="13" l="1"/>
  <c r="BD2" i="13"/>
  <c r="V11" i="11" l="1"/>
  <c r="Y11" i="11"/>
  <c r="AB11" i="11"/>
  <c r="AE11" i="11"/>
  <c r="AH11" i="11"/>
  <c r="V14" i="11"/>
  <c r="Y14" i="11"/>
  <c r="AB14" i="11"/>
  <c r="AH6" i="11"/>
  <c r="AH5" i="11"/>
  <c r="AE6" i="11"/>
  <c r="AE5" i="11"/>
  <c r="AB6" i="11"/>
  <c r="AB5" i="11"/>
  <c r="Y6" i="11"/>
  <c r="Y5" i="11"/>
  <c r="V5" i="11"/>
  <c r="V6" i="11"/>
  <c r="AW11" i="11" l="1"/>
  <c r="AW5" i="11"/>
  <c r="AW6" i="11"/>
  <c r="AW14" i="11"/>
  <c r="AA1" i="11"/>
  <c r="AG1" i="11"/>
  <c r="AD1" i="11"/>
  <c r="X1" i="11"/>
  <c r="BA3" i="8" l="1"/>
  <c r="P1" i="8" l="1"/>
  <c r="R1" i="8"/>
  <c r="X1" i="8"/>
  <c r="AC13" i="8"/>
  <c r="AO1" i="8"/>
  <c r="AW1" i="8"/>
  <c r="BA1" i="8"/>
  <c r="T3" i="8" l="1"/>
  <c r="V3" i="8"/>
  <c r="AK3" i="8"/>
  <c r="BB12" i="8"/>
  <c r="AM3" i="8"/>
  <c r="AC12" i="8"/>
  <c r="Z3" i="8"/>
  <c r="BB13" i="8"/>
  <c r="AY3" i="8"/>
  <c r="AB1" i="8"/>
  <c r="AB3" i="8"/>
  <c r="AK1" i="8"/>
  <c r="AM1" i="8"/>
  <c r="AS1" i="8"/>
  <c r="AQ1" i="8"/>
  <c r="T1" i="8"/>
  <c r="AY1" i="8"/>
  <c r="AU1" i="8"/>
  <c r="V1" i="8"/>
  <c r="Z1" i="8"/>
  <c r="AD1" i="8" l="1"/>
  <c r="AE1" i="8"/>
  <c r="BC1" i="8"/>
  <c r="BC2" i="8" s="1"/>
  <c r="AD2" i="8" l="1"/>
  <c r="U1"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Oddbjorn Ludvigsen</author>
  </authors>
  <commentList>
    <comment ref="BC103" authorId="0" shapeId="0" xr:uid="{00000000-0006-0000-0400-000001000000}">
      <text>
        <r>
          <rPr>
            <b/>
            <sz val="9"/>
            <color indexed="81"/>
            <rFont val="Tahoma"/>
            <family val="2"/>
          </rPr>
          <t>Oddbjorn Ludvigsen:</t>
        </r>
        <r>
          <rPr>
            <sz val="9"/>
            <color indexed="81"/>
            <rFont val="Tahoma"/>
            <family val="2"/>
          </rPr>
          <t xml:space="preserve">
Is not a rebate but a reduction due to a previous contribution paid for a trunk netwrok
</t>
        </r>
      </text>
    </comment>
    <comment ref="BC115" authorId="0" shapeId="0" xr:uid="{00000000-0006-0000-0400-000002000000}">
      <text>
        <r>
          <rPr>
            <b/>
            <sz val="9"/>
            <color indexed="81"/>
            <rFont val="Tahoma"/>
            <family val="2"/>
          </rPr>
          <t>Oddbjorn Ludvigsen:</t>
        </r>
        <r>
          <rPr>
            <sz val="9"/>
            <color indexed="81"/>
            <rFont val="Tahoma"/>
            <family val="2"/>
          </rPr>
          <t xml:space="preserve">
Is not a rebate but a reduction due to a previous contribution paid for a trunk netwrok</t>
        </r>
      </text>
    </comment>
    <comment ref="BC135" authorId="0" shapeId="0" xr:uid="{00000000-0006-0000-0400-000003000000}">
      <text>
        <r>
          <rPr>
            <b/>
            <sz val="9"/>
            <color indexed="81"/>
            <rFont val="Tahoma"/>
            <family val="2"/>
          </rPr>
          <t>Oddbjorn Ludvigsen:</t>
        </r>
        <r>
          <rPr>
            <sz val="9"/>
            <color indexed="81"/>
            <rFont val="Tahoma"/>
            <family val="2"/>
          </rPr>
          <t xml:space="preserve">
Is not a rebate but a reduction due to a previous contribution paid for a trunk netwrok</t>
        </r>
      </text>
    </comment>
    <comment ref="BC157" authorId="0" shapeId="0" xr:uid="{00000000-0006-0000-0400-000004000000}">
      <text>
        <r>
          <rPr>
            <b/>
            <sz val="9"/>
            <color indexed="81"/>
            <rFont val="Tahoma"/>
            <family val="2"/>
          </rPr>
          <t>Oddbjorn Ludvigsen:</t>
        </r>
        <r>
          <rPr>
            <sz val="9"/>
            <color indexed="81"/>
            <rFont val="Tahoma"/>
            <family val="2"/>
          </rPr>
          <t xml:space="preserve">
Is not a rebate but a reduction due to a previous contribution paid for a trunk netwrok</t>
        </r>
      </text>
    </comment>
    <comment ref="BC177" authorId="0" shapeId="0" xr:uid="{00000000-0006-0000-0400-000005000000}">
      <text>
        <r>
          <rPr>
            <b/>
            <sz val="9"/>
            <color indexed="81"/>
            <rFont val="Tahoma"/>
            <family val="2"/>
          </rPr>
          <t>Oddbjorn Ludvigsen:</t>
        </r>
        <r>
          <rPr>
            <sz val="9"/>
            <color indexed="81"/>
            <rFont val="Tahoma"/>
            <family val="2"/>
          </rPr>
          <t xml:space="preserve">
Is not a rebate but a reduction due to a previous contribution paid for a trunk netwrok</t>
        </r>
      </text>
    </comment>
    <comment ref="BC189" authorId="0" shapeId="0" xr:uid="{00000000-0006-0000-0400-000006000000}">
      <text>
        <r>
          <rPr>
            <b/>
            <sz val="9"/>
            <color indexed="81"/>
            <rFont val="Tahoma"/>
            <family val="2"/>
          </rPr>
          <t>Oddbjorn Ludvigsen:</t>
        </r>
        <r>
          <rPr>
            <sz val="9"/>
            <color indexed="81"/>
            <rFont val="Tahoma"/>
            <family val="2"/>
          </rPr>
          <t xml:space="preserve">
Is not a rebate but a reduction due to a previous contribution paid for a trunk netwrok</t>
        </r>
      </text>
    </comment>
    <comment ref="BC214" authorId="0" shapeId="0" xr:uid="{00000000-0006-0000-0400-000007000000}">
      <text>
        <r>
          <rPr>
            <b/>
            <sz val="9"/>
            <color indexed="81"/>
            <rFont val="Tahoma"/>
            <family val="2"/>
          </rPr>
          <t>Oddbjorn Ludvigsen:</t>
        </r>
        <r>
          <rPr>
            <sz val="9"/>
            <color indexed="81"/>
            <rFont val="Tahoma"/>
            <family val="2"/>
          </rPr>
          <t xml:space="preserve">
Is not a rebate but a reduction due to a previous contribution paid for a trunk netwrok</t>
        </r>
      </text>
    </comment>
    <comment ref="AW678" authorId="0" shapeId="0" xr:uid="{00000000-0006-0000-0400-000008000000}">
      <text>
        <r>
          <rPr>
            <b/>
            <sz val="9"/>
            <color indexed="81"/>
            <rFont val="Tahoma"/>
            <family val="2"/>
          </rPr>
          <t>Oddbjorn Ludvigsen:</t>
        </r>
        <r>
          <rPr>
            <sz val="9"/>
            <color indexed="81"/>
            <rFont val="Tahoma"/>
            <family val="2"/>
          </rPr>
          <t xml:space="preserve">
Council error in Updated Amount Payable Notice issued to owner by $10 less</t>
        </r>
      </text>
    </comment>
  </commentList>
</comments>
</file>

<file path=xl/sharedStrings.xml><?xml version="1.0" encoding="utf-8"?>
<sst xmlns="http://schemas.openxmlformats.org/spreadsheetml/2006/main" count="25987" uniqueCount="12539">
  <si>
    <t>Visitor Accommodation - Type 1  2 x Guest Room</t>
  </si>
  <si>
    <t>Murray &amp; Associates QLD Pty Ltd</t>
  </si>
  <si>
    <t>IC 912</t>
  </si>
  <si>
    <t>20100102 BA</t>
  </si>
  <si>
    <t>Raphill Pty Ltd</t>
  </si>
  <si>
    <t xml:space="preserve">Rosemary Lorraine Bekker &amp; Akos Paul Bekker </t>
  </si>
  <si>
    <t>95 Buckley Road, Kin Kin</t>
  </si>
  <si>
    <t>CARE KHA Development Managers             PO Box 6380 MAROOCHYDORE BC  QLD  4558</t>
  </si>
  <si>
    <t>CARE Ken Hicks &amp; Associates Pty LtdPO Box 6380MAROOCHYDORE BC  QLD  4558</t>
  </si>
  <si>
    <t>Lot Reconfig</t>
  </si>
  <si>
    <r>
      <t xml:space="preserve">MCU </t>
    </r>
    <r>
      <rPr>
        <sz val="8"/>
        <color indexed="12"/>
        <rFont val="Arial"/>
        <family val="2"/>
      </rPr>
      <t>(Proposed Lot 3)</t>
    </r>
  </si>
  <si>
    <r>
      <t xml:space="preserve">MCU </t>
    </r>
    <r>
      <rPr>
        <sz val="8"/>
        <color indexed="12"/>
        <rFont val="Arial"/>
        <family val="2"/>
      </rPr>
      <t>(Proposed Lot 4)</t>
    </r>
  </si>
  <si>
    <t>IC 892</t>
  </si>
  <si>
    <t>20071551 BA</t>
  </si>
  <si>
    <r>
      <t>19/05/2006</t>
    </r>
    <r>
      <rPr>
        <sz val="8"/>
        <rFont val="Arial"/>
        <family val="2"/>
      </rPr>
      <t xml:space="preserve">
29/3/2010</t>
    </r>
  </si>
  <si>
    <t>Vacant (50% of ICP was previously paid on Dummy IC 78 23374 DA)</t>
  </si>
  <si>
    <t xml:space="preserve"> @ 1/06/2009</t>
  </si>
  <si>
    <t xml:space="preserve"> 1/06/2009</t>
  </si>
  <si>
    <t>Application</t>
  </si>
  <si>
    <t>Type</t>
  </si>
  <si>
    <t xml:space="preserve">Detached House 
1 x Rural Lot  &amp; Dwelling House 
</t>
  </si>
  <si>
    <t>IC 877</t>
  </si>
  <si>
    <r>
      <t>24/11/2005</t>
    </r>
    <r>
      <rPr>
        <sz val="8"/>
        <rFont val="Arial"/>
        <family val="2"/>
      </rPr>
      <t xml:space="preserve">
7/2/2006</t>
    </r>
  </si>
  <si>
    <t>2 x 3 bed Duplex dwelling</t>
  </si>
  <si>
    <r>
      <t xml:space="preserve">24/2/2011
</t>
    </r>
    <r>
      <rPr>
        <strike/>
        <sz val="8"/>
        <rFont val="Arial"/>
        <family val="2"/>
      </rPr>
      <t>16/3/2010</t>
    </r>
    <r>
      <rPr>
        <sz val="8"/>
        <rFont val="Arial"/>
        <family val="2"/>
      </rPr>
      <t xml:space="preserve">
</t>
    </r>
    <r>
      <rPr>
        <strike/>
        <sz val="8"/>
        <rFont val="Arial"/>
        <family val="2"/>
      </rPr>
      <t>21/11/08</t>
    </r>
    <r>
      <rPr>
        <sz val="8"/>
        <rFont val="Arial"/>
        <family val="2"/>
      </rPr>
      <t xml:space="preserve">
</t>
    </r>
    <r>
      <rPr>
        <strike/>
        <sz val="8"/>
        <rFont val="Arial"/>
        <family val="2"/>
      </rPr>
      <t>07/03/08</t>
    </r>
    <r>
      <rPr>
        <sz val="8"/>
        <rFont val="Arial"/>
        <family val="2"/>
      </rPr>
      <t xml:space="preserve">
</t>
    </r>
    <r>
      <rPr>
        <strike/>
        <sz val="8"/>
        <rFont val="Arial"/>
        <family val="2"/>
      </rPr>
      <t xml:space="preserve">13/12/2007
</t>
    </r>
  </si>
  <si>
    <t>GPO Box 690, Brisbane Q 4001</t>
  </si>
  <si>
    <t>19 Smiths Road TINBEERWAH</t>
  </si>
  <si>
    <t>IC 362
(REV 1)</t>
  </si>
  <si>
    <t>Duplex</t>
  </si>
  <si>
    <t>c/- Plan Consult Pty Ltd PO Box 8085 Maroochydore DC QLD 4886</t>
  </si>
  <si>
    <t>06/1755 (DA)</t>
  </si>
  <si>
    <t>Retail Business – Type 3 – Landscape and Rural 515m2 Use Area</t>
  </si>
  <si>
    <t>PM Hentschel</t>
  </si>
  <si>
    <t>127 MCH 4469</t>
  </si>
  <si>
    <t>IC 952 
(Rev 1)</t>
  </si>
  <si>
    <t>CARE Derek Whitlock163 Black Mountain Range RoadBLACK MOUNTAIN  QLD  4563</t>
  </si>
  <si>
    <t>Detached House in Rural Settlement Zone 3 X Lots – 3 X Dwellings</t>
  </si>
  <si>
    <t>Middap &amp; Ditchfield Pty Ltd</t>
  </si>
  <si>
    <t>215A - 219 David Low Way  PEREGIAN BEACH  QLD  4573</t>
  </si>
  <si>
    <t>S &amp; L Development</t>
  </si>
  <si>
    <t>CARE KHA Development Managers
PO Box 6380
MAROOCHYDORE  QLD  4558</t>
  </si>
  <si>
    <t>1 SP 230643</t>
  </si>
  <si>
    <r>
      <t>6/02/2012</t>
    </r>
    <r>
      <rPr>
        <sz val="8"/>
        <rFont val="Arial"/>
        <family val="2"/>
      </rPr>
      <t xml:space="preserve">
6/02/2016</t>
    </r>
  </si>
  <si>
    <r>
      <t>6/02/2008</t>
    </r>
    <r>
      <rPr>
        <sz val="8"/>
        <rFont val="Arial"/>
        <family val="2"/>
      </rPr>
      <t xml:space="preserve">
</t>
    </r>
    <r>
      <rPr>
        <strike/>
        <sz val="8"/>
        <rFont val="Arial"/>
        <family val="2"/>
      </rPr>
      <t>2/07/2008</t>
    </r>
    <r>
      <rPr>
        <sz val="8"/>
        <rFont val="Arial"/>
        <family val="2"/>
      </rPr>
      <t xml:space="preserve">
22/02/2012</t>
    </r>
  </si>
  <si>
    <r>
      <t>Decision Notice</t>
    </r>
    <r>
      <rPr>
        <sz val="8"/>
        <rFont val="Arial"/>
        <family val="2"/>
      </rPr>
      <t xml:space="preserve">
</t>
    </r>
    <r>
      <rPr>
        <strike/>
        <sz val="8"/>
        <rFont val="Arial"/>
        <family val="2"/>
      </rPr>
      <t>Change to an Existing Approval</t>
    </r>
    <r>
      <rPr>
        <sz val="8"/>
        <rFont val="Arial"/>
        <family val="2"/>
      </rPr>
      <t xml:space="preserve">
Change to an Existing Approval (Extension to Currency Period) </t>
    </r>
  </si>
  <si>
    <r>
      <t>22/11/2005</t>
    </r>
    <r>
      <rPr>
        <sz val="8"/>
        <rFont val="Arial"/>
        <family val="2"/>
      </rPr>
      <t xml:space="preserve">
</t>
    </r>
    <r>
      <rPr>
        <strike/>
        <sz val="8"/>
        <rFont val="Arial"/>
        <family val="2"/>
      </rPr>
      <t>17/07/2009</t>
    </r>
    <r>
      <rPr>
        <sz val="8"/>
        <rFont val="Arial"/>
        <family val="2"/>
      </rPr>
      <t xml:space="preserve">
7/10/2011</t>
    </r>
  </si>
  <si>
    <r>
      <t>22/11/2009</t>
    </r>
    <r>
      <rPr>
        <sz val="8"/>
        <rFont val="Arial"/>
        <family val="2"/>
      </rPr>
      <t xml:space="preserve">
</t>
    </r>
    <r>
      <rPr>
        <strike/>
        <sz val="8"/>
        <rFont val="Arial"/>
        <family val="2"/>
      </rPr>
      <t>22/11/2011</t>
    </r>
    <r>
      <rPr>
        <sz val="8"/>
        <rFont val="Arial"/>
        <family val="2"/>
      </rPr>
      <t xml:space="preserve">
22/11/2013</t>
    </r>
  </si>
  <si>
    <t>Ms Sarah Waller</t>
  </si>
  <si>
    <t>PO Box 1372
NOOSAVILLE  QLD 4566</t>
  </si>
  <si>
    <t>808 SP 910419</t>
  </si>
  <si>
    <t>53 Kestrel Crescent, Peregian Beach</t>
  </si>
  <si>
    <t>McLachlan Special Projects Pty Ltd</t>
  </si>
  <si>
    <t>MCU &amp; Lot reconfig</t>
  </si>
  <si>
    <t>Courtware Australia Pty Ltd</t>
  </si>
  <si>
    <r>
      <t>27/10/2008</t>
    </r>
    <r>
      <rPr>
        <sz val="8"/>
        <rFont val="Arial"/>
        <family val="2"/>
      </rPr>
      <t xml:space="preserve">
</t>
    </r>
    <r>
      <rPr>
        <strike/>
        <sz val="8"/>
        <rFont val="Arial"/>
        <family val="2"/>
      </rPr>
      <t>15/1/2010</t>
    </r>
    <r>
      <rPr>
        <sz val="8"/>
        <rFont val="Arial"/>
        <family val="2"/>
      </rPr>
      <t xml:space="preserve">
</t>
    </r>
    <r>
      <rPr>
        <strike/>
        <sz val="8"/>
        <rFont val="Arial"/>
        <family val="2"/>
      </rPr>
      <t>11/2/2010</t>
    </r>
    <r>
      <rPr>
        <sz val="8"/>
        <rFont val="Arial"/>
        <family val="2"/>
      </rPr>
      <t xml:space="preserve">
17/01/2012</t>
    </r>
  </si>
  <si>
    <r>
      <t xml:space="preserve">06/2305 (DA)
</t>
    </r>
    <r>
      <rPr>
        <b/>
        <sz val="8"/>
        <color indexed="10"/>
        <rFont val="Arial"/>
        <family val="2"/>
      </rPr>
      <t>152006.2305.01
Change to Approval</t>
    </r>
  </si>
  <si>
    <r>
      <t xml:space="preserve">Lot Reconfig
</t>
    </r>
    <r>
      <rPr>
        <b/>
        <sz val="8"/>
        <color indexed="10"/>
        <rFont val="Arial"/>
        <family val="2"/>
      </rPr>
      <t>Stage 2A</t>
    </r>
  </si>
  <si>
    <r>
      <t xml:space="preserve">Lot Reconfig
</t>
    </r>
    <r>
      <rPr>
        <b/>
        <sz val="8"/>
        <color indexed="10"/>
        <rFont val="Arial"/>
        <family val="2"/>
      </rPr>
      <t>Stage 2B</t>
    </r>
  </si>
  <si>
    <r>
      <t>2/05/2007</t>
    </r>
    <r>
      <rPr>
        <sz val="8"/>
        <rFont val="Arial"/>
        <family val="2"/>
      </rPr>
      <t xml:space="preserve">
13/11/2008</t>
    </r>
  </si>
  <si>
    <t>Duplex (2 x 3 bed)</t>
  </si>
  <si>
    <r>
      <t xml:space="preserve">Decision Notice </t>
    </r>
    <r>
      <rPr>
        <sz val="8"/>
        <rFont val="Arial"/>
        <family val="2"/>
      </rPr>
      <t xml:space="preserve">
Change to an Existing Approval &amp; I</t>
    </r>
    <r>
      <rPr>
        <b/>
        <sz val="8"/>
        <rFont val="Arial"/>
        <family val="2"/>
      </rPr>
      <t>NFRASTRUCTURE CHARGE NOTICE</t>
    </r>
  </si>
  <si>
    <t xml:space="preserve">Gateway Rise Pty Ltd </t>
  </si>
  <si>
    <t>Shops, Veterinary Surgery, Restaurant, Professional Offices, Medical Centre &amp; Commercial Services (1862m²)</t>
  </si>
  <si>
    <t>Detached House 1 Dwelling</t>
  </si>
  <si>
    <t>PO Box 1193 Woodford QLD 4514</t>
  </si>
  <si>
    <t>IC 744</t>
  </si>
  <si>
    <t>17 RP 56993</t>
  </si>
  <si>
    <t>237 Weyba Rd, Noosaville</t>
  </si>
  <si>
    <t>Building B on Lot 2  791 m2 ua</t>
  </si>
  <si>
    <t>Building A on Lot 1 Industrial Business - Type 1 Warehouse &amp; Type 2 Production
 939 m2 ua</t>
  </si>
  <si>
    <t>9 SP 230643</t>
  </si>
  <si>
    <t>254 Gympie Kin Kin Road
KIN KIN  QLD  4571</t>
  </si>
  <si>
    <t xml:space="preserve">Terrence G Brown </t>
  </si>
  <si>
    <t>08/0415 (DA)</t>
  </si>
  <si>
    <t>Community Use – Open
Space – Type 2 Camp
Ground
1 x Scouts Camp
Ground</t>
  </si>
  <si>
    <t>16 SP 109806</t>
  </si>
  <si>
    <t>Shop/showroom</t>
  </si>
  <si>
    <t>Brent Stevens Constructions</t>
  </si>
  <si>
    <t>CARE Max Watterson &amp; Associates PO Box 639 COOROY  QLD  4563</t>
  </si>
  <si>
    <t>11 RP 214207</t>
  </si>
  <si>
    <t xml:space="preserve"> Detached House in Rural Settlement Zone 
2 X Lots – 2 X Dwellings</t>
  </si>
  <si>
    <t>Dwelling House
1 x 5 bedroomed</t>
  </si>
  <si>
    <t>PO Box 334, Noosaville Q</t>
  </si>
  <si>
    <t>Reece Pty Ltd</t>
  </si>
  <si>
    <r>
      <t>4/08/2008</t>
    </r>
    <r>
      <rPr>
        <sz val="8"/>
        <rFont val="Arial"/>
        <family val="2"/>
      </rPr>
      <t xml:space="preserve">
</t>
    </r>
    <r>
      <rPr>
        <strike/>
        <sz val="8"/>
        <rFont val="Arial"/>
        <family val="2"/>
      </rPr>
      <t>4/8/2012</t>
    </r>
    <r>
      <rPr>
        <sz val="8"/>
        <rFont val="Arial"/>
        <family val="2"/>
      </rPr>
      <t xml:space="preserve">
4/8/2016</t>
    </r>
  </si>
  <si>
    <r>
      <t>13/06/2010</t>
    </r>
    <r>
      <rPr>
        <sz val="8"/>
        <rFont val="Arial"/>
        <family val="2"/>
      </rPr>
      <t xml:space="preserve">
</t>
    </r>
    <r>
      <rPr>
        <strike/>
        <sz val="8"/>
        <rFont val="Arial"/>
        <family val="2"/>
      </rPr>
      <t>11/8/2010</t>
    </r>
    <r>
      <rPr>
        <sz val="8"/>
        <rFont val="Arial"/>
        <family val="2"/>
      </rPr>
      <t xml:space="preserve">
</t>
    </r>
    <r>
      <rPr>
        <strike/>
        <sz val="8"/>
        <rFont val="Arial"/>
        <family val="2"/>
      </rPr>
      <t>11/8/2012</t>
    </r>
    <r>
      <rPr>
        <sz val="8"/>
        <rFont val="Arial"/>
        <family val="2"/>
      </rPr>
      <t xml:space="preserve">
11/8/2016</t>
    </r>
  </si>
  <si>
    <t>Sep-08
Stg A = $ 29,629
Stg B = $ 25,727</t>
  </si>
  <si>
    <t>18 RP 901044</t>
  </si>
  <si>
    <t>Red On Thomas</t>
  </si>
  <si>
    <t>Good Shepherd Lutheran College</t>
  </si>
  <si>
    <t>262 RP 171580</t>
  </si>
  <si>
    <t>15 Carnoustie Street
TEWANTIN  QLD  4565</t>
  </si>
  <si>
    <t>2 RP 840197</t>
  </si>
  <si>
    <t>Multiple Housing - Type 4 –
Conventional (3 Units)
2 x 2 Bedroom Units
&amp; 1 x 1 Bedroom Unit</t>
  </si>
  <si>
    <t>2 lots</t>
  </si>
  <si>
    <t>Lyn Wildman Superannuation Fund</t>
  </si>
  <si>
    <r>
      <t>IC 1031</t>
    </r>
    <r>
      <rPr>
        <b/>
        <sz val="8"/>
        <color indexed="10"/>
        <rFont val="Arial"/>
        <family val="2"/>
      </rPr>
      <t xml:space="preserve">  Stage 2A</t>
    </r>
  </si>
  <si>
    <r>
      <t xml:space="preserve">IC 1032 </t>
    </r>
    <r>
      <rPr>
        <b/>
        <sz val="8"/>
        <color indexed="10"/>
        <rFont val="Arial"/>
        <family val="2"/>
      </rPr>
      <t>Stage 2B</t>
    </r>
  </si>
  <si>
    <t>Dec-07
Note requires part offset $19,035 for constructed path under subdivision refer File Note.</t>
  </si>
  <si>
    <t>219 RP 885237</t>
  </si>
  <si>
    <t>Detached House - 1 Dwelling</t>
  </si>
  <si>
    <t>64 Gateway Drive, NOOSAVILLE  QLD  4566</t>
  </si>
  <si>
    <t>IC 415</t>
  </si>
  <si>
    <t>PO Box 624 TEWANTIN  QLD  4565</t>
  </si>
  <si>
    <t>CARE Murray &amp; Associates (Qld) Pty Ltd PO Box 246 NAMBOUR  QLD  4560</t>
  </si>
  <si>
    <t>06/1171 (DA)</t>
  </si>
  <si>
    <t>06/0402 (DA)</t>
  </si>
  <si>
    <t xml:space="preserve">Bank Guarantee received 17/02/09 - $250,000 (NAB 3/24B) from NC Oliver Noosa Pty Ltd holding for payment of  CONTRIBUTIONS re: Condition 55 </t>
  </si>
  <si>
    <t>06/0284 (DA)</t>
  </si>
  <si>
    <t>06/0306 (DA)</t>
  </si>
  <si>
    <t>408 RP 48112</t>
  </si>
  <si>
    <t>08/0069 (DA)</t>
  </si>
  <si>
    <t>PO Box 2258
NOOSA HEADS  QLD  4567</t>
  </si>
  <si>
    <t xml:space="preserve">95 Buckley RoadKIN KIN  QLD  4571 </t>
  </si>
  <si>
    <t>430 Black Mountain Road, Black Mountain</t>
  </si>
  <si>
    <t xml:space="preserve">CARE Warick Paul Redwood
4 Wildflower Street
SUNSHINE BEACH  QLD  4567
</t>
  </si>
  <si>
    <t>05/1126 (DA)</t>
  </si>
  <si>
    <t>Commercial Business – Type 1 – Office (210m2 Use Area) &amp; Commercial Business – Type 2 – Medical (27m2 Use Area-2 consulting rooms)
Total = 237m2</t>
  </si>
  <si>
    <t>Kay Ellen Lovegrove &amp; Douglas Raymond Curran</t>
  </si>
  <si>
    <t xml:space="preserve">CARE Downes Survey Group
PO Box 39
NAMBOUR  QLD  4560
</t>
  </si>
  <si>
    <t>3 RP 840197</t>
  </si>
  <si>
    <t>08/0977 (DA)</t>
  </si>
  <si>
    <t>07/2464 (DA)</t>
  </si>
  <si>
    <t xml:space="preserve">Showroom 337 m2 </t>
  </si>
  <si>
    <r>
      <t>27/10/2012</t>
    </r>
    <r>
      <rPr>
        <sz val="8"/>
        <rFont val="Arial"/>
        <family val="2"/>
      </rPr>
      <t xml:space="preserve">
15/1/2014</t>
    </r>
  </si>
  <si>
    <t>3 Viewland Drive, NOOSA HEADS</t>
  </si>
  <si>
    <t>c/- Victor G Ferros Town Planning, 195 Dornoch Terrace, Highgate Hill, Q 4101</t>
  </si>
  <si>
    <t>09/0011 (DA)</t>
  </si>
  <si>
    <t>54 Peregian Esplanade, Peregian Beach</t>
  </si>
  <si>
    <t>1 x Dwelling house</t>
  </si>
  <si>
    <t>SPECIAL NOTES</t>
  </si>
  <si>
    <t>Restaurant = 122.7m2 Additional area</t>
  </si>
  <si>
    <t>20072543 BA</t>
  </si>
  <si>
    <t>IC 847</t>
  </si>
  <si>
    <t>K Menner</t>
  </si>
  <si>
    <t>PO Box 2210
NOOSA HEADS  QLD  4567</t>
  </si>
  <si>
    <r>
      <t>Serenity Close Noosa Heads</t>
    </r>
    <r>
      <rPr>
        <sz val="8"/>
        <rFont val="Arial"/>
        <family val="2"/>
      </rPr>
      <t xml:space="preserve">
14 Serenity Close  NOOSA HEADS  QLD  4567</t>
    </r>
  </si>
  <si>
    <t>c/- Ken Hicks &amp; Associates Pty Ltd PO Box 6380 Maroochydore BC  QLD  4558</t>
  </si>
  <si>
    <t>CARE Max Watterson &amp; AssociatesPO Box 639COOROY  QLD  4563</t>
  </si>
  <si>
    <t>Derek Whitlock &amp; Anne Whitlock</t>
  </si>
  <si>
    <t>Tamobrojo Pty Ltd</t>
  </si>
  <si>
    <t>Wilhelm Koschade &amp; Anita M Koschade</t>
  </si>
  <si>
    <t>24 Ann Street
NOOSAVILLE  QLD  4566</t>
  </si>
  <si>
    <t>Detached House Vacant Land</t>
  </si>
  <si>
    <t>20071231 BA</t>
  </si>
  <si>
    <t>132000.200451.2</t>
  </si>
  <si>
    <t>PO Box 6380, Maroochydore, QLD 4558</t>
  </si>
  <si>
    <t>1 SP137636</t>
  </si>
  <si>
    <t>Unit 1 / 23 Hastings St, Noosa Heads, QLD 4567</t>
  </si>
  <si>
    <t>Commercial Bussiness Type 1 Office = 100 m2</t>
  </si>
  <si>
    <r>
      <t>C/- Ryter Planning P/L PO Box 5872 Maroochydore BC 4558</t>
    </r>
    <r>
      <rPr>
        <sz val="8"/>
        <rFont val="Arial"/>
        <family val="2"/>
      </rPr>
      <t xml:space="preserve">
PO Box 1923
NOOSA HEADS  QLD  4567
</t>
    </r>
  </si>
  <si>
    <t>54 RP 139776</t>
  </si>
  <si>
    <t>Sep-08
Stg A = $ 34,617
Stg B = $ 14,785</t>
  </si>
  <si>
    <t>2 RP 199724</t>
  </si>
  <si>
    <t>Additional mezzanine 216 m2 - Light Industry</t>
  </si>
  <si>
    <t xml:space="preserve">Birt Marriott Developments Pty Ltd </t>
  </si>
  <si>
    <t>CARE Ken Hicks Priority Projects   5 Coomoo Cresent MOUNTAIN CREEK  QLD  4559</t>
  </si>
  <si>
    <t>21 C 56016</t>
  </si>
  <si>
    <t>Studio Noosa Pty Ltd</t>
  </si>
  <si>
    <t>PO Box 148, Noosa Heads Q 4567</t>
  </si>
  <si>
    <t>11 SP 230643</t>
  </si>
  <si>
    <t>c/- Martoo Consulting Pty Ltd, PO Box 1684, NOOSA HEADS  QLD  4567</t>
  </si>
  <si>
    <t>11 RP 903821</t>
  </si>
  <si>
    <t>19 Captains Court, Sunrise Beach</t>
  </si>
  <si>
    <t>Detached House, 1 x Dwelling</t>
  </si>
  <si>
    <t xml:space="preserve">Ken Athol Elford White </t>
  </si>
  <si>
    <t>IC 646</t>
  </si>
  <si>
    <t xml:space="preserve">Pamela Lever &amp; Roger Lever </t>
  </si>
  <si>
    <t xml:space="preserve">Compiled Decision Notice </t>
  </si>
  <si>
    <t>CARE Jones Flint &amp; Pike Pty Ltd    PO Box 6 MAROOCHYDORE  QLD  4558</t>
  </si>
  <si>
    <t>Cooroy Hotel Pty Ltd</t>
  </si>
  <si>
    <t>Scanlon Property Group Pty Ltd</t>
  </si>
  <si>
    <t>1 SP 129563</t>
  </si>
  <si>
    <t>Property Description</t>
  </si>
  <si>
    <t xml:space="preserve">CARE Jones Flint &amp; Pike Pty Ltd, PO Box 6, MAROOCHYDORE  </t>
  </si>
  <si>
    <t>N/A</t>
  </si>
  <si>
    <t>Educational Establishment</t>
  </si>
  <si>
    <t>Javaka Pty Ltd</t>
  </si>
  <si>
    <t>Black</t>
  </si>
  <si>
    <t>c/- Greg Gibbs Architects, PO Box 1272 Noosa Heads Q 4567</t>
  </si>
  <si>
    <t>31 Corsair Crescent, Sunrise Beach, QLD 4567</t>
  </si>
  <si>
    <t>Vacnat</t>
  </si>
  <si>
    <t>Attunga Heights Pty Ltd</t>
  </si>
  <si>
    <t>IC 670</t>
  </si>
  <si>
    <t>c/- Urban Strategies (Sc) Pty LtdPO Box 939MAROOCHYDORE  QLD  4558</t>
  </si>
  <si>
    <t>23 RP 89506</t>
  </si>
  <si>
    <t>Detached House(Rural settlement zone) 
2 Dwellings</t>
  </si>
  <si>
    <t>3 lots</t>
  </si>
  <si>
    <t>IC 720</t>
  </si>
  <si>
    <t xml:space="preserve">S &amp; L Developments Pty Ltd </t>
  </si>
  <si>
    <t>Duplex dwelling (2 x 3 bed)</t>
  </si>
  <si>
    <t>Paradise Junction Pty Ltd</t>
  </si>
  <si>
    <t>House</t>
  </si>
  <si>
    <t>Forget Me Not Properties</t>
  </si>
  <si>
    <t>185 Cooroy Belli Creek Road, Cooroy</t>
  </si>
  <si>
    <t>2 RP 234162</t>
  </si>
  <si>
    <t>13 The Anchorage
NOOSAVILLE  QLD  4566</t>
  </si>
  <si>
    <t>1 RP 56576</t>
  </si>
  <si>
    <t>09/0363 (DA)</t>
  </si>
  <si>
    <r>
      <t>21/07/2009</t>
    </r>
    <r>
      <rPr>
        <sz val="8"/>
        <rFont val="Arial"/>
        <family val="2"/>
      </rPr>
      <t xml:space="preserve"> </t>
    </r>
    <r>
      <rPr>
        <strike/>
        <sz val="8"/>
        <rFont val="Arial"/>
        <family val="2"/>
      </rPr>
      <t>13/10/2009</t>
    </r>
    <r>
      <rPr>
        <sz val="8"/>
        <rFont val="Arial"/>
        <family val="2"/>
      </rPr>
      <t xml:space="preserve">   </t>
    </r>
    <r>
      <rPr>
        <strike/>
        <sz val="8"/>
        <rFont val="Arial"/>
        <family val="2"/>
      </rPr>
      <t xml:space="preserve">06/03/2010
</t>
    </r>
    <r>
      <rPr>
        <sz val="8"/>
        <rFont val="Arial"/>
        <family val="2"/>
      </rPr>
      <t>15/10/2013</t>
    </r>
  </si>
  <si>
    <t>473 MCH 4837</t>
  </si>
  <si>
    <t>10 Paldao Rise
PEREGIAN BEACH  QLD  4573</t>
  </si>
  <si>
    <t>C/- Plan Consult Pty Ltd PO Box 8085 Maroochydore DC QLD 4886</t>
  </si>
  <si>
    <t>49 RP 76937</t>
  </si>
  <si>
    <t>27 RP 868300</t>
  </si>
  <si>
    <t>20070935 BA</t>
  </si>
  <si>
    <t>IC 416</t>
  </si>
  <si>
    <t>20061374 BA</t>
  </si>
  <si>
    <t>06/0270 (DA)</t>
  </si>
  <si>
    <t>7 SP 230643</t>
  </si>
  <si>
    <t>Detached House 1 x Detached house</t>
  </si>
  <si>
    <r>
      <t xml:space="preserve">Decision Notice </t>
    </r>
    <r>
      <rPr>
        <sz val="8"/>
        <rFont val="Arial"/>
        <family val="2"/>
      </rPr>
      <t xml:space="preserve">
Change to an Existing Approval &amp;
</t>
    </r>
    <r>
      <rPr>
        <b/>
        <sz val="8"/>
        <rFont val="Arial"/>
        <family val="2"/>
      </rPr>
      <t>INFRASTRUCTURE CHARGE</t>
    </r>
  </si>
  <si>
    <t>CARE Jones Flint &amp; Pike Pty Ltd PO Box 6 MAROOCHYDORE  QLD  4558</t>
  </si>
  <si>
    <t>16 P 93124</t>
  </si>
  <si>
    <r>
      <t>1 &amp; 2 SP 155870</t>
    </r>
    <r>
      <rPr>
        <sz val="8"/>
        <rFont val="Arial"/>
        <family val="2"/>
      </rPr>
      <t xml:space="preserve">
4 SP 196846</t>
    </r>
  </si>
  <si>
    <t xml:space="preserve">Detached House 2 x Vacant Lots
</t>
  </si>
  <si>
    <t>20070250 BA</t>
  </si>
  <si>
    <t>IC 607</t>
  </si>
  <si>
    <t>Don Shapcott</t>
  </si>
  <si>
    <t>13 Janet Street, Noosaville, Qld 4566</t>
  </si>
  <si>
    <t>Vynara Pty Ltd</t>
  </si>
  <si>
    <t>Depot Type 1</t>
  </si>
  <si>
    <t>PO Box 1497, NOOSA HEADS</t>
  </si>
  <si>
    <t>817 SP 102579</t>
  </si>
  <si>
    <t xml:space="preserve">Colonial First State Property Management </t>
  </si>
  <si>
    <t>Retail Business  Type 2 - Shop 
242m² Use Area</t>
  </si>
  <si>
    <t>Retail Business Use - Type
2 - Shop &amp; Salon 306 m2 Use Area
Multiple Housing - Type 4 -
Conventional
2 x 1 B/R Units &amp;
3 x 2 B/R Units</t>
  </si>
  <si>
    <r>
      <t xml:space="preserve">Decision Notice </t>
    </r>
    <r>
      <rPr>
        <sz val="8"/>
        <rFont val="Arial"/>
        <family val="2"/>
      </rPr>
      <t xml:space="preserve">
</t>
    </r>
    <r>
      <rPr>
        <strike/>
        <sz val="8"/>
        <rFont val="Arial"/>
        <family val="2"/>
      </rPr>
      <t xml:space="preserve">Negotiated Decision Notice </t>
    </r>
    <r>
      <rPr>
        <sz val="8"/>
        <rFont val="Arial"/>
        <family val="2"/>
      </rPr>
      <t xml:space="preserve">
Change to an Existing Approval &amp; I</t>
    </r>
    <r>
      <rPr>
        <b/>
        <sz val="8"/>
        <rFont val="Arial"/>
        <family val="2"/>
      </rPr>
      <t>NFRASTRUCTURE CHARGE NOTICE</t>
    </r>
  </si>
  <si>
    <r>
      <t>23/06/2006</t>
    </r>
    <r>
      <rPr>
        <sz val="8"/>
        <rFont val="Arial"/>
        <family val="2"/>
      </rPr>
      <t xml:space="preserve">
</t>
    </r>
    <r>
      <rPr>
        <strike/>
        <sz val="8"/>
        <rFont val="Arial"/>
        <family val="2"/>
      </rPr>
      <t>11/8/2006</t>
    </r>
    <r>
      <rPr>
        <sz val="8"/>
        <rFont val="Arial"/>
        <family val="2"/>
      </rPr>
      <t xml:space="preserve">
3/8/2010</t>
    </r>
  </si>
  <si>
    <t>Guest House (7,989 m²)</t>
  </si>
  <si>
    <t>114 MCH 807481</t>
  </si>
  <si>
    <t>CARE Downes Survey Group, PO Box 39, NAMBOUR  QLD  4560</t>
  </si>
  <si>
    <t>12 RP 887049</t>
  </si>
  <si>
    <t>MCU &amp; Lot Reconfig</t>
  </si>
  <si>
    <t xml:space="preserve"> </t>
  </si>
  <si>
    <t>Condition Deleted in Neg Dec Notice 27/7/06 ($941 Dec 05)</t>
  </si>
  <si>
    <t>RP</t>
  </si>
  <si>
    <t>c/- Graham Matheson, PO Box 550, TEWANTIN  QLD  4565</t>
  </si>
  <si>
    <t>323 RP 48111</t>
  </si>
  <si>
    <t>PO Box 1684 NOOSA HEADS  QLD  4567</t>
  </si>
  <si>
    <t>14 SP 170295</t>
  </si>
  <si>
    <t xml:space="preserve">Applegarth International Pty Ltd </t>
  </si>
  <si>
    <t>Detached House 
1 Lot</t>
  </si>
  <si>
    <t xml:space="preserve">Touram Pty Ltd </t>
  </si>
  <si>
    <t>07/1217 (DA)</t>
  </si>
  <si>
    <t>05/0921 (DA)</t>
  </si>
  <si>
    <t>IC 883</t>
  </si>
  <si>
    <t>Amount $</t>
  </si>
  <si>
    <t>IC 457</t>
  </si>
  <si>
    <t>IC 816</t>
  </si>
  <si>
    <t>Detached house</t>
  </si>
  <si>
    <t>David Markwell</t>
  </si>
  <si>
    <r>
      <t xml:space="preserve">Decision Notice </t>
    </r>
    <r>
      <rPr>
        <sz val="8"/>
        <rFont val="Arial"/>
        <family val="2"/>
      </rPr>
      <t xml:space="preserve">Amended Decision Notice &amp; </t>
    </r>
    <r>
      <rPr>
        <b/>
        <sz val="8"/>
        <rFont val="Arial"/>
        <family val="2"/>
      </rPr>
      <t>INFRASTRUCTURE CHARGE NOTICE</t>
    </r>
  </si>
  <si>
    <r>
      <t>13/10/2008</t>
    </r>
    <r>
      <rPr>
        <sz val="8"/>
        <rFont val="Arial"/>
        <family val="2"/>
      </rPr>
      <t xml:space="preserve">
9/6/09</t>
    </r>
  </si>
  <si>
    <t>IC 809
Rev 1</t>
  </si>
  <si>
    <t>CARE Ken Hicks &amp; Associates Pty Ltd PO Box 6380 MAROOCHYDORE BC  QLD  4558</t>
  </si>
  <si>
    <t>23 Sister Tree Creek Road KIN KIN</t>
  </si>
  <si>
    <t>1 RP 220216</t>
  </si>
  <si>
    <t>Lot Reconfig &amp; Access Easement</t>
  </si>
  <si>
    <r>
      <t xml:space="preserve">Detached House in Rural Settlement Zone 16x Lots &amp; Dwellings
</t>
    </r>
    <r>
      <rPr>
        <b/>
        <sz val="8"/>
        <color indexed="10"/>
        <rFont val="Arial"/>
        <family val="2"/>
      </rPr>
      <t>STAGE 2A = 11 Lots
(9 Addit Lots &amp; Houses)</t>
    </r>
  </si>
  <si>
    <r>
      <t xml:space="preserve">Detached House in Rural Settlement Zone 16x Lots &amp; Dwellings
</t>
    </r>
    <r>
      <rPr>
        <b/>
        <sz val="8"/>
        <color indexed="10"/>
        <rFont val="Arial"/>
        <family val="2"/>
      </rPr>
      <t>STAGE 2B = 16 Lots
(5 Addit Lots &amp; Houses)</t>
    </r>
  </si>
  <si>
    <t>Touram Pty Ltd</t>
  </si>
  <si>
    <t>305 Gympie Terrace Noosaville</t>
  </si>
  <si>
    <t>Commercial Services - 271m²</t>
  </si>
  <si>
    <t>CARE Middap Ditchfield Pty LtdCnr Mary &amp; Thomas StreetNOOSAVILLE  QLD  4566</t>
  </si>
  <si>
    <t>18 Thomas Street
NOOSAVILLE  QLD  4566</t>
  </si>
  <si>
    <r>
      <t>Decision Notice &amp; I</t>
    </r>
    <r>
      <rPr>
        <b/>
        <sz val="8"/>
        <rFont val="Arial"/>
        <family val="2"/>
      </rPr>
      <t>NFRASTRUCTURE CHARGE NOTICE</t>
    </r>
  </si>
  <si>
    <t>CARE Tieri Post Office
TIERI  QLD  4709</t>
  </si>
  <si>
    <t>A Johns</t>
  </si>
  <si>
    <t>INFRASTRUCTURE CHARGE NOTICE</t>
  </si>
  <si>
    <t>Part Paid</t>
  </si>
  <si>
    <t>IC contribution as condition =</t>
  </si>
  <si>
    <t>35 Wavecrest Drive  CASTAWAYS BEACH  QLD  4567</t>
  </si>
  <si>
    <t>IC 667</t>
  </si>
  <si>
    <t>35 Nannygai Street, Noosaville</t>
  </si>
  <si>
    <t>3 Hollett Road NOOSAVILLE</t>
  </si>
  <si>
    <t>35 Seaview Tce, Sunshine Beach, QLD 4567</t>
  </si>
  <si>
    <t>LND Building &amp; Design Pty Ltd</t>
  </si>
  <si>
    <t>Detached House Plus Visitor Accommodation Type 3   
1 Dwelling Plus 3 Cabins</t>
  </si>
  <si>
    <t>Visitor Accommodation –
Type 4 – Conventional –
Visitor Hostel
Hostel
Accommodating 12
Guests (no on-site
Manager)</t>
  </si>
  <si>
    <t>712 / 61 Noosa Springs Drive, Noosa Heads</t>
  </si>
  <si>
    <t>Retail Business - Type 5 Vehicle Uses Total 230m2(121m2 ground floor and 109m2 mezzanine)</t>
  </si>
  <si>
    <t>43 Mountain Street
POMONA  QLD  4568</t>
  </si>
  <si>
    <t>Meredith Alma Whitehouse</t>
  </si>
  <si>
    <t>20 Lots/Dwelling Houses</t>
  </si>
  <si>
    <t>CARE Jones Flint &amp; Pike Pty Ltd, PO Box 6, MAROOCHYDORE  QLD  4561</t>
  </si>
  <si>
    <t>IC 869</t>
  </si>
  <si>
    <t>1 The Promontory
NOOSAVILLE  QLD  4566</t>
  </si>
  <si>
    <t xml:space="preserve">Barry Richard Stewart </t>
  </si>
  <si>
    <t>IC 743</t>
  </si>
  <si>
    <t>n/a</t>
  </si>
  <si>
    <r>
      <t>19/08/2008</t>
    </r>
    <r>
      <rPr>
        <sz val="8"/>
        <rFont val="Arial"/>
        <family val="2"/>
      </rPr>
      <t xml:space="preserve">
03/11/08</t>
    </r>
  </si>
  <si>
    <t>IC 929</t>
  </si>
  <si>
    <t>Industrial Business – Type 2 Production, alteration, repackaging and repairing  483m2 Use Area</t>
  </si>
  <si>
    <t>06/2361 (DA)</t>
  </si>
  <si>
    <t>IC 525</t>
  </si>
  <si>
    <t>Hephzibah Pty Ltd, c/- KHA Development Manager</t>
  </si>
  <si>
    <t>IC 697</t>
  </si>
  <si>
    <t>LR</t>
  </si>
  <si>
    <t>IC 901</t>
  </si>
  <si>
    <t>20091401 BA</t>
  </si>
  <si>
    <t>Chris Smith</t>
  </si>
  <si>
    <t>Lake Weyba Developments Pty Ltd</t>
  </si>
  <si>
    <t>C/- Martoo Consulting Pty Ltd
PO Box 1684
NOOSA HEADS  QLD  4567</t>
  </si>
  <si>
    <t xml:space="preserve"> 368 MCH 958</t>
  </si>
  <si>
    <t>57A, 73 &amp; 75 Eumundi Rd, Noosaville</t>
  </si>
  <si>
    <t>MCU/Lot reconfig</t>
  </si>
  <si>
    <t>CARE Jones Flint &amp; Pike Pty Ltd, PO Box 6, MAROOCHYDORE  QLD  4562</t>
  </si>
  <si>
    <t>MCU overriding MSC Planning Scheme</t>
  </si>
  <si>
    <t>FKP Residential Developments Pty Ltd</t>
  </si>
  <si>
    <t xml:space="preserve">1 Lot &amp; Dwelling                      </t>
  </si>
  <si>
    <t>06/1631 (DA)</t>
  </si>
  <si>
    <t>6 Seamist Crt, Sunshine Beach</t>
  </si>
  <si>
    <t>Eco Cottages Pty Ltd</t>
  </si>
  <si>
    <t>56 MCH 3375</t>
  </si>
  <si>
    <t>dwelling (3 or more bedroom unit in group housing development)</t>
  </si>
  <si>
    <t>8 Lots</t>
  </si>
  <si>
    <t>Commercial Bussiness Type 1 Office = 111 m2</t>
  </si>
  <si>
    <t>35 Douglas St, Sunshine Beach</t>
  </si>
  <si>
    <t>IC 485</t>
  </si>
  <si>
    <t>CARE Martoo Consulting Pty Ltd, PO Box 1684, NOOSA HEADS  QLD  4568</t>
  </si>
  <si>
    <t>23674 DA</t>
  </si>
  <si>
    <t>Graham Henning</t>
  </si>
  <si>
    <t xml:space="preserve">2 x 2 bed units </t>
  </si>
  <si>
    <t>Commercial Business Type 2 - Medical</t>
  </si>
  <si>
    <r>
      <t>20x 3 bed units</t>
    </r>
    <r>
      <rPr>
        <sz val="8"/>
        <rFont val="Arial"/>
        <family val="2"/>
      </rPr>
      <t xml:space="preserve">
Multiple Housing - Type 4 – Conventional  </t>
    </r>
    <r>
      <rPr>
        <strike/>
        <sz val="8"/>
        <rFont val="Arial"/>
        <family val="2"/>
      </rPr>
      <t>20</t>
    </r>
    <r>
      <rPr>
        <sz val="8"/>
        <rFont val="Arial"/>
        <family val="2"/>
      </rPr>
      <t xml:space="preserve"> 19 x 3 Bedroom Units</t>
    </r>
  </si>
  <si>
    <r>
      <t xml:space="preserve">Mar-11
$38,706.- Mar-10
</t>
    </r>
    <r>
      <rPr>
        <b/>
        <strike/>
        <sz val="8"/>
        <rFont val="Arial"/>
        <family val="2"/>
      </rPr>
      <t>$32,175 = Jun-04</t>
    </r>
  </si>
  <si>
    <t>Type 2 Shop &amp; salon with food preparation 80m2</t>
  </si>
  <si>
    <t>GPO Box 2906, BRISBANE QLD 4001</t>
  </si>
  <si>
    <t>JDF Technical Services P/L</t>
  </si>
  <si>
    <t>4 RP 219280, 3 RP 219280</t>
  </si>
  <si>
    <t>IC 631</t>
  </si>
  <si>
    <t>Energex LTD</t>
  </si>
  <si>
    <r>
      <t>23 units</t>
    </r>
    <r>
      <rPr>
        <sz val="8"/>
        <rFont val="Arial"/>
        <family val="2"/>
      </rPr>
      <t xml:space="preserve">
Multiple Housing - Type 4 – Conventional </t>
    </r>
    <r>
      <rPr>
        <strike/>
        <sz val="8"/>
        <rFont val="Arial"/>
        <family val="2"/>
      </rPr>
      <t xml:space="preserve"> 21 </t>
    </r>
    <r>
      <rPr>
        <sz val="8"/>
        <rFont val="Arial"/>
        <family val="2"/>
      </rPr>
      <t>22 x 3 Bedroom Units</t>
    </r>
  </si>
  <si>
    <r>
      <t xml:space="preserve">Mar-11
$40,793.- Mar-10
</t>
    </r>
    <r>
      <rPr>
        <b/>
        <strike/>
        <sz val="8"/>
        <rFont val="Arial"/>
        <family val="2"/>
      </rPr>
      <t>($37,638 = Mar 05</t>
    </r>
    <r>
      <rPr>
        <b/>
        <sz val="8"/>
        <rFont val="Arial"/>
        <family val="2"/>
      </rPr>
      <t>)</t>
    </r>
  </si>
  <si>
    <t>Business Uses - Retail
Business Use - Type 2 -
Shop &amp; Salon
114 m2 Use Area
Old Approval 3B-306 -
Bulk Storage (Builders
Yard) (equiv to Industrial
Business Type 2)
700 m2 Est Use Area
balance of site less 2
parking spaces and
manoeuvring</t>
  </si>
  <si>
    <t>3 RP 195812</t>
  </si>
  <si>
    <t>51 Cooroibah Crescent  TEWANTIN  QLD  4565</t>
  </si>
  <si>
    <t>20062049 BA</t>
  </si>
  <si>
    <t>30 Cooroibah Crescent
TEWANTIN  QLD  4565</t>
  </si>
  <si>
    <t>Metricon Homes Pty Ltd</t>
  </si>
  <si>
    <t>19 Lots/Dwelling Houses</t>
  </si>
  <si>
    <t>IC 810</t>
  </si>
  <si>
    <t>Corin Fielden</t>
  </si>
  <si>
    <t>Park provided in lieu</t>
  </si>
  <si>
    <t>CARE Ken Hicks Priority Projects   5 Coomoo Cresent MOUNTAIN CREEK  QLD  4558</t>
  </si>
  <si>
    <t>411 Black Pinch Road
COOTHARABA  QLD  4565</t>
  </si>
  <si>
    <t>2 RP 206068</t>
  </si>
  <si>
    <t>Martoo Consulting Pty Ltd</t>
  </si>
  <si>
    <t>Ken Down Architects</t>
  </si>
  <si>
    <t>10 RP 867794</t>
  </si>
  <si>
    <t xml:space="preserve">Dwelling House </t>
  </si>
  <si>
    <t>18 &amp; 24 Yatama Place COOROIBAH  QLD  4565</t>
  </si>
  <si>
    <t>PC10/2965 (BA)</t>
  </si>
  <si>
    <t>PC10/2784 (BA)</t>
  </si>
  <si>
    <t>IC 417</t>
  </si>
  <si>
    <t>491 RP 48112</t>
  </si>
  <si>
    <t>IC 704</t>
  </si>
  <si>
    <t>4/104 Clarence Road
INDOOROOPILLY  QLD  4068</t>
  </si>
  <si>
    <t>IC 817</t>
  </si>
  <si>
    <t>dwelling house</t>
  </si>
  <si>
    <t>Detached House 1 x Lot &amp; Dwelling
House</t>
  </si>
  <si>
    <t>23670 DA</t>
  </si>
  <si>
    <t>10/0787 (DA)</t>
  </si>
  <si>
    <t>20060910 BA</t>
  </si>
  <si>
    <t>20060897 BA</t>
  </si>
  <si>
    <r>
      <t>17/2/00</t>
    </r>
    <r>
      <rPr>
        <sz val="8"/>
        <rFont val="Arial"/>
        <family val="2"/>
      </rPr>
      <t xml:space="preserve">      24/11/2005</t>
    </r>
  </si>
  <si>
    <t>199 RP 885239</t>
  </si>
  <si>
    <t>205 RP 885238</t>
  </si>
  <si>
    <t xml:space="preserve">1 x Detached House </t>
  </si>
  <si>
    <t>11 Robert Street Noosaville</t>
  </si>
  <si>
    <t>Sept-08 (Rev 2)
Stg A = $ 157,394
Stg B = $ 0</t>
  </si>
  <si>
    <t>29 Jirrima Crescent COOROIBAH</t>
  </si>
  <si>
    <t>Middap Ditchfield Pty Ltd</t>
  </si>
  <si>
    <t>STAGE 1</t>
  </si>
  <si>
    <t>IC 850</t>
  </si>
  <si>
    <t>05/0395 (DA)</t>
  </si>
  <si>
    <t>PO Box 1364, NOOSA HEADS  QLD  4567</t>
  </si>
  <si>
    <t>Eenie Creek Road Noosaville</t>
  </si>
  <si>
    <t>Change to an Existing Approval</t>
  </si>
  <si>
    <t>DJ Leach Pty Ltd</t>
  </si>
  <si>
    <t>Dept Public Works, QLD Govt, Level 4A, 80 George Street
BRISBANE  QLD  4001</t>
  </si>
  <si>
    <t>IC 905</t>
  </si>
  <si>
    <t>20091588 BA</t>
  </si>
  <si>
    <t>Project Services Sunshine Coast Regional Office</t>
  </si>
  <si>
    <t>IC 578</t>
  </si>
  <si>
    <r>
      <t xml:space="preserve">03/11/2005 </t>
    </r>
    <r>
      <rPr>
        <sz val="8"/>
        <rFont val="Arial"/>
        <family val="2"/>
      </rPr>
      <t>31/05/2006</t>
    </r>
  </si>
  <si>
    <t>S Herath, Project Services</t>
  </si>
  <si>
    <t>Multiple Housing - Type 2 -
Duplex 2 x 3 Bedroom Units</t>
  </si>
  <si>
    <t>Indoor Entertainment (Dance studio) = 106m2</t>
  </si>
  <si>
    <t>2 SP 143409</t>
  </si>
  <si>
    <t>1 dwelling house over 3 lots</t>
  </si>
  <si>
    <t xml:space="preserve">Duplex - 2 x 2 Bedroom </t>
  </si>
  <si>
    <t>S &amp; L Developments Pty Ltd</t>
  </si>
  <si>
    <t>Commercial Business Type 1 - Office 95m² Use Area</t>
  </si>
  <si>
    <t>18 Thomas Street, Noosaville</t>
  </si>
  <si>
    <t>73, 74 &amp; 83 RP 71151</t>
  </si>
  <si>
    <t>IC 757</t>
  </si>
  <si>
    <t>367 MCH 958</t>
  </si>
  <si>
    <t>Graham Matheson</t>
  </si>
  <si>
    <t>Detached House in Rural Settlement Zone 1 X Lot – 1 X Dwelling</t>
  </si>
  <si>
    <t>1 SP 107909</t>
  </si>
  <si>
    <t>570 Black Mountain Road, Ridgewood</t>
  </si>
  <si>
    <t>2 Pandorea Court NOOSAVILLE  QLD  4566</t>
  </si>
  <si>
    <t>186 SP 196520</t>
  </si>
  <si>
    <t>07/1813 (DA)</t>
  </si>
  <si>
    <t>55 RP 76937 (Lot reconfig relates to access easement on 56 RP 76937)</t>
  </si>
  <si>
    <t>Otto G Wiedmann</t>
  </si>
  <si>
    <t>2 RP 212287</t>
  </si>
  <si>
    <t>Sep-08
Stg A = $ 3,266
Stg B = $ 0</t>
  </si>
  <si>
    <t>Leighton Properties Pty Ltd</t>
  </si>
  <si>
    <t>1 Lot
Vacant</t>
  </si>
  <si>
    <t>refer IC 163</t>
  </si>
  <si>
    <t>Paul John Dwyer</t>
  </si>
  <si>
    <t>Coral Homes Qld Pty Ltd</t>
  </si>
  <si>
    <t>Detached House in Rural Settlement Zone 1X Lot – 1X Dwelling</t>
  </si>
  <si>
    <t>CARE Jones Flint &amp; Pike Pty Ltd, PO Box 6, MAROOCHYDORE  QLD  4560</t>
  </si>
  <si>
    <t>Lot 5 Entertainment and Dining –Type 1 - Food and Bev 105m2 Use Area</t>
  </si>
  <si>
    <t>Parks provision in lieu</t>
  </si>
  <si>
    <r>
      <t>Decision Notice</t>
    </r>
    <r>
      <rPr>
        <sz val="8"/>
        <rFont val="Arial"/>
        <family val="2"/>
      </rPr>
      <t xml:space="preserve"> 
</t>
    </r>
    <r>
      <rPr>
        <strike/>
        <sz val="8"/>
        <rFont val="Arial"/>
        <family val="2"/>
      </rPr>
      <t xml:space="preserve">Negoitated Decision Notice </t>
    </r>
    <r>
      <rPr>
        <sz val="8"/>
        <rFont val="Arial"/>
        <family val="2"/>
      </rPr>
      <t xml:space="preserve">
</t>
    </r>
    <r>
      <rPr>
        <strike/>
        <sz val="8"/>
        <rFont val="Arial"/>
        <family val="2"/>
      </rPr>
      <t xml:space="preserve">Amended Negoiated Decision Notice </t>
    </r>
    <r>
      <rPr>
        <sz val="8"/>
        <rFont val="Arial"/>
        <family val="2"/>
      </rPr>
      <t xml:space="preserve">
</t>
    </r>
    <r>
      <rPr>
        <sz val="8"/>
        <color indexed="10"/>
        <rFont val="Arial"/>
        <family val="2"/>
      </rPr>
      <t xml:space="preserve">Change to Existing Approval &amp; </t>
    </r>
    <r>
      <rPr>
        <b/>
        <sz val="8"/>
        <rFont val="Arial"/>
        <family val="2"/>
      </rPr>
      <t>INFRASTRUCTURE CHARGE NOTICE</t>
    </r>
  </si>
  <si>
    <t>Retail Business – Type 2
– Shop &amp; Salon
Vacant (Hardstand
Area)</t>
  </si>
  <si>
    <t>Infrastructure Use - Service
&amp; Utility – Type 3 – Tower 48 m2 Use Area</t>
  </si>
  <si>
    <t>10/0657 (DA)</t>
  </si>
  <si>
    <t xml:space="preserve">Optus </t>
  </si>
  <si>
    <t>CARE Aurecon Australia Pty Ltd
Locked Bag 331
BRISBANE  QLD  4001</t>
  </si>
  <si>
    <t>713 SP 100034</t>
  </si>
  <si>
    <t>nil</t>
  </si>
  <si>
    <t>IC 352</t>
  </si>
  <si>
    <r>
      <t>Castle Bay Constructions</t>
    </r>
    <r>
      <rPr>
        <sz val="8"/>
        <rFont val="Arial"/>
        <family val="2"/>
      </rPr>
      <t xml:space="preserve">
</t>
    </r>
    <r>
      <rPr>
        <strike/>
        <sz val="8"/>
        <rFont val="Arial"/>
        <family val="2"/>
      </rPr>
      <t>Allens Holdings Qld Pty Ltd</t>
    </r>
    <r>
      <rPr>
        <sz val="8"/>
        <rFont val="Arial"/>
        <family val="2"/>
      </rPr>
      <t xml:space="preserve">
Carma Building Group Pty Ltd</t>
    </r>
  </si>
  <si>
    <t>Andrew Craig Johns</t>
  </si>
  <si>
    <t>1 &amp; 2 GTP 574</t>
  </si>
  <si>
    <t>MCU10/2041</t>
  </si>
  <si>
    <t>43 Regatta Circuit, NOOSAVILLE</t>
  </si>
  <si>
    <t>CARE Buckley Vann Town Planning Consultants       PO Box 205 FORTITUDE VALLEY  QLD  4006</t>
  </si>
  <si>
    <t xml:space="preserve">Christina Maree Grubisa </t>
  </si>
  <si>
    <t>Group Housing 1 Dwelling and Lot</t>
  </si>
  <si>
    <t>Des Crawford</t>
  </si>
  <si>
    <r>
      <t>23/07/2007</t>
    </r>
    <r>
      <rPr>
        <sz val="8"/>
        <rFont val="Arial"/>
        <family val="2"/>
      </rPr>
      <t xml:space="preserve">
17/7/09</t>
    </r>
  </si>
  <si>
    <r>
      <t>17/07/2009</t>
    </r>
    <r>
      <rPr>
        <sz val="8"/>
        <rFont val="Arial"/>
        <family val="2"/>
      </rPr>
      <t xml:space="preserve">
17/1/2010</t>
    </r>
  </si>
  <si>
    <t>Negotiated Decision Notice</t>
  </si>
  <si>
    <t>NOTE:</t>
  </si>
  <si>
    <t xml:space="preserve">Service and Utility–Type 1 Depot - 206m² Use Area </t>
  </si>
  <si>
    <t>07/0081 (DA)</t>
  </si>
  <si>
    <t>Mark Jones</t>
  </si>
  <si>
    <t>102 RP 881884</t>
  </si>
  <si>
    <r>
      <t>9/08/2007
1/11/07</t>
    </r>
    <r>
      <rPr>
        <sz val="8"/>
        <rFont val="Arial"/>
        <family val="2"/>
      </rPr>
      <t xml:space="preserve">
</t>
    </r>
    <r>
      <rPr>
        <strike/>
        <sz val="8"/>
        <rFont val="Arial"/>
        <family val="2"/>
      </rPr>
      <t>13/7/09</t>
    </r>
    <r>
      <rPr>
        <sz val="8"/>
        <rFont val="Arial"/>
        <family val="2"/>
      </rPr>
      <t xml:space="preserve">
23/11/09</t>
    </r>
  </si>
  <si>
    <t>Detached house - 1 dwelling</t>
  </si>
  <si>
    <t xml:space="preserve">Duplex Dwelling - 2 x 2 bed units </t>
  </si>
  <si>
    <r>
      <t>Decision Notice Negotiated</t>
    </r>
    <r>
      <rPr>
        <sz val="8"/>
        <rFont val="Arial"/>
        <family val="2"/>
      </rPr>
      <t xml:space="preserve"> Compiled Decision Notice &amp; </t>
    </r>
    <r>
      <rPr>
        <b/>
        <sz val="8"/>
        <rFont val="Arial"/>
        <family val="2"/>
      </rPr>
      <t>INFRASTRUCTURE CHARGE NOTICE</t>
    </r>
  </si>
  <si>
    <t>2 Livistona Drive  DOONAN  QLD  4562</t>
  </si>
  <si>
    <t>Connetivity Pty Ltd</t>
  </si>
  <si>
    <r>
      <t xml:space="preserve">Decision Notice </t>
    </r>
    <r>
      <rPr>
        <sz val="8"/>
        <rFont val="Arial"/>
        <family val="2"/>
      </rPr>
      <t xml:space="preserve">
Change to an Existing Approval &amp; </t>
    </r>
    <r>
      <rPr>
        <b/>
        <sz val="8"/>
        <rFont val="Arial"/>
        <family val="2"/>
      </rPr>
      <t>INFRASTRUCTURE CHARGE NOTICE</t>
    </r>
  </si>
  <si>
    <t>2 RP 65319</t>
  </si>
  <si>
    <t>7 RP 800329</t>
  </si>
  <si>
    <t>PO Box 3407, ROBINA TOWN CENTRE  QLD  4230</t>
  </si>
  <si>
    <t>Vacant (Is remaining foundation block walls from a Lapsed previous uncompleted application)</t>
  </si>
  <si>
    <t>Applicant</t>
  </si>
  <si>
    <t>Detached House in Rural Settlement Zone 2X Lots – 2 X Dwellings</t>
  </si>
  <si>
    <t>20 Tamarine Court, COOROIBAH  QLD  4565</t>
  </si>
  <si>
    <t>Gerhard Pty Ltd &amp; G &amp; J Superfund</t>
  </si>
  <si>
    <t>IC 830</t>
  </si>
  <si>
    <t>16 Southern Cross Parade
SUNRISE BEACH  QLD  4567</t>
  </si>
  <si>
    <t>629 RP 221142</t>
  </si>
  <si>
    <t>3 RP 810712</t>
  </si>
  <si>
    <r>
      <t>Decision Notice</t>
    </r>
    <r>
      <rPr>
        <sz val="8"/>
        <rFont val="Arial"/>
        <family val="2"/>
      </rPr>
      <t xml:space="preserve">
Negotiated Decision Notice</t>
    </r>
  </si>
  <si>
    <t>Decision Notice</t>
  </si>
  <si>
    <t>Cooyar Street  NOOSA HEADS  QLD  4567</t>
  </si>
  <si>
    <t>15 SP 177649</t>
  </si>
  <si>
    <t>2 RP 105734</t>
  </si>
  <si>
    <t>C/- Martoo Consulting P/l, PO Box 1684, Noosa Heads Q 4567</t>
  </si>
  <si>
    <t>Mar-09
Condition  30 = $2,163 In lieu of providing a concrete footpath across the Mary River Road frontage of the site
Condition 31 = $830 In lieu of providing kerb and channel across the Mary River Road frontage of the site</t>
  </si>
  <si>
    <t>Education  Type 3 - Adult  1999m2 Use Area</t>
  </si>
  <si>
    <t>Wellbeing Type 1 - Health 3998m2 Use Area</t>
  </si>
  <si>
    <t>Noosa Shire Council</t>
  </si>
  <si>
    <t xml:space="preserve">1 x detached House </t>
  </si>
  <si>
    <t>CBD Settlers Cove Pty Ltd</t>
  </si>
  <si>
    <t>06/2710 (DA)</t>
  </si>
  <si>
    <t>Current use</t>
  </si>
  <si>
    <r>
      <t xml:space="preserve">Decision Notice &amp;
</t>
    </r>
    <r>
      <rPr>
        <b/>
        <sz val="8"/>
        <rFont val="Arial"/>
        <family val="2"/>
      </rPr>
      <t>INFRASTRUCTURE CHARGE</t>
    </r>
  </si>
  <si>
    <t xml:space="preserve">Vacant </t>
  </si>
  <si>
    <t xml:space="preserve">Albert D Martin </t>
  </si>
  <si>
    <t>4/10 Venture Drive, Noosaville</t>
  </si>
  <si>
    <t>Entertaining &amp; Dining Business – Type 1, Food &amp; Beverages (50 m²)</t>
  </si>
  <si>
    <t>2 x 3 bed units</t>
  </si>
  <si>
    <t>3 Production Street, Noosaville</t>
  </si>
  <si>
    <t>07/1218</t>
  </si>
  <si>
    <t>Peter Hull Architect Pty Ltd</t>
  </si>
  <si>
    <t>1 SP 188234 &amp; 5 SP 188234</t>
  </si>
  <si>
    <t>108 SP 157115</t>
  </si>
  <si>
    <t>45 Reserve Street POMONA, 43 Reserve Street POMONA</t>
  </si>
  <si>
    <t>CARE Martoo Consulting Pty Ltd
PO Box 1684
NOOSA HEADS  QLD  4567</t>
  </si>
  <si>
    <t>18 Kingfisher Drive Peregian Beach</t>
  </si>
  <si>
    <t>185 Cooroy Belli Creek Road, COOROY  QLD  4563</t>
  </si>
  <si>
    <t>Commercial Business Type 2 - Medical 2 Consulting Rooms</t>
  </si>
  <si>
    <t>Donald James Colston</t>
  </si>
  <si>
    <t>Date Paid</t>
  </si>
  <si>
    <t>1 lot</t>
  </si>
  <si>
    <t>c-/ Urban Strategies, PO Box 939, Maroochydore Q 4558</t>
  </si>
  <si>
    <r>
      <t>21/06/2010</t>
    </r>
    <r>
      <rPr>
        <sz val="8"/>
        <rFont val="Arial"/>
        <family val="2"/>
      </rPr>
      <t xml:space="preserve">
16/8/2010</t>
    </r>
  </si>
  <si>
    <t>84 M 11112</t>
  </si>
  <si>
    <t>Bunnings Properties Pty Ltd</t>
  </si>
  <si>
    <r>
      <t xml:space="preserve">Decision Notice </t>
    </r>
    <r>
      <rPr>
        <sz val="8"/>
        <rFont val="Arial"/>
        <family val="2"/>
      </rPr>
      <t xml:space="preserve">
Negotiated Decision Notice &amp; </t>
    </r>
    <r>
      <rPr>
        <b/>
        <sz val="8"/>
        <rFont val="Arial"/>
        <family val="2"/>
      </rPr>
      <t>INFRASTRUCTURE CHARGE NOTICE</t>
    </r>
  </si>
  <si>
    <t>IC 328</t>
  </si>
  <si>
    <t>25 Grant Street, Noosa Heads</t>
  </si>
  <si>
    <t>7 SP 179879</t>
  </si>
  <si>
    <t>1 SP 141238</t>
  </si>
  <si>
    <r>
      <t>Decision Notice</t>
    </r>
    <r>
      <rPr>
        <sz val="8"/>
        <rFont val="Arial"/>
        <family val="2"/>
      </rPr>
      <t xml:space="preserve">
Change to an Existing Approval &amp; </t>
    </r>
    <r>
      <rPr>
        <b/>
        <sz val="8"/>
        <rFont val="Arial"/>
        <family val="2"/>
      </rPr>
      <t>INFRASTRUCTURE CHARGE NOTICE</t>
    </r>
  </si>
  <si>
    <t>William Greenwood</t>
  </si>
  <si>
    <t>IC 804</t>
  </si>
  <si>
    <t>1/1 Eugarie Street, Noosa Heads</t>
  </si>
  <si>
    <t>18046 DA    (1999/982946)</t>
  </si>
  <si>
    <t>Jim Cooney &amp; Paul Dempsey</t>
  </si>
  <si>
    <t>Warehouse - 206m² Use Area</t>
  </si>
  <si>
    <r>
      <t>C/- Ryter Planning P/L PO Box 5872 Maroochydore 4558</t>
    </r>
    <r>
      <rPr>
        <sz val="8"/>
        <rFont val="Arial"/>
        <family val="2"/>
      </rPr>
      <t xml:space="preserve">
PO Box 1923
NOOSA HEADS  QLD  4567</t>
    </r>
  </si>
  <si>
    <t>2 RP 865533</t>
  </si>
  <si>
    <t>5 SP 230643</t>
  </si>
  <si>
    <t>2 Halse Lane, Noosa Heads</t>
  </si>
  <si>
    <t>Blue</t>
  </si>
  <si>
    <t>IC Charge (Ch 5 IPA) =</t>
  </si>
  <si>
    <t xml:space="preserve">Bennett Architects &amp; Associates Pty Ltd </t>
  </si>
  <si>
    <t>1 x Dwelling house plus Home Based Business Type 3 Significant Scale (Equestrian / Horse Riding School)  20 students per wk</t>
  </si>
  <si>
    <t>Dwelling House &amp; Home based business</t>
  </si>
  <si>
    <t>189 dwelling lots 
(stage 3 = 20 lots)</t>
  </si>
  <si>
    <t xml:space="preserve">2/03/2010
</t>
  </si>
  <si>
    <t>2 RP 842149</t>
  </si>
  <si>
    <r>
      <t>Complied Decision Notice</t>
    </r>
    <r>
      <rPr>
        <sz val="8"/>
        <rFont val="Arial"/>
        <family val="2"/>
      </rPr>
      <t xml:space="preserve">
Change to an Existing Approval &amp; </t>
    </r>
    <r>
      <rPr>
        <strike/>
        <sz val="8"/>
        <rFont val="Arial"/>
        <family val="2"/>
      </rPr>
      <t xml:space="preserve">Replacement </t>
    </r>
    <r>
      <rPr>
        <sz val="8"/>
        <rFont val="Arial"/>
        <family val="2"/>
      </rPr>
      <t>Infrastructure Charges</t>
    </r>
  </si>
  <si>
    <r>
      <t xml:space="preserve">Amended Negotiated Decision Notice &amp;
</t>
    </r>
    <r>
      <rPr>
        <b/>
        <sz val="8"/>
        <rFont val="Arial"/>
        <family val="2"/>
      </rPr>
      <t>INFRASTRUCTURE CHARGE</t>
    </r>
  </si>
  <si>
    <t>59 Summit Road POMONA  QLD  4568</t>
  </si>
  <si>
    <t>10 Action Street NOOSAVILLE  QLD  4566</t>
  </si>
  <si>
    <t>09/0843 (DA)</t>
  </si>
  <si>
    <t>1 BUP 102871</t>
  </si>
  <si>
    <t>Detached House 
4 Lots (3 additional lots)</t>
  </si>
  <si>
    <t xml:space="preserve">76 RP 864881 </t>
  </si>
  <si>
    <t>139 Lenehans Lane, Doonan Q 4562</t>
  </si>
  <si>
    <t>3 SP 230643</t>
  </si>
  <si>
    <t>Dwelling House + 
Visitor Accom Type 3 = 1 x 3 Bedroom Cabin + 
1 x 1 Bedroom Cottage</t>
  </si>
  <si>
    <t>Dwelling House</t>
  </si>
  <si>
    <r>
      <t>26/07/2006</t>
    </r>
    <r>
      <rPr>
        <sz val="8"/>
        <rFont val="Arial"/>
        <family val="2"/>
      </rPr>
      <t xml:space="preserve">
17/8/2010</t>
    </r>
  </si>
  <si>
    <r>
      <t>26/07/2010</t>
    </r>
    <r>
      <rPr>
        <sz val="8"/>
        <rFont val="Arial"/>
        <family val="2"/>
      </rPr>
      <t xml:space="preserve">
26/7/2014</t>
    </r>
  </si>
  <si>
    <t>3 GTP 1000987</t>
  </si>
  <si>
    <t>3/27 Ross Crescent 
SUNSHINE BEACH  QLD  4567</t>
  </si>
  <si>
    <r>
      <t xml:space="preserve">0, 1, 2, 3, 4, 5 &amp; 6 BUP 102018 </t>
    </r>
    <r>
      <rPr>
        <sz val="8"/>
        <color indexed="12"/>
        <rFont val="Arial"/>
        <family val="2"/>
      </rPr>
      <t>(this application is only in reference to LOT 5)</t>
    </r>
  </si>
  <si>
    <t>Warren James Ross</t>
  </si>
  <si>
    <t xml:space="preserve">1 &amp; 2 SP 154219 
</t>
  </si>
  <si>
    <t>3 Lanyana Way Noosa Heads</t>
  </si>
  <si>
    <t>Office = 95 m2 Total Use Area</t>
  </si>
  <si>
    <t>Suite7, Level 1, 
63 Primary School Court
MAROOCHYDORE QLD 4558</t>
  </si>
  <si>
    <t>114 Goodwin Street
TEWANTIN  QLD  4565</t>
  </si>
  <si>
    <t>Keith Hopkins</t>
  </si>
  <si>
    <t xml:space="preserve">PO Box 407
NOOSA HEADS  QLD  4567
</t>
  </si>
  <si>
    <t>50 GTP 107028</t>
  </si>
  <si>
    <t>IC 392</t>
  </si>
  <si>
    <t>196 SP 148790</t>
  </si>
  <si>
    <t>10 MCH 3882</t>
  </si>
  <si>
    <t>110 Hilton Terrace 
NOOSAVILLE  QLD 4566</t>
  </si>
  <si>
    <r>
      <t>21/01/2010</t>
    </r>
    <r>
      <rPr>
        <sz val="8"/>
        <rFont val="Arial"/>
        <family val="2"/>
      </rPr>
      <t xml:space="preserve">
18/5/2010</t>
    </r>
  </si>
  <si>
    <r>
      <t>Decision Notice</t>
    </r>
    <r>
      <rPr>
        <sz val="8"/>
        <rFont val="Arial"/>
        <family val="2"/>
      </rPr>
      <t xml:space="preserve"> </t>
    </r>
    <r>
      <rPr>
        <strike/>
        <sz val="8"/>
        <rFont val="Arial"/>
        <family val="2"/>
      </rPr>
      <t>Negotiated Decision Notice</t>
    </r>
    <r>
      <rPr>
        <sz val="8"/>
        <rFont val="Arial"/>
        <family val="2"/>
      </rPr>
      <t xml:space="preserve"> 
Change to an Existing Approval </t>
    </r>
  </si>
  <si>
    <r>
      <t>25/05/2006</t>
    </r>
    <r>
      <rPr>
        <sz val="8"/>
        <rFont val="Arial"/>
        <family val="2"/>
      </rPr>
      <t xml:space="preserve">  </t>
    </r>
    <r>
      <rPr>
        <strike/>
        <sz val="8"/>
        <rFont val="Arial"/>
        <family val="2"/>
      </rPr>
      <t>7/9/2006</t>
    </r>
    <r>
      <rPr>
        <sz val="8"/>
        <rFont val="Arial"/>
        <family val="2"/>
      </rPr>
      <t xml:space="preserve">
24/06/2010</t>
    </r>
  </si>
  <si>
    <t>61 Elanda St Sunshine Beach</t>
  </si>
  <si>
    <t xml:space="preserve">CARE Max Watterson &amp; Associates
PO Box 639
COOROY  QLD  4563
</t>
  </si>
  <si>
    <t>IC 444</t>
  </si>
  <si>
    <t xml:space="preserve">Vanareef Pty Ltd </t>
  </si>
  <si>
    <t>Lot 5 Entertainment and Dining –Type 1 - Food and Bev 97.5m2 Use Area</t>
  </si>
  <si>
    <t>PO Box 3
PEREGIAN BEACH  QLD  4573</t>
  </si>
  <si>
    <t>07/1251 (DA) - Stage 2</t>
  </si>
  <si>
    <t>IC 991</t>
  </si>
  <si>
    <t>PC10/4877</t>
  </si>
  <si>
    <t>73-77 Eumundi Noosa Road
NOOSAVILLE  QLD  4566</t>
  </si>
  <si>
    <t>04/5395 (DA)</t>
  </si>
  <si>
    <t>Community Use – Open
Space – Type 2 Camp
Ground
+
Residential Use - Ancillary
Dwelling Unit (Caretaker’s
Residence)
1 x Scouts Camp
Ground
+
1 x 2 Bedroom unit</t>
  </si>
  <si>
    <t>IC 837</t>
  </si>
  <si>
    <t>Graeme Hutton</t>
  </si>
  <si>
    <t>Sep-08
Stg A = $ 3,233
Stg B = $ 0</t>
  </si>
  <si>
    <t>Humphreys Reynolds Perkins Sunshine Coast</t>
  </si>
  <si>
    <t>PO Box 10447, ADELAIDE STREET BRISBANE  4000</t>
  </si>
  <si>
    <t>Philip Andrew Staley &amp; Michael Collins</t>
  </si>
  <si>
    <t>CARE ERM - Environmental Resources ManagementPO Box 1400SPRING HILL QLD</t>
  </si>
  <si>
    <t>Substation</t>
  </si>
  <si>
    <t>vacant lot</t>
  </si>
  <si>
    <t>1 Lot</t>
  </si>
  <si>
    <t>4 SP 142399</t>
  </si>
  <si>
    <t>Dwelling house</t>
  </si>
  <si>
    <r>
      <t>1/09/2009</t>
    </r>
    <r>
      <rPr>
        <sz val="8"/>
        <rFont val="Arial"/>
        <family val="2"/>
      </rPr>
      <t xml:space="preserve">
1/9/2013</t>
    </r>
  </si>
  <si>
    <t>PAYMENTS</t>
  </si>
  <si>
    <t>Duplex 2 x 3 bed units</t>
  </si>
  <si>
    <t>Noosa Council</t>
  </si>
  <si>
    <r>
      <t>Decision Notice</t>
    </r>
    <r>
      <rPr>
        <sz val="8"/>
        <rFont val="Arial"/>
        <family val="2"/>
      </rPr>
      <t xml:space="preserve">   Compilied Decision Notice</t>
    </r>
  </si>
  <si>
    <r>
      <t>Decision Notice</t>
    </r>
    <r>
      <rPr>
        <sz val="8"/>
        <rFont val="Arial"/>
        <family val="2"/>
      </rPr>
      <t xml:space="preserve"> 
Change to an Existing Approval &amp; I</t>
    </r>
    <r>
      <rPr>
        <b/>
        <sz val="8"/>
        <rFont val="Arial"/>
        <family val="2"/>
      </rPr>
      <t>NFRASTRUCTURE CHARGE NOTICE</t>
    </r>
  </si>
  <si>
    <t>314 Cooroy Mountain Road Cooroy Mountain</t>
  </si>
  <si>
    <t>New Two Space Special Education &amp; Amenities Building - to cater for 12 additional students</t>
  </si>
  <si>
    <t>12 x residential lots &amp; dwelling houses</t>
  </si>
  <si>
    <t>CARE Dillon Folker Stephens Town Planners PO Box 605 MAROOCHYDORE  QLD  4558</t>
  </si>
  <si>
    <t>Multiple Housing - Type 2 – Duplex  1 x 2 Bedroom Unit + 1 x 3 Bedroom Unit</t>
  </si>
  <si>
    <t>44 Ariadne Street, Maryborough Q 4650</t>
  </si>
  <si>
    <t>Sep-06
Condition 31 = A contribution of $1,010 towards the construction of footpaths in the Grant Street local area shall be paid</t>
  </si>
  <si>
    <t>Lot 2 RP 842280</t>
  </si>
  <si>
    <t>IC 910</t>
  </si>
  <si>
    <t>09/1323 (DA)</t>
  </si>
  <si>
    <t>26 Eenie Creek Road
NOOSAVILLE  QLD  4566</t>
  </si>
  <si>
    <t>191522   193465</t>
  </si>
  <si>
    <t>89 SP 158854</t>
  </si>
  <si>
    <t>Thomco No 2087 Pty Ltd</t>
  </si>
  <si>
    <t>IC 967</t>
  </si>
  <si>
    <t>Address</t>
  </si>
  <si>
    <t>PO Box 491, Maroochydore Q 4558</t>
  </si>
  <si>
    <t>16 Armitage Court
NOOSAVILLE  QLD  4566</t>
  </si>
  <si>
    <t>15 Ray Street
SUNSHINE BEACH  QLD  4567</t>
  </si>
  <si>
    <t>4 RP 887628</t>
  </si>
  <si>
    <t>07/0971 (DA)</t>
  </si>
  <si>
    <t xml:space="preserve">Multiple Housing Type 1 Relative or Employee </t>
  </si>
  <si>
    <t>IC 829</t>
  </si>
  <si>
    <r>
      <t>Decision Notice</t>
    </r>
    <r>
      <rPr>
        <sz val="8"/>
        <rFont val="Arial"/>
        <family val="2"/>
      </rPr>
      <t xml:space="preserve">
Change to an Existing Approval</t>
    </r>
  </si>
  <si>
    <t xml:space="preserve">Detached House 
1 Dwelling </t>
  </si>
  <si>
    <t>Vacant lot</t>
  </si>
  <si>
    <t>20081601  BA</t>
  </si>
  <si>
    <t>08/1418 (DA)</t>
  </si>
  <si>
    <t>07/2238 (DA)</t>
  </si>
  <si>
    <t>IC 556</t>
  </si>
  <si>
    <t xml:space="preserve">Alexander Moore </t>
  </si>
  <si>
    <t>7/10 Thomas Street, Noosaville</t>
  </si>
  <si>
    <t xml:space="preserve">Home based business total Use area of 450m² </t>
  </si>
  <si>
    <t>IC 651</t>
  </si>
  <si>
    <t xml:space="preserve">IC 925
</t>
  </si>
  <si>
    <t>234 RP 885235</t>
  </si>
  <si>
    <t>28 Seafarer Ct, Castaways Beach QLD 4567</t>
  </si>
  <si>
    <r>
      <t>LW &amp; KW Harman</t>
    </r>
    <r>
      <rPr>
        <sz val="8"/>
        <rFont val="Arial"/>
        <family val="2"/>
      </rPr>
      <t xml:space="preserve">
Harman Family Trust</t>
    </r>
  </si>
  <si>
    <t>20080217 BA</t>
  </si>
  <si>
    <t>Business Centre Zone 2.084 ha Site Area (Vacant Land)
Note: credit re: 2006/1594  “lot 3SP222982” for:
• Water &amp; Sewer Headworks paid; and 
• Trunk pathway constructed.</t>
  </si>
  <si>
    <r>
      <t>29/03/2007</t>
    </r>
    <r>
      <rPr>
        <sz val="8"/>
        <rFont val="Arial"/>
        <family val="2"/>
      </rPr>
      <t xml:space="preserve">
04/07/2007</t>
    </r>
  </si>
  <si>
    <t>53 Hoy Road Lake Macdonald</t>
  </si>
  <si>
    <t>A Gullick</t>
  </si>
  <si>
    <t xml:space="preserve">
DETAILS</t>
  </si>
  <si>
    <r>
      <t>19/05/2010</t>
    </r>
    <r>
      <rPr>
        <sz val="8"/>
        <rFont val="Arial"/>
        <family val="2"/>
      </rPr>
      <t xml:space="preserve">
19/5/2014</t>
    </r>
  </si>
  <si>
    <t>Previously Paid re 23118 DA rezoning deed R66</t>
  </si>
  <si>
    <t>IC 917</t>
  </si>
  <si>
    <r>
      <t>13/12/2011</t>
    </r>
    <r>
      <rPr>
        <sz val="8"/>
        <rFont val="Arial"/>
        <family val="2"/>
      </rPr>
      <t xml:space="preserve">
17/02/2014</t>
    </r>
  </si>
  <si>
    <t>6 SP 230643</t>
  </si>
  <si>
    <t>10 SP 230643</t>
  </si>
  <si>
    <t>IC 943</t>
  </si>
  <si>
    <t>20080730 BA</t>
  </si>
  <si>
    <t>Piercy Investments Pty Ltd</t>
  </si>
  <si>
    <t>IC 941</t>
  </si>
  <si>
    <t xml:space="preserve">0 &amp; 7 SP 100808 </t>
  </si>
  <si>
    <t>PO Box 240, ZILLMERE  QLD  4034</t>
  </si>
  <si>
    <t>Pots &amp; Ponds</t>
  </si>
  <si>
    <t>Coastal Modern Living</t>
  </si>
  <si>
    <t>85 Poinciana Ave, TEWANTIN</t>
  </si>
  <si>
    <t>Arquitettura Pty Ltd</t>
  </si>
  <si>
    <t xml:space="preserve">40 Cooroibah Cres, TEWANTIN QLD </t>
  </si>
  <si>
    <t>IC 269</t>
  </si>
  <si>
    <t>IC 270</t>
  </si>
  <si>
    <t>13 SP 170295</t>
  </si>
  <si>
    <t xml:space="preserve">Elizabeth C Beaumont &amp; Richard N Beaumont </t>
  </si>
  <si>
    <t>Suncity Living Homes Pty Ltd</t>
  </si>
  <si>
    <t>06/1977 (DA)</t>
  </si>
  <si>
    <t>John Townsend</t>
  </si>
  <si>
    <t>Multiple Housing - Type 2 – Duplex  2 x 2 Bedroom Units</t>
  </si>
  <si>
    <t>PC11/1088</t>
  </si>
  <si>
    <t>IC 913</t>
  </si>
  <si>
    <t>20091668 BA</t>
  </si>
  <si>
    <t>Style Construction</t>
  </si>
  <si>
    <t>IC 532</t>
  </si>
  <si>
    <t>Beckmans Rd, Noosaville</t>
  </si>
  <si>
    <t xml:space="preserve">Decision Notice </t>
  </si>
  <si>
    <t>J Jordan</t>
  </si>
  <si>
    <t>Building E on Lot 5  1,184 m2 ua</t>
  </si>
  <si>
    <t>File Ref</t>
  </si>
  <si>
    <t>c/- Martoo Consulting Pty LtdPO Box 1684NOOSA HEADS  QLD  4567</t>
  </si>
  <si>
    <t>IC 553</t>
  </si>
  <si>
    <t xml:space="preserve">Palander Corporation Pty Ltd </t>
  </si>
  <si>
    <t>Comments</t>
  </si>
  <si>
    <t>Building K on Lot 11 Education - Adult 363m² ua
(50 students)</t>
  </si>
  <si>
    <t>Building J on Lot 10  1,039 m2 ua</t>
  </si>
  <si>
    <t>Building I on Lot 9  791 m2 ua</t>
  </si>
  <si>
    <t>Building H on Lot 8  939 m2 ua</t>
  </si>
  <si>
    <t>PO Box 416, POMONA QLD 4568</t>
  </si>
  <si>
    <t>462 MCH 4836</t>
  </si>
  <si>
    <t>1/13 Garnet Street  COOROY  QLD  4563</t>
  </si>
  <si>
    <t>12/07/2006   21/7/06</t>
  </si>
  <si>
    <t>IC 831</t>
  </si>
  <si>
    <t>Gang Xiong Zheng</t>
  </si>
  <si>
    <t>08/1985 (DA)</t>
  </si>
  <si>
    <t>Light Industry = 165m2</t>
  </si>
  <si>
    <t>Indoor entertainment 165m2 (Dance Studio)</t>
  </si>
  <si>
    <t>vacant</t>
  </si>
  <si>
    <t>CARE Martoo Consulting Pty Ltd PO Box 1684 NOOSA HEADS  QLD  4567</t>
  </si>
  <si>
    <t>24 Gympie Kin Kin Road KIN KIN  QLD  4571</t>
  </si>
  <si>
    <t>3 RP 230239</t>
  </si>
  <si>
    <t>24 Gympie Kin Kin Road, Kin Kin</t>
  </si>
  <si>
    <t>20082068 BA</t>
  </si>
  <si>
    <t xml:space="preserve">MCU &amp; Lot Reconfig </t>
  </si>
  <si>
    <t>9 Tropicana Rise
CASTAWAYS BEACH  QLD  4567</t>
  </si>
  <si>
    <t>Susan Barbara Short</t>
  </si>
  <si>
    <t>50 RP 136461</t>
  </si>
  <si>
    <r>
      <t>2/03/2006    27/7/2006</t>
    </r>
    <r>
      <rPr>
        <sz val="8"/>
        <rFont val="Arial"/>
        <family val="2"/>
      </rPr>
      <t xml:space="preserve">
16/02/2007</t>
    </r>
  </si>
  <si>
    <t>COUNCIL APPROVAL</t>
  </si>
  <si>
    <t>Vasterby Pty Ltd</t>
  </si>
  <si>
    <t>3 Coronet Street
PEREGIAN BEACH QLD 4573</t>
  </si>
  <si>
    <r>
      <t>30/11/2006</t>
    </r>
    <r>
      <rPr>
        <sz val="8"/>
        <rFont val="Arial"/>
        <family val="2"/>
      </rPr>
      <t xml:space="preserve">
29/03/2007</t>
    </r>
  </si>
  <si>
    <t>15/11/2007
22/11/07</t>
  </si>
  <si>
    <t>349003
350185</t>
  </si>
  <si>
    <t>75 Ben Lexcen Dr, Sunshine Beach</t>
  </si>
  <si>
    <t xml:space="preserve">existing education </t>
  </si>
  <si>
    <t>IC 970</t>
  </si>
  <si>
    <t>09/1025 (DA)</t>
  </si>
  <si>
    <t>AG Jones &amp; GL Hennig</t>
  </si>
  <si>
    <t>CARE Martoo Consulting Pty  Ltd
PO Box 1684
NOOSA HEADS  QLD  4567</t>
  </si>
  <si>
    <t>Decision Notice - Change to existing approval</t>
  </si>
  <si>
    <t xml:space="preserve">Kevin &amp; Kathleen Anschau </t>
  </si>
  <si>
    <t>IC 268</t>
  </si>
  <si>
    <t>PO Box 673, Toowong, QLD 4066</t>
  </si>
  <si>
    <t>33 Resolute St, Sunrise Beach, QLD 4567</t>
  </si>
  <si>
    <t>PO BOX 1248
BUDDINA
QLD  4575</t>
  </si>
  <si>
    <t>Dall Designer Homes</t>
  </si>
  <si>
    <t>K. Tattersall &amp; I. Tattersall</t>
  </si>
  <si>
    <r>
      <t>Decision Notice</t>
    </r>
    <r>
      <rPr>
        <sz val="8"/>
        <rFont val="Arial"/>
        <family val="2"/>
      </rPr>
      <t xml:space="preserve">
Negoitated Decision Notice </t>
    </r>
  </si>
  <si>
    <r>
      <t>7/07/2008</t>
    </r>
    <r>
      <rPr>
        <sz val="8"/>
        <rFont val="Arial"/>
        <family val="2"/>
      </rPr>
      <t xml:space="preserve">
9/9/09</t>
    </r>
  </si>
  <si>
    <t>David Snowden</t>
  </si>
  <si>
    <t>09/1261 (DA)</t>
  </si>
  <si>
    <t>Detached House
1 x Vacant Lot</t>
  </si>
  <si>
    <t>Detached House
2 x Vacant Lots</t>
  </si>
  <si>
    <t>47 SP 152229</t>
  </si>
  <si>
    <t>9 Cooroibah Crescent
TEWANTIN  QLD  4565</t>
  </si>
  <si>
    <t>4RP851934, 1SP120423, 5&amp;99SP162070, 110SP104283, 1015NPW888</t>
  </si>
  <si>
    <t>CARE Dillon Folker Stephen Town PlannersPO Box 605MAROOCHYDORE  QLD  4558</t>
  </si>
  <si>
    <t>20050100 BA</t>
  </si>
  <si>
    <t>1 SP 218728</t>
  </si>
  <si>
    <t>2 Wallace Ave, Toorak Vic 3142</t>
  </si>
  <si>
    <t>20070532 (BA)</t>
  </si>
  <si>
    <t>J Cleary</t>
  </si>
  <si>
    <t>2 lots (1 additional)</t>
  </si>
  <si>
    <t>Bld C on Lot 3</t>
  </si>
  <si>
    <t>Bld F on Lot 6</t>
  </si>
  <si>
    <r>
      <t>Extension of Time lodged</t>
    </r>
    <r>
      <rPr>
        <b/>
        <sz val="8"/>
        <rFont val="Arial"/>
        <family val="2"/>
      </rPr>
      <t xml:space="preserve">
INFRASTRUCTURE CHARGE NOTICE</t>
    </r>
  </si>
  <si>
    <t>38 RP 913605</t>
  </si>
  <si>
    <t>Telstra Corporation Pty Ltd</t>
  </si>
  <si>
    <t>Multiple Housing - Type 2 – Duplex = 2 x 3 bed units</t>
  </si>
  <si>
    <t>Stephen Dunn Constructions Pty Ltd</t>
  </si>
  <si>
    <t>PO Box 419 Noosa Heads, QLD 4567</t>
  </si>
  <si>
    <t>222 CP 897235</t>
  </si>
  <si>
    <t>Type 2 Medical 80m2 (1 consultation room)</t>
  </si>
  <si>
    <t>Detached House+Multiple Housing - Type 1 – Relative or Employee   1 x Detached House +1x1 bedroom unit</t>
  </si>
  <si>
    <t>Retail Business - Type 2 -
Shop &amp; Salon 220 m2 use area</t>
  </si>
  <si>
    <t xml:space="preserve">Jun-10
</t>
  </si>
  <si>
    <t>07/1841 DA (Changes)</t>
  </si>
  <si>
    <t>Dwelling</t>
  </si>
  <si>
    <t>C/- Noosa Town Planning, PO Box 334 Tewantin 4565</t>
  </si>
  <si>
    <r>
      <t>3/10/2007</t>
    </r>
    <r>
      <rPr>
        <sz val="8"/>
        <rFont val="Arial"/>
        <family val="2"/>
      </rPr>
      <t xml:space="preserve">
20/8/09</t>
    </r>
  </si>
  <si>
    <t>IC 906</t>
  </si>
  <si>
    <t>20091655 BA</t>
  </si>
  <si>
    <t>PO Box 1712
NOOSAVILLE DC  QLD  4566</t>
  </si>
  <si>
    <t>29 SP 163309</t>
  </si>
  <si>
    <t>Home Based Business - Timber Joinery</t>
  </si>
  <si>
    <t>Detail</t>
  </si>
  <si>
    <t>IC 448</t>
  </si>
  <si>
    <t>Nearcastle Pty Ltd</t>
  </si>
  <si>
    <t>814 SP 102579</t>
  </si>
  <si>
    <t>Grant Raymond Davis</t>
  </si>
  <si>
    <t>538 P 93121</t>
  </si>
  <si>
    <t>Detached House 1 Lot &amp; Dwelling House</t>
  </si>
  <si>
    <t>Detached House 2 Lots &amp; Dwelling Houses</t>
  </si>
  <si>
    <t>189 dwelling lots 
(stage 6C = 5 lots)</t>
  </si>
  <si>
    <t>189 dwelling lots 
(stage 6B = 6 lots)</t>
  </si>
  <si>
    <t>IC 1009
rev 0</t>
  </si>
  <si>
    <t>IC 1011
Rev 0</t>
  </si>
  <si>
    <t>IC 1012
Rev 0</t>
  </si>
  <si>
    <t>4 SP 139160</t>
  </si>
  <si>
    <t>Jun-10
(typing error made - issued $25,750 should have been $2,294)</t>
  </si>
  <si>
    <r>
      <t xml:space="preserve">June 07
Condition 25 = Construct path along frontage </t>
    </r>
    <r>
      <rPr>
        <u/>
        <sz val="8"/>
        <rFont val="Arial"/>
        <family val="2"/>
      </rPr>
      <t>or</t>
    </r>
    <r>
      <rPr>
        <sz val="8"/>
        <rFont val="Arial"/>
        <family val="2"/>
      </rPr>
      <t xml:space="preserve"> alternatively pay $2,740 contribution
towards the construction of footpaths in the Robert Street local area</t>
    </r>
  </si>
  <si>
    <t>CARE Martoo Consulting Pty  Ltd
PO Box 1684
NOOSA HEADS  QLD  4568</t>
  </si>
  <si>
    <t>671 RP 225123</t>
  </si>
  <si>
    <t>75 Southern Cross Parade
SUNRISE BEACH  QLD  4567</t>
  </si>
  <si>
    <t>TOTALS ISSUED =</t>
  </si>
  <si>
    <t>73 P 9313</t>
  </si>
  <si>
    <t>Cnr Mary &amp; Thomas St Noosaville QLD 4566</t>
  </si>
  <si>
    <r>
      <t>Preliminary</t>
    </r>
    <r>
      <rPr>
        <sz val="8"/>
        <rFont val="Arial"/>
        <family val="2"/>
      </rPr>
      <t xml:space="preserve"> </t>
    </r>
    <r>
      <rPr>
        <strike/>
        <sz val="8"/>
        <rFont val="Arial"/>
        <family val="2"/>
      </rPr>
      <t>Negotiated</t>
    </r>
    <r>
      <rPr>
        <sz val="8"/>
        <rFont val="Arial"/>
        <family val="2"/>
      </rPr>
      <t xml:space="preserve"> Decision Notice Ministerial Call-in dated 6/3/06 &amp; </t>
    </r>
    <r>
      <rPr>
        <b/>
        <sz val="8"/>
        <rFont val="Arial"/>
        <family val="2"/>
      </rPr>
      <t xml:space="preserve">INFRASTRUCTURE CHARGE NOTICE </t>
    </r>
    <r>
      <rPr>
        <b/>
        <strike/>
        <sz val="8"/>
        <rFont val="Arial"/>
        <family val="2"/>
      </rPr>
      <t>rev 1</t>
    </r>
    <r>
      <rPr>
        <b/>
        <sz val="8"/>
        <rFont val="Arial"/>
        <family val="2"/>
      </rPr>
      <t xml:space="preserve"> rev2</t>
    </r>
  </si>
  <si>
    <t>Multiple Housing - Type 2 Duplex  2 x 3 Bedroom Units</t>
  </si>
  <si>
    <t>IC 716</t>
  </si>
  <si>
    <t>20060911 BA</t>
  </si>
  <si>
    <r>
      <t>I</t>
    </r>
    <r>
      <rPr>
        <b/>
        <sz val="8"/>
        <rFont val="Arial"/>
        <family val="2"/>
      </rPr>
      <t>NFRASTRUCTURE CHARGE NOTICE</t>
    </r>
  </si>
  <si>
    <t>Light Industry</t>
  </si>
  <si>
    <t>Commercial Services (calculated under Noosa Plan use - Office)</t>
  </si>
  <si>
    <r>
      <t>$1,180 at June 08 CPI</t>
    </r>
    <r>
      <rPr>
        <sz val="8"/>
        <rFont val="Arial"/>
        <family val="2"/>
      </rPr>
      <t xml:space="preserve">
Mar-09</t>
    </r>
  </si>
  <si>
    <t>7 RP 844434</t>
  </si>
  <si>
    <t>06/0947 (DA)</t>
  </si>
  <si>
    <t>4 Wattlebird Drive, Doonan</t>
  </si>
  <si>
    <t>Mark Bain Constructions Pty Ltd</t>
  </si>
  <si>
    <t>20082080 BA</t>
  </si>
  <si>
    <t>MCU</t>
  </si>
  <si>
    <t xml:space="preserve">Detached House 2 x Lots &amp; houses
(existing lot 74 RP71151 &amp;  proposed lot 3 approved per 23686 DA)
</t>
  </si>
  <si>
    <t>Detached  House 4 x Lots &amp; houses</t>
  </si>
  <si>
    <t>CARE Downes Survey GroupPO Box 39NAMBOUR  QLD  4560</t>
  </si>
  <si>
    <t>Matthew &amp; Tina Lutter</t>
  </si>
  <si>
    <t>1 SP 182880 (part)
(on Proposed lot 2 re lot reconfig 2006/1594)</t>
  </si>
  <si>
    <t>20080684 BA</t>
  </si>
  <si>
    <t>20090497 BA</t>
  </si>
  <si>
    <t>IC 870</t>
  </si>
  <si>
    <t>IC 871</t>
  </si>
  <si>
    <t>Greg Henson</t>
  </si>
  <si>
    <t>18 Residential Lots 18 Residential Lots +
Park</t>
  </si>
  <si>
    <t xml:space="preserve">Duplex - 1 x 2 bedroom &amp; 1 x 3 bedroom </t>
  </si>
  <si>
    <t>Restaurant</t>
  </si>
  <si>
    <t>Industrial Business – Type 2 Production, alteration, repackaging and repairing 878m2 Use Area</t>
  </si>
  <si>
    <t>09/1490 (DA)</t>
  </si>
  <si>
    <t>9 BUP 7515</t>
  </si>
  <si>
    <t>Multiple Housing - Type 2 -
Duplex 2 x 4 bedroom units</t>
  </si>
  <si>
    <t xml:space="preserve">CARE Dillon Folker Stephens Town Planners
PO Box 605
MAROOCHYDORE  QLD  4558
</t>
  </si>
  <si>
    <t>Lake Macdonald Drive 
LAKE MACDONALD  QLD 4563</t>
  </si>
  <si>
    <t>118 MCH 814</t>
  </si>
  <si>
    <t>Change to Existing Approval</t>
  </si>
  <si>
    <t>IC 705 
Rev 1</t>
  </si>
  <si>
    <t xml:space="preserve">Mar-11
</t>
  </si>
  <si>
    <t>Retail Business – Type 4 – Showroom  400m2 Use Area</t>
  </si>
  <si>
    <t>Ozz Homes Pty Ltd</t>
  </si>
  <si>
    <t>PO Box 9213
PACIFIC PARADISE  QLD  4564</t>
  </si>
  <si>
    <t xml:space="preserve">Wellclose Pastoral Company </t>
  </si>
  <si>
    <t>PO Box 210, Burpengary, Q 4505</t>
  </si>
  <si>
    <t>Detached House(Rural settlement zone) 
1 Dwelling</t>
  </si>
  <si>
    <t>40 Wright Street HURTSVILLE  NSW  2220</t>
  </si>
  <si>
    <t xml:space="preserve">1 lot </t>
  </si>
  <si>
    <t>153 Shorehaven Drive 
NOOSAVILLE  QLD  
4566</t>
  </si>
  <si>
    <t>42 Pelican Street
PEREGIAN BEACH  QLD  4573</t>
  </si>
  <si>
    <t>Multiple Housing - Type 4 – Conventional  1 x 3 Bedroom Unit and2 x 2 Bedroom Units</t>
  </si>
  <si>
    <t>68 SP 157115</t>
  </si>
  <si>
    <t>Gary Francis Martin</t>
  </si>
  <si>
    <t>CARE KHA Development Managers
PO Box 6380
MAROOCHYDORE BC  QLD  4559</t>
  </si>
  <si>
    <t>452 RP 48112</t>
  </si>
  <si>
    <t>05/2235 (DA)</t>
  </si>
  <si>
    <t>cross check =</t>
  </si>
  <si>
    <t>School</t>
  </si>
  <si>
    <t xml:space="preserve">Australia Post </t>
  </si>
  <si>
    <t>55 T 16321</t>
  </si>
  <si>
    <t>1 Lot &amp; Dwelling House</t>
  </si>
  <si>
    <t>20 Lots &amp; Dwelling Houses</t>
  </si>
  <si>
    <t>Vacant 1 x Vacant Lot</t>
  </si>
  <si>
    <t>1 RP 124556</t>
  </si>
  <si>
    <t>Detached House x 1</t>
  </si>
  <si>
    <r>
      <t>PO Box 55 Noosaville, Q 4566</t>
    </r>
    <r>
      <rPr>
        <sz val="8"/>
        <rFont val="Arial"/>
        <family val="2"/>
      </rPr>
      <t xml:space="preserve">
</t>
    </r>
    <r>
      <rPr>
        <strike/>
        <sz val="8"/>
        <rFont val="Arial"/>
        <family val="2"/>
      </rPr>
      <t>PO Box 1040, Noosaville, Q 4566</t>
    </r>
    <r>
      <rPr>
        <sz val="8"/>
        <rFont val="Arial"/>
        <family val="2"/>
      </rPr>
      <t xml:space="preserve">
Suite 2/199 Gympie Terrace
NOOSAVILLE  QLD  4566
</t>
    </r>
  </si>
  <si>
    <t>MCU &amp; Opp Works</t>
  </si>
  <si>
    <t>Building G on Lot 7  791 m2 ua</t>
  </si>
  <si>
    <t>M Ford</t>
  </si>
  <si>
    <t>Multiple Housing - Type 4 – Conventional  (Detached house within a group title subdivision) 23 x 3 Bedroom Units</t>
  </si>
  <si>
    <t>Sunshine Beach Constructions Pty Ltd</t>
  </si>
  <si>
    <t>09/1509 (DA)</t>
  </si>
  <si>
    <t>Andree Marcelle Stark</t>
  </si>
  <si>
    <t>1 RP 198277</t>
  </si>
  <si>
    <t>2 x 3 bedroom units</t>
  </si>
  <si>
    <t>0 GTP 101849</t>
  </si>
  <si>
    <t>IC 418</t>
  </si>
  <si>
    <t>42 Poinciana Avenue
TEWANTIN QLD 4565</t>
  </si>
  <si>
    <t>IC 953</t>
  </si>
  <si>
    <t>09/1061 (DA)</t>
  </si>
  <si>
    <t>Burell Pty Ltd</t>
  </si>
  <si>
    <t xml:space="preserve">PO Box 486 
POMONA  QLD  4568
</t>
  </si>
  <si>
    <t>Christopher Andrew Bailey &amp; Terazeal Pty Ltd</t>
  </si>
  <si>
    <t>MCU 
(change to existing approval)</t>
  </si>
  <si>
    <t>Decision Notice &amp;
INFRASTRUCTURE CHARGE NOTICE</t>
  </si>
  <si>
    <t>PO Box 1810, Noosaville DC Q 4566</t>
  </si>
  <si>
    <t>PO Box 1923
NOOSA HEADS  QLD  4567</t>
  </si>
  <si>
    <r>
      <t>4 SP 100064 (proposed lot 8)</t>
    </r>
    <r>
      <rPr>
        <sz val="8"/>
        <rFont val="Arial"/>
        <family val="2"/>
      </rPr>
      <t xml:space="preserve">
8 SP 195871</t>
    </r>
  </si>
  <si>
    <t>24 Lots/Dwelling Houses</t>
  </si>
  <si>
    <t>IC 820</t>
  </si>
  <si>
    <t>Business Centre Zone 2.78 ha Site Area(Vacant Land)
(Note: Water and Sewer Headworks credit per 2006/1594)</t>
  </si>
  <si>
    <t>2 RP 114684</t>
  </si>
  <si>
    <t>1 RP 75735</t>
  </si>
  <si>
    <t>Annette louise Warner &amp; Camille Frances Hendrie</t>
  </si>
  <si>
    <t>Multiple Housing - Type 4 – Conventional  6 x 2 Bedroom Units</t>
  </si>
  <si>
    <t>IC 935</t>
  </si>
  <si>
    <t>20100618 BA</t>
  </si>
  <si>
    <t>30 Project Avenue  NOOSAVILLE  QLD  4566</t>
  </si>
  <si>
    <t>Existing Development – Industrial Type 2 121m2</t>
  </si>
  <si>
    <t>Light Industry = 106m2</t>
  </si>
  <si>
    <r>
      <t xml:space="preserve">Decision Notice </t>
    </r>
    <r>
      <rPr>
        <sz val="8"/>
        <rFont val="Arial"/>
        <family val="2"/>
      </rPr>
      <t xml:space="preserve">
</t>
    </r>
    <r>
      <rPr>
        <strike/>
        <sz val="8"/>
        <rFont val="Arial"/>
        <family val="2"/>
      </rPr>
      <t>Negotiated Decision Notice</t>
    </r>
    <r>
      <rPr>
        <sz val="8"/>
        <rFont val="Arial"/>
        <family val="2"/>
      </rPr>
      <t xml:space="preserve"> 
Change to an Existing Approval &amp; </t>
    </r>
    <r>
      <rPr>
        <b/>
        <sz val="8"/>
        <rFont val="Arial"/>
        <family val="2"/>
      </rPr>
      <t>INFRASTRUCTURE CHARGE NOTICE</t>
    </r>
  </si>
  <si>
    <t>16 MCH 5387</t>
  </si>
  <si>
    <t>05/2342 (DA)</t>
  </si>
  <si>
    <t>09/0515 (DA)</t>
  </si>
  <si>
    <t>Ms C Percy</t>
  </si>
  <si>
    <t xml:space="preserve">28 Kooralbyn Court
NAMBOUR  QLD  4560
</t>
  </si>
  <si>
    <t>43 &amp; 45 Tewantin Road 
COOROY  QLD  4563</t>
  </si>
  <si>
    <t xml:space="preserve">112 &amp; 113 C 5604, </t>
  </si>
  <si>
    <t>6 RP 810725</t>
  </si>
  <si>
    <t xml:space="preserve">338 P 93113 </t>
  </si>
  <si>
    <t>73 Southern Cross Parade
SUNRISE BEACH  QLD  4567</t>
  </si>
  <si>
    <t>672 RP 225123</t>
  </si>
  <si>
    <t>PO Box 392 FORTITUDE VALLEY  QLD  4006</t>
  </si>
  <si>
    <t>450 Eumundi Noosa Road 
DOONAN  QLD  4562</t>
  </si>
  <si>
    <t>G &amp; M Consultants Pty Ltd</t>
  </si>
  <si>
    <t>Commercial Business - Type 2 Medical 
5 consulting rooms = 242m² Use Area</t>
  </si>
  <si>
    <t>Multiple Housing - Type 2 – Duplex  2 x 3 Bedroom Units</t>
  </si>
  <si>
    <t>05/1962 (DA)</t>
  </si>
  <si>
    <t xml:space="preserve">Professional Offices 308 m2, Showroom 201 m2, Professional Offices  / Medical 176 m2  - Total =  685m2 </t>
  </si>
  <si>
    <t>1 x Vacant Lot</t>
  </si>
  <si>
    <r>
      <t>4 SP 100064 (proposed Lot 7)</t>
    </r>
    <r>
      <rPr>
        <sz val="8"/>
        <rFont val="Arial"/>
        <family val="2"/>
      </rPr>
      <t xml:space="preserve">
7 SP 195871</t>
    </r>
  </si>
  <si>
    <r>
      <t>Serenity Close Noosa Heads</t>
    </r>
    <r>
      <rPr>
        <sz val="8"/>
        <rFont val="Arial"/>
        <family val="2"/>
      </rPr>
      <t xml:space="preserve">
12 Serenity Close
NOOSA HEADS  QLD  4567</t>
    </r>
  </si>
  <si>
    <t>Glen Watson Building &amp; Design</t>
  </si>
  <si>
    <t>Mark Bain Constructions</t>
  </si>
  <si>
    <t>Q Build - Wide Bay Region</t>
  </si>
  <si>
    <t>324 RP 48111</t>
  </si>
  <si>
    <t>Commercial Services, Shop, Caretaker’s Residence</t>
  </si>
  <si>
    <t xml:space="preserve">27 RP 89506          (112 SP 151410  </t>
  </si>
  <si>
    <t>PO Box 1355, Gosford, NSW 2250</t>
  </si>
  <si>
    <t xml:space="preserve">CARE Martoo Consulting Pty Ltd
PO Box 1684
NOOSA HEADS  QLD  4567
</t>
  </si>
  <si>
    <t>CARE KHA Development Manager
PO Box 6380
MAROOCHYDORE DC  QLD  4558</t>
  </si>
  <si>
    <t>Entertainment &amp; Dining
Business - Type 1 - Food
&amp; Beverages
247 m2 Use Area
Business - Retail
Business - Type 7 -
Garden Centre
1,399 m2 Use Area</t>
  </si>
  <si>
    <t>4 SP 230643</t>
  </si>
  <si>
    <t>17 Nannygai St, Noosaville (Lot reconfig relates to access easement on 19 Nannygai St)</t>
  </si>
  <si>
    <t>06/1793 (DA)</t>
  </si>
  <si>
    <t>c/- Max Watterson &amp; Associates, PO Box 639, COOROY  QLD  4563</t>
  </si>
  <si>
    <t>1/31 Noosa Parade
NOOSAVILLE  QLD  4566</t>
  </si>
  <si>
    <t>PAID</t>
  </si>
  <si>
    <t>21 SP 161948</t>
  </si>
  <si>
    <t>20 River Road, Tewantin</t>
  </si>
  <si>
    <t>Building D on Lot 4  791 m2 ua</t>
  </si>
  <si>
    <t>Building C on Lot 3  939 m2 ua</t>
  </si>
  <si>
    <t>163 RP 897370</t>
  </si>
  <si>
    <t>28 Hastings Street 
NOOSA HEADS  QLD  4567</t>
  </si>
  <si>
    <t>2 Lots</t>
  </si>
  <si>
    <t>183 Shorehaven Drive
NOOSAVILLE  QLD  4566</t>
  </si>
  <si>
    <t>10 &amp; 11 SP 195871</t>
  </si>
  <si>
    <t>PO Box 500
COOLUM BEACH  QLD  4573</t>
  </si>
  <si>
    <t>CARE Downes Survey Group PO Box 39 NAMBOUR  QLD  4560</t>
  </si>
  <si>
    <t>85 M 11112</t>
  </si>
  <si>
    <t>20 Tristania Drive MARCUS BEACH</t>
  </si>
  <si>
    <t>IC 477</t>
  </si>
  <si>
    <t>Brigette Kay</t>
  </si>
  <si>
    <t>Multiple Housing Type 2 - Duplex 2 x 3 bedroom units</t>
  </si>
  <si>
    <t>Detached House in Rural Settlement Zone</t>
  </si>
  <si>
    <t>IC 882</t>
  </si>
  <si>
    <t>Date</t>
  </si>
  <si>
    <t>27 Attunga Heights, Noosa Heads</t>
  </si>
  <si>
    <t>Refer advice 2</t>
  </si>
  <si>
    <t>1 Aspera Place
NOOSAVILLE  QLD  4566</t>
  </si>
  <si>
    <t>Sep 05
(towards cost of Council providing Pedestrian Crossing)</t>
  </si>
  <si>
    <t>203 Gympie Tce, Noosaville</t>
  </si>
  <si>
    <t>122 SP 194343</t>
  </si>
  <si>
    <t>CARE Ken Hicks &amp; Associates Pty Ltd, PO Box 6380, MAROOCHYDORE BC  QLD  4558</t>
  </si>
  <si>
    <t>05/0170 (DA)
152005.170.05
Changes 
(Stage 5B)</t>
  </si>
  <si>
    <r>
      <t xml:space="preserve">Decision Notice &amp; </t>
    </r>
    <r>
      <rPr>
        <b/>
        <sz val="8"/>
        <rFont val="Arial"/>
        <family val="2"/>
      </rPr>
      <t>INFRASTRUCTURE CHARGE NOTICE</t>
    </r>
  </si>
  <si>
    <t>206 RP 160522</t>
  </si>
  <si>
    <t>1 x Detached House</t>
  </si>
  <si>
    <t>Total Issued =</t>
  </si>
  <si>
    <t>189 dwelling lots 
(stage 10A = 3 lots)</t>
  </si>
  <si>
    <t>189 dwelling lots 
(stage 5B = 3 lots)</t>
  </si>
  <si>
    <t>05/0170 (DA)
152005.170.05
Changes 
(Stage 6B)</t>
  </si>
  <si>
    <t>05/0170 (DA)
152005.170.05
Changes 
(Stage 6C)</t>
  </si>
  <si>
    <t>1 x Dwelling House</t>
  </si>
  <si>
    <t>Ancillary Dwelling Unit</t>
  </si>
  <si>
    <t>Detached House 1 x Vacant Lot</t>
  </si>
  <si>
    <t>22 Hill Street, Sunshine Beach</t>
  </si>
  <si>
    <t>Duplex Dwelling (2 x 2 bedroom)</t>
  </si>
  <si>
    <t>701 RP 907011</t>
  </si>
  <si>
    <t>PO Box 1428, Noosaville, Q 4566</t>
  </si>
  <si>
    <t>05/0390 (DA)</t>
  </si>
  <si>
    <t>19 Nannygai St, Noosaville (Lot reconfig relates to access easement on 17 Nannygai St)</t>
  </si>
  <si>
    <t>26 Eenie Creek Road Noosaville</t>
  </si>
  <si>
    <t>20061321 (BA)</t>
  </si>
  <si>
    <t>5 Diamond Street
COOROY  QLD  4563</t>
  </si>
  <si>
    <t>19 Trading Post Road &amp; 4 Lamonts Road
COOROY  QLD  4573</t>
  </si>
  <si>
    <t>1 RP 215922 &amp; 
2 RP 165418</t>
  </si>
  <si>
    <t>1 x dwelling house</t>
  </si>
  <si>
    <t>20081515 BA</t>
  </si>
  <si>
    <t>IC 978</t>
  </si>
  <si>
    <t>IC 979</t>
  </si>
  <si>
    <t>IC 980</t>
  </si>
  <si>
    <t>IC 981</t>
  </si>
  <si>
    <t>IC 983</t>
  </si>
  <si>
    <t>IC 984</t>
  </si>
  <si>
    <t>IC 985</t>
  </si>
  <si>
    <t>IC 986</t>
  </si>
  <si>
    <t>IC 987</t>
  </si>
  <si>
    <t>2 SP 230643</t>
  </si>
  <si>
    <t>Detached House(Rural settlement zone) 
9 Dwellings</t>
  </si>
  <si>
    <t>IC 893</t>
  </si>
  <si>
    <t>09/0012 (DA)</t>
  </si>
  <si>
    <t>20060896 BA</t>
  </si>
  <si>
    <t>MCU10/2027</t>
  </si>
  <si>
    <t>3 C 5606</t>
  </si>
  <si>
    <t xml:space="preserve">Dudley C Cone </t>
  </si>
  <si>
    <t>1 RP 225965</t>
  </si>
  <si>
    <t>Expiry Date</t>
  </si>
  <si>
    <t>CARE Martoo Consulting Pty Ltd PO Box 1684 NOOSA HEADS  QLD  4568</t>
  </si>
  <si>
    <t>47 Pine Street, Cooroy, 99 Garnet Street, Cooroy, 32 Ashgrove Drive, Cooroy</t>
  </si>
  <si>
    <t>95 Eumundi Noosa Rd
NOOSAVILLE  QLD  4566</t>
  </si>
  <si>
    <t>2 GTP 727</t>
  </si>
  <si>
    <t>Detached House 1 x Lot &amp; Dwelling House</t>
  </si>
  <si>
    <t>Multiple Housing - Type 1 - Relative or Employee 1 Bedroom Unit (Granny Flat)</t>
  </si>
  <si>
    <t>70 Carpenters Road &amp; 17 Mary River Road
COOROY  QLD  4563</t>
  </si>
  <si>
    <t>Vacant One Vacant Allotment</t>
  </si>
  <si>
    <t>33 &amp; 35 Grant Street NOOSA HEADS</t>
  </si>
  <si>
    <t>Contribution of $1236 @ Dec 06 - cancelled in Neg Decision Notice 4/7/07</t>
  </si>
  <si>
    <t>Duplex Dwelling - 2 x 3 Bed</t>
  </si>
  <si>
    <t>Atprop Pty Ltd</t>
  </si>
  <si>
    <t>04/5753 (DA)</t>
  </si>
  <si>
    <t>Bennett Architects &amp; Associates Pty Ltd</t>
  </si>
  <si>
    <t>IC 903</t>
  </si>
  <si>
    <t>Project Services</t>
  </si>
  <si>
    <t xml:space="preserve">Scout Association Australia (QLD Branch) </t>
  </si>
  <si>
    <t>42 Pottery Street POMONA  QLD  4568
44 Pottery Street POMONA  QLD  4568</t>
  </si>
  <si>
    <t>2 x Detached House
1 x Vacant Lot &amp;
1 x Lot &amp; Dwelling
House</t>
  </si>
  <si>
    <t>IC 191</t>
  </si>
  <si>
    <t>07/1264 (DA)</t>
  </si>
  <si>
    <t>Sea Eagle Drive
NOOSAVILLE  QLD  4566</t>
  </si>
  <si>
    <t>PO Box 5376
MAROOCHYDORE BC  QLD  4558</t>
  </si>
  <si>
    <t>CARE Martoo Consulting Pty Ltd, PO Box 1684, NOOSA HEADS</t>
  </si>
  <si>
    <t>Cabin Park (5 Cabins)</t>
  </si>
  <si>
    <t>Name</t>
  </si>
  <si>
    <t>20100096 BA</t>
  </si>
  <si>
    <t>PO Box 22POMONA  QLD  4568</t>
  </si>
  <si>
    <t>4 Taylor Drive, Pomona</t>
  </si>
  <si>
    <t>25 RP 803964</t>
  </si>
  <si>
    <t>20081222 BA</t>
  </si>
  <si>
    <t>06/2688 (DA)</t>
  </si>
  <si>
    <t>c/- Glendale Homes Pty LtdPO Box 619CABOOLTURE QLD  4510</t>
  </si>
  <si>
    <t>Ancillary Dwelling Unit (Caretaker's Residence)</t>
  </si>
  <si>
    <t>Detached House in Rural Settlement Zone  1 X Lot – 1 X Dwelling</t>
  </si>
  <si>
    <t>77 Gardners Road FEDERAL  QLD  4568</t>
  </si>
  <si>
    <t>Coastbuild Pty Ltd</t>
  </si>
  <si>
    <t>20090886 BA</t>
  </si>
  <si>
    <t>20090979 BA</t>
  </si>
  <si>
    <t>20090801  BA</t>
  </si>
  <si>
    <t>IC 509</t>
  </si>
  <si>
    <t>20071547 BA</t>
  </si>
  <si>
    <t>37 Douglas St, Sunshine Beach</t>
  </si>
  <si>
    <t>IC 734</t>
  </si>
  <si>
    <t>31 SP 156204,        73 RP 71151 &amp;       83 SP 71151</t>
  </si>
  <si>
    <t>2/6 Rene Street, Noosaville</t>
  </si>
  <si>
    <t>13 Jan Street
NOOSA HEADS  QLD  4567</t>
  </si>
  <si>
    <t xml:space="preserve">4 Liberty Place
SUNRISE BEACH  </t>
  </si>
  <si>
    <t>PO Box 288
WEST BURLEIGH  QLD  4219</t>
  </si>
  <si>
    <t>3354 Pacific Highway, Springwood Q 4127</t>
  </si>
  <si>
    <t>22 Ann Street
NOOSAVILLE  QLD  4566</t>
  </si>
  <si>
    <t>8 RP 81559</t>
  </si>
  <si>
    <t>CARE Martoo Consulting Pty Ltd PO Box 1684 NOOSA HEADS  QLD  4569</t>
  </si>
  <si>
    <t xml:space="preserve">Johanna J Thannhauser </t>
  </si>
  <si>
    <t>CARE Martoo Consulting Pty Ltd PO Box 1684NOOSA HEADS  QLD  4567</t>
  </si>
  <si>
    <t>c/- Martoo Consulting, PO Box 1684, Noosa Heads, Q 4567</t>
  </si>
  <si>
    <t xml:space="preserve">Drew Pearson </t>
  </si>
  <si>
    <t xml:space="preserve">Kartika Equestrian Park Pty Ltd </t>
  </si>
  <si>
    <t>255 MCH 4539</t>
  </si>
  <si>
    <t>1 RP 134344</t>
  </si>
  <si>
    <t>215A - 219 David Low Way  PEREGIAN BEACH  QLD  4574</t>
  </si>
  <si>
    <t>215A - 219 David Low Way  PEREGIAN BEACH  QLD  4575</t>
  </si>
  <si>
    <t xml:space="preserve">c/- Norton Rose Australia,
Level 17, 175 Eagle St, Brisbane, QLD 4000
</t>
  </si>
  <si>
    <r>
      <t>8 - 10 P 9315 &amp; 76 MCH 2969</t>
    </r>
    <r>
      <rPr>
        <sz val="8"/>
        <rFont val="Arial"/>
        <family val="2"/>
      </rPr>
      <t xml:space="preserve">
Lot 77 SP 231615</t>
    </r>
  </si>
  <si>
    <t>1 SP 182880
(on part of proposed lot 3
re lot reconfig 2006/1594)</t>
  </si>
  <si>
    <t>07/0022 (DA)</t>
  </si>
  <si>
    <t>Nil</t>
  </si>
  <si>
    <t>5 RP 913609</t>
  </si>
  <si>
    <t>Coolum Ridges, Havannah Road West &amp; Peregian Springs Dr. Peregian Beach South</t>
  </si>
  <si>
    <t>Type 2 Medical - 224m2</t>
  </si>
  <si>
    <t>IC 694</t>
  </si>
  <si>
    <t>Service and Utility Type 4 Treatment, recycling &amp; disposal to Service and Utility Type 3 -Tower 66m2 1 X tower</t>
  </si>
  <si>
    <t>Vacant Lot</t>
  </si>
  <si>
    <t>2 bedrooms as guest accommodation</t>
  </si>
  <si>
    <t>2 SP 162077</t>
  </si>
  <si>
    <t>IC 682</t>
  </si>
  <si>
    <t>07/0012 (DA)</t>
  </si>
  <si>
    <t>Chris Fuller</t>
  </si>
  <si>
    <t xml:space="preserve">Wolter Consulting Group </t>
  </si>
  <si>
    <t>GPO Box 1461, BRISBANE QLD 4001</t>
  </si>
  <si>
    <t>Multiple Housing - Type 4 – Conventional  3X3 Bedroom Units</t>
  </si>
  <si>
    <t>Paid</t>
  </si>
  <si>
    <t>dwelling House</t>
  </si>
  <si>
    <t>c/- Max Watterson &amp; AssociatesPO Box 639COOROY  QLD  4563</t>
  </si>
  <si>
    <t>PO Box 140, Noosa Heads Q 4567</t>
  </si>
  <si>
    <t>PO Box 308 
BUDDINA  QLD  4575</t>
  </si>
  <si>
    <t>7 Upland Court Tinbeerwah</t>
  </si>
  <si>
    <t>IC 701 (Rev 2)</t>
  </si>
  <si>
    <t>MCU10/2021</t>
  </si>
  <si>
    <t>Clearwater Pty Ltd</t>
  </si>
  <si>
    <t>10 Currawong Street
NOOSA HEADS  QLD  4567</t>
  </si>
  <si>
    <t>5/1-7 Bayview Road
NOOSA HEADS  QLD  4567</t>
  </si>
  <si>
    <t>5 SP 116707</t>
  </si>
  <si>
    <t>Multiple Housing - Type 2 – Duplex 2 x 2 Bedroom Units</t>
  </si>
  <si>
    <t>30 C 5603</t>
  </si>
  <si>
    <t>239 Moorindil Street, Tewantin</t>
  </si>
  <si>
    <r>
      <t xml:space="preserve">Decision Notice &amp; </t>
    </r>
    <r>
      <rPr>
        <b/>
        <sz val="8"/>
        <rFont val="Arial"/>
        <family val="2"/>
      </rPr>
      <t xml:space="preserve">INFRASTRUCTURE CHARGE NOTICE
</t>
    </r>
    <r>
      <rPr>
        <sz val="8"/>
        <color indexed="10"/>
        <rFont val="Arial"/>
        <family val="2"/>
      </rPr>
      <t>As Per: Court Order 118/2006</t>
    </r>
  </si>
  <si>
    <t>20061955 BA</t>
  </si>
  <si>
    <t>43 Griffith Avenue
TEWANTIN  QLD  4565</t>
  </si>
  <si>
    <t>103 SP 160892</t>
  </si>
  <si>
    <t>20 SP 100792</t>
  </si>
  <si>
    <t>PO Box 4627, Robina Town Centre QLD 4230</t>
  </si>
  <si>
    <t>3 SP 116707</t>
  </si>
  <si>
    <r>
      <t>Decision Notice</t>
    </r>
    <r>
      <rPr>
        <sz val="8"/>
        <rFont val="Arial"/>
        <family val="2"/>
      </rPr>
      <t xml:space="preserve"> </t>
    </r>
    <r>
      <rPr>
        <strike/>
        <sz val="8"/>
        <rFont val="Arial"/>
        <family val="2"/>
      </rPr>
      <t xml:space="preserve">Negotiated Decision Notice </t>
    </r>
    <r>
      <rPr>
        <sz val="8"/>
        <rFont val="Arial"/>
        <family val="2"/>
      </rPr>
      <t xml:space="preserve">
Change to an Existing Approval &amp; </t>
    </r>
    <r>
      <rPr>
        <b/>
        <sz val="8"/>
        <rFont val="Arial"/>
        <family val="2"/>
      </rPr>
      <t>INFRASTRUCTURE CHARGE NOTICE</t>
    </r>
  </si>
  <si>
    <t>48 Binalong Road PINBARREN</t>
  </si>
  <si>
    <t>1 RP 129020</t>
  </si>
  <si>
    <t>IC 443</t>
  </si>
  <si>
    <t>PO Box 2464 BRISBANE  QLD  4001</t>
  </si>
  <si>
    <t>1 x Detached House &amp;
1 x Multiple Housing – Type
1 – Relative or Employee
dwelling unit
1 x 1 Bedroom</t>
  </si>
  <si>
    <t xml:space="preserve">Giselle Radulovic </t>
  </si>
  <si>
    <r>
      <t>21/07/2005</t>
    </r>
    <r>
      <rPr>
        <sz val="8"/>
        <rFont val="Arial"/>
        <family val="2"/>
      </rPr>
      <t xml:space="preserve"> </t>
    </r>
    <r>
      <rPr>
        <strike/>
        <sz val="8"/>
        <rFont val="Arial"/>
        <family val="2"/>
      </rPr>
      <t>13/10/2005</t>
    </r>
    <r>
      <rPr>
        <sz val="8"/>
        <rFont val="Arial"/>
        <family val="2"/>
      </rPr>
      <t xml:space="preserve">  </t>
    </r>
    <r>
      <rPr>
        <strike/>
        <sz val="8"/>
        <rFont val="Arial"/>
        <family val="2"/>
      </rPr>
      <t>06/03/2006</t>
    </r>
    <r>
      <rPr>
        <sz val="8"/>
        <rFont val="Arial"/>
        <family val="2"/>
      </rPr>
      <t xml:space="preserve">
14/7/09</t>
    </r>
  </si>
  <si>
    <t>1/58 Furness Drive TEWANTIN  QLD  4565</t>
  </si>
  <si>
    <t xml:space="preserve">N C Oliver Noosa Pty Ltd </t>
  </si>
  <si>
    <t>IC 962</t>
  </si>
  <si>
    <t>PO Box 9213
PACIFIC PARADISE  QLD  4565</t>
  </si>
  <si>
    <t>22 SP 163309</t>
  </si>
  <si>
    <t>21 SP 163309</t>
  </si>
  <si>
    <t>14 Attenuatta Place
NOOSAVILLE  QLD  4556</t>
  </si>
  <si>
    <t xml:space="preserve">PO Box 2360 NOOSA HEADS QLD 4567 </t>
  </si>
  <si>
    <t>Currumbin Estuary Developments Pty Ltd</t>
  </si>
  <si>
    <t>Detached House</t>
  </si>
  <si>
    <t>Receipt No.</t>
  </si>
  <si>
    <t>Department of Housing - QLD</t>
  </si>
  <si>
    <t>Commenced recording of DA's: CMRN = 6/9/02; PSP41 CMPC 24/10/03 (on policy commencement).
DA's with all other contribution requirements commenced recording on 3 March 2004.
CMRN Infrastructure Charges issued on received BA permits commenced on 21 June 2004</t>
  </si>
  <si>
    <t>Totals Paid =</t>
  </si>
  <si>
    <t>216 David Low Way, Peregian Beach</t>
  </si>
  <si>
    <t>IC 957</t>
  </si>
  <si>
    <t>09/1791 (DA)</t>
  </si>
  <si>
    <t>91 - 93 Poinciana Ave, Tewantin</t>
  </si>
  <si>
    <t>34 SP 120980</t>
  </si>
  <si>
    <t>07/1022 (DA)</t>
  </si>
  <si>
    <t>Duplex 2 x 3 bedroom units</t>
  </si>
  <si>
    <t>Oak Investment Holdings Pty Ltd</t>
  </si>
  <si>
    <t>10/0539 (DA)</t>
  </si>
  <si>
    <t>Nicholas L Cels</t>
  </si>
  <si>
    <t>7 The Promontory, NOOSAVILLE</t>
  </si>
  <si>
    <t>Sunline Building Approvals</t>
  </si>
  <si>
    <t>3-7 Serenity Close
NOOSA HEADS  QLD  4567</t>
  </si>
  <si>
    <t>IC 822</t>
  </si>
  <si>
    <t>Altum Constructions</t>
  </si>
  <si>
    <t>PO Box 2
PEREGIAN BEACH  QLD  4573</t>
  </si>
  <si>
    <t>22 Tristania Drive MARCUS BEACH</t>
  </si>
  <si>
    <r>
      <t>Preliminary approval  Decision Notice &amp; INFRASTRUCTURE CHARGE NOTICE</t>
    </r>
    <r>
      <rPr>
        <sz val="8"/>
        <rFont val="Arial"/>
        <family val="2"/>
      </rPr>
      <t xml:space="preserve">
</t>
    </r>
    <r>
      <rPr>
        <strike/>
        <sz val="8"/>
        <rFont val="Arial"/>
        <family val="2"/>
      </rPr>
      <t xml:space="preserve">Decision Notice </t>
    </r>
    <r>
      <rPr>
        <sz val="8"/>
        <rFont val="Arial"/>
        <family val="2"/>
      </rPr>
      <t xml:space="preserve">
Change to an Existing Approval &amp; </t>
    </r>
    <r>
      <rPr>
        <b/>
        <sz val="8"/>
        <rFont val="Arial"/>
        <family val="2"/>
      </rPr>
      <t xml:space="preserve">INFRASTRUCTURE CHARGE NOTICE (REV 1)
</t>
    </r>
  </si>
  <si>
    <t>3 SP 126203</t>
  </si>
  <si>
    <t>322 RP 48111</t>
  </si>
  <si>
    <t>Total Paid =</t>
  </si>
  <si>
    <t>1 RP 836907</t>
  </si>
  <si>
    <t>102 Pacific Avenue, Sunshine Beach</t>
  </si>
  <si>
    <t>230 RP 885235</t>
  </si>
  <si>
    <t>Restaurant &amp; Caretakers residence</t>
  </si>
  <si>
    <t>86 Oriole Avenue  PEREGIAN BEACH  QLD  4573</t>
  </si>
  <si>
    <r>
      <t>$26,768 Jun-07</t>
    </r>
    <r>
      <rPr>
        <sz val="8"/>
        <rFont val="Arial"/>
        <family val="2"/>
      </rPr>
      <t xml:space="preserve">
Land provided in lieu</t>
    </r>
  </si>
  <si>
    <t>Lot 77 SP 231615</t>
  </si>
  <si>
    <r>
      <t xml:space="preserve">Court Decision Notice 
</t>
    </r>
    <r>
      <rPr>
        <b/>
        <sz val="8"/>
        <rFont val="Arial"/>
        <family val="2"/>
      </rPr>
      <t>INFRASTRUCTURE CHARGE NOTICE
Stage 2</t>
    </r>
  </si>
  <si>
    <r>
      <t xml:space="preserve">Court Decision Notice 
</t>
    </r>
    <r>
      <rPr>
        <b/>
        <sz val="8"/>
        <rFont val="Arial"/>
        <family val="2"/>
      </rPr>
      <t>INFRASTRUCTURE CHARGE NOTICE
Stage 3</t>
    </r>
  </si>
  <si>
    <r>
      <t xml:space="preserve">Court Decision Notice 
</t>
    </r>
    <r>
      <rPr>
        <b/>
        <sz val="8"/>
        <rFont val="Arial"/>
        <family val="2"/>
      </rPr>
      <t>INFRASTRUCTURE CHARGE NOTICE
Stage 1</t>
    </r>
  </si>
  <si>
    <t>Visitor Accommodation – Type 4 Conventional 
9 x 2 bed units
19 x 3 bed units
2 x 4 bed units
(Includes 1 x managers residence</t>
  </si>
  <si>
    <t>Visitor Accommodation – Type 4 Conventional 
32 x 1 bed units
32 x 2 bed units
(Includes 1 x managers residence</t>
  </si>
  <si>
    <t>Stage 1 = 
Commercial Business Type 1 - Office 100m2
Retail Business Type 2 – Shop Salon  387m2
Entertainment &amp; Dining Business Type 1 – Food and Beverage 306m2
Visitor Accommodation – Type 4 Conventional 58 x (Single Hostel Beds for tourist of overnight accommodation)</t>
  </si>
  <si>
    <t xml:space="preserve">IC 999 </t>
  </si>
  <si>
    <t>06/2068 (DA)</t>
  </si>
  <si>
    <t xml:space="preserve">Industrial Business -Type 2 Production, alteration, repackaging and repairing 7 x Industrial Lots (Land Area = 18,797 m2 Assumed 30% Site cover = 5,639.1 m2 Use Area)
Detached House 
1 x Balance Rural Lot &amp; Dwelling House
</t>
  </si>
  <si>
    <r>
      <t>5/08/2008</t>
    </r>
    <r>
      <rPr>
        <sz val="8"/>
        <rFont val="Arial"/>
        <family val="2"/>
      </rPr>
      <t xml:space="preserve">
07/11/2008</t>
    </r>
  </si>
  <si>
    <t>MCU - Changes</t>
  </si>
  <si>
    <t>189 dwelling lots 
(stage 10E = 5 lots)</t>
  </si>
  <si>
    <r>
      <t>Decision Notice</t>
    </r>
    <r>
      <rPr>
        <sz val="8"/>
        <rFont val="Arial"/>
        <family val="2"/>
      </rPr>
      <t xml:space="preserve">
Change to an Existing Approval &amp;</t>
    </r>
    <r>
      <rPr>
        <b/>
        <sz val="8"/>
        <rFont val="Arial"/>
        <family val="2"/>
      </rPr>
      <t xml:space="preserve"> INFRASTRUCTURE CHARGE NOTICE</t>
    </r>
  </si>
  <si>
    <t>33 Douglas St, Sunshine Beach</t>
  </si>
  <si>
    <t>20091233 BA)</t>
  </si>
  <si>
    <t>1 RP 168283</t>
  </si>
  <si>
    <r>
      <t xml:space="preserve">accom bld  (12 x 1 bed units) + multiple dwellings </t>
    </r>
    <r>
      <rPr>
        <strike/>
        <sz val="8"/>
        <rFont val="Arial"/>
        <family val="2"/>
      </rPr>
      <t>(30 x 3 bed units)</t>
    </r>
    <r>
      <rPr>
        <sz val="8"/>
        <rFont val="Arial"/>
        <family val="2"/>
      </rPr>
      <t xml:space="preserve"> </t>
    </r>
    <r>
      <rPr>
        <sz val="8"/>
        <color indexed="10"/>
        <rFont val="Arial"/>
        <family val="2"/>
      </rPr>
      <t>(5 x 2 Bed Units &amp; 21 x 3 Bed Units)</t>
    </r>
  </si>
  <si>
    <t>Master Planned Community</t>
  </si>
  <si>
    <t>Depot Type 1 (additional 108m2)</t>
  </si>
  <si>
    <t>219 RP 135364</t>
  </si>
  <si>
    <t>20080253</t>
  </si>
  <si>
    <t>Daren Thwaite</t>
  </si>
  <si>
    <t>66 SP 132578</t>
  </si>
  <si>
    <t>Part Paid (Stage 1)</t>
  </si>
  <si>
    <t>c/- Jones Flint &amp; Pike Pty Ltd, PO Box 6 Maroochydore</t>
  </si>
  <si>
    <t>Jim Tatton Developments</t>
  </si>
  <si>
    <t>Duplex (2 x 2 Bed)</t>
  </si>
  <si>
    <t xml:space="preserve">Medical Centre   350m2                    </t>
  </si>
  <si>
    <t xml:space="preserve">Powell Unit Trust </t>
  </si>
  <si>
    <t>7 RP 66617</t>
  </si>
  <si>
    <t>3/1-7 Bayview Road, Noosa Heads</t>
  </si>
  <si>
    <t>2 RP 148139 
498 MCH 591</t>
  </si>
  <si>
    <r>
      <t>Decision Notice</t>
    </r>
    <r>
      <rPr>
        <sz val="8"/>
        <rFont val="Arial"/>
        <family val="2"/>
      </rPr>
      <t xml:space="preserve">  </t>
    </r>
    <r>
      <rPr>
        <strike/>
        <sz val="8"/>
        <rFont val="Arial"/>
        <family val="2"/>
      </rPr>
      <t>Negotiated Decision Notice</t>
    </r>
    <r>
      <rPr>
        <sz val="8"/>
        <rFont val="Arial"/>
        <family val="2"/>
      </rPr>
      <t xml:space="preserve">
Change to an Existing Approval (Extend Currency Period)</t>
    </r>
  </si>
  <si>
    <t>16 Attenuatta Place
NOOSAVILLE  QLD  4556</t>
  </si>
  <si>
    <t>292 SP 104321</t>
  </si>
  <si>
    <t>Vacant Land</t>
  </si>
  <si>
    <t>Ausmar Homes</t>
  </si>
  <si>
    <r>
      <t xml:space="preserve">Negotiated Decision Notice &amp; </t>
    </r>
    <r>
      <rPr>
        <b/>
        <sz val="8"/>
        <rFont val="Arial"/>
        <family val="2"/>
      </rPr>
      <t xml:space="preserve">INFRASTRUCTURE CHARGE NOTICE
</t>
    </r>
    <r>
      <rPr>
        <sz val="8"/>
        <rFont val="Arial"/>
        <family val="2"/>
      </rPr>
      <t>Extension to Relevant Period</t>
    </r>
  </si>
  <si>
    <t>1 dweiiling house on 1 lot</t>
  </si>
  <si>
    <t>IC 497</t>
  </si>
  <si>
    <t>06/0767 (DA)</t>
  </si>
  <si>
    <t>09/0436 (DA)</t>
  </si>
  <si>
    <t>CARE Martoo Consulting Pty Ltd
PO Box 1684
NOOSA HEADS  QLD  4568</t>
  </si>
  <si>
    <t>9 RP 81559</t>
  </si>
  <si>
    <t>56 RP 76937 (Lot reconfig relates to access easement on 55 RP 76937)</t>
  </si>
  <si>
    <t xml:space="preserve">Industrial Business – Type 1 – Warehouse
(Reference MCU
 2007/1841)  400m2 Use Area
</t>
  </si>
  <si>
    <t>Cnr Mary &amp; Thomas Streets NOOSAVILLE  QLD  4566</t>
  </si>
  <si>
    <t>34 Elanda Street
SUNSHINE BEACH  QLD  4567</t>
  </si>
  <si>
    <t>75 Beckmans Rd, Noosaville</t>
  </si>
  <si>
    <t>Henley Properties (QLD) Pty Ltd</t>
  </si>
  <si>
    <t>Max Watterson &amp; Associates</t>
  </si>
  <si>
    <t>PO Box 639 COOROY  QLD  4563</t>
  </si>
  <si>
    <t>71 SP 148793</t>
  </si>
  <si>
    <t>37 Curry Court COOROY</t>
  </si>
  <si>
    <t>IC 958</t>
  </si>
  <si>
    <t>Calambee Nominees Pty Ltd</t>
  </si>
  <si>
    <t>Coastal Major Road Network - ICP</t>
  </si>
  <si>
    <t>Lot reconfig</t>
  </si>
  <si>
    <t>CARE Mr Rainer Mueckenberger PO Box 1344 NOOSAVILLE  QLD  4566</t>
  </si>
  <si>
    <t>Country Club Villages Pty Ltd</t>
  </si>
  <si>
    <t>CARE Martoo Consulting Pty Ltd 
PO Box 1684
NOOSA HEADS  QLD  4567</t>
  </si>
  <si>
    <t>4 RP 123457</t>
  </si>
  <si>
    <t xml:space="preserve">c/-Murray &amp; Associates QLD Pty Ltd, PO Box 246, Nambour Q 4560 </t>
  </si>
  <si>
    <t>c/- Urban Strategies PO Box 939 Maroochydore Q 4558</t>
  </si>
  <si>
    <t>12 GTP 107028</t>
  </si>
  <si>
    <t xml:space="preserve">CARE Elizabeth Chilton
PO Box 194
BALACLAVA  VIC  3183
</t>
  </si>
  <si>
    <t>51 Doonella Street TEWANTIN  QLD  4565</t>
  </si>
  <si>
    <t>3 T 16342</t>
  </si>
  <si>
    <t>21 Attunga Heights
NOOSA HEADS  QLD  4567</t>
  </si>
  <si>
    <t xml:space="preserve">Vacant Land 1 x Vacant Lot </t>
  </si>
  <si>
    <t>Multiple Housing Type 2 - Duplex 2 x 2 bedroom units</t>
  </si>
  <si>
    <t>Commercial Business – Type 1 – Office  16,410m2 Use Area</t>
  </si>
  <si>
    <t>750/61 Noosa Springs Drive  NOOSA HEADS  QLD  4567</t>
  </si>
  <si>
    <t>289 Moorindil Street, Tewantin</t>
  </si>
  <si>
    <t>2 RP 138699</t>
  </si>
  <si>
    <t>Good Shepherd Lutheran College Noosa</t>
  </si>
  <si>
    <t>Addition to Substation additional control plant bldg no2 &amp; grid structures = 60m2</t>
  </si>
  <si>
    <t>CARE Dillon Folker Stephens Town Planners, PO Box 605, MAROOCHYDORE  QLD  4558</t>
  </si>
  <si>
    <r>
      <t>CARE Conics Pty Ltd PO Box 1559 FORTITUDE VALLEY  QLD  4006</t>
    </r>
    <r>
      <rPr>
        <sz val="8"/>
        <rFont val="Arial"/>
        <family val="2"/>
      </rPr>
      <t xml:space="preserve">
c/- Norton Rose Australia,
Level 17, 175 Eagle St, Brisbane, QLD 4000</t>
    </r>
  </si>
  <si>
    <t>05/0170 (DA)
152005.170.05
Changes 
(Stage 8B)</t>
  </si>
  <si>
    <t>05/0170 (DA)
152005.170.05
Changes 
(Stage 8C)</t>
  </si>
  <si>
    <t>05/0170 (DA)
152005.170.05
Changes 
(Stage 8D)</t>
  </si>
  <si>
    <t>IC 1016
Rev 0</t>
  </si>
  <si>
    <t>IC 1017
Rev 0</t>
  </si>
  <si>
    <t>IC 1018
Rev 0</t>
  </si>
  <si>
    <t>189 dwelling lots 
(stage 8D = 3 lots)</t>
  </si>
  <si>
    <t>189 dwelling lots 
(stage 8B = 4 lots)</t>
  </si>
  <si>
    <t>189 dwelling lots 
(stage 8C = 4 lots)</t>
  </si>
  <si>
    <t>IC 1020
Rev 1</t>
  </si>
  <si>
    <t>IC 1021
Rev 1</t>
  </si>
  <si>
    <t>05/0170 (DA)
152005.170.05
Changes 
(Stage 9C)</t>
  </si>
  <si>
    <t>05/0170 (DA)
152005.170.05
Changes 
(Stage 9D)</t>
  </si>
  <si>
    <t>IC 1022
Rev 1</t>
  </si>
  <si>
    <t>05/0170 (DA)
152005.170.05
Changes 
(Stage 9E)</t>
  </si>
  <si>
    <t>189 dwelling lots 
(stage 9E = 3 lots)</t>
  </si>
  <si>
    <t>189 dwelling lots 
(stage 9D = 3 lots)</t>
  </si>
  <si>
    <t>189 dwelling lots 
(stage 9C = 4 lots)</t>
  </si>
  <si>
    <t>IC 1026
Rev 0</t>
  </si>
  <si>
    <t>IC 1027
Rev 0</t>
  </si>
  <si>
    <t>IC 1028
Rev 0</t>
  </si>
  <si>
    <t>IC 1029
Rev 0</t>
  </si>
  <si>
    <t>05/0170 (DA)
152005.170.05
Changes 
(Stage 10B)</t>
  </si>
  <si>
    <t>05/0170 (DA)
152005.170.05
Changes 
(Stage 10C)</t>
  </si>
  <si>
    <t>05/0170 (DA)
152005.170.05
Changes 
(Stage 10D)</t>
  </si>
  <si>
    <t>05/0170 (DA)
152005.170.05
Changes 
(Stage 10E)</t>
  </si>
  <si>
    <t>189 dwelling lots 
(stage 10B = 3 lots)</t>
  </si>
  <si>
    <t>189 dwelling lots 
(stage 10C = 3 lots)</t>
  </si>
  <si>
    <t>189 dwelling lots 
(stage 10D = 4 lots)</t>
  </si>
  <si>
    <t>CARE Martoo Consulting Pty Ltd, PO Box 1684, NOOSA HEADS  QLD  4567</t>
  </si>
  <si>
    <t xml:space="preserve">John Brent Dayton &amp; Sharon Margaret Huey </t>
  </si>
  <si>
    <t>2 SP 142258</t>
  </si>
  <si>
    <t>3 RP 90429</t>
  </si>
  <si>
    <t>Visitor Accommodation - Type 4 - Hostel = 48 beds + 1 x 1 Bedroom Manager Unit</t>
  </si>
  <si>
    <t>06/2368 (DA)</t>
  </si>
  <si>
    <r>
      <t xml:space="preserve">Decision Notice </t>
    </r>
    <r>
      <rPr>
        <sz val="8"/>
        <rFont val="Arial"/>
        <family val="2"/>
      </rPr>
      <t xml:space="preserve">
Noegotiated Decision Notice &amp; </t>
    </r>
    <r>
      <rPr>
        <b/>
        <sz val="8"/>
        <rFont val="Arial"/>
        <family val="2"/>
      </rPr>
      <t>INFRASTRUCTURE CHARGE NOTICE</t>
    </r>
  </si>
  <si>
    <t>Allured Contracting Pty Ltd</t>
  </si>
  <si>
    <t>2 RP 117315</t>
  </si>
  <si>
    <t>57 Hilton Terrace
TEWANTIN  QLD  4565</t>
  </si>
  <si>
    <t>187 MCH 224</t>
  </si>
  <si>
    <t>CARE Martoo Consulting Pty Ltd PO Box 1684 NOOSA HEADS  QLD  4570</t>
  </si>
  <si>
    <t>TOTALS</t>
  </si>
  <si>
    <t>CPI ref date</t>
  </si>
  <si>
    <t>CONTRIBUTIONS + CHARGES REGISTER</t>
  </si>
  <si>
    <t>QTY  =</t>
  </si>
  <si>
    <t>Vacant</t>
  </si>
  <si>
    <t>12 Edward St, Noosaville</t>
  </si>
  <si>
    <t>27 RP 63879</t>
  </si>
  <si>
    <t>Joe &amp; Penelope Gagetti</t>
  </si>
  <si>
    <t>Mr Matt Bennell</t>
  </si>
  <si>
    <t>Was Vacant on Original Application - now dwelling is partially finished</t>
  </si>
  <si>
    <t>132005.1600.01 (Change)</t>
  </si>
  <si>
    <t xml:space="preserve">additional 50 students 131.7 m2 </t>
  </si>
  <si>
    <t>John H Ball &amp; Nonie P Bollinger</t>
  </si>
  <si>
    <r>
      <t xml:space="preserve">Decision Notice 
Negotiated Decision Notice 
Change to a DA </t>
    </r>
    <r>
      <rPr>
        <sz val="8"/>
        <rFont val="Arial"/>
        <family val="2"/>
      </rPr>
      <t xml:space="preserve">
Change to Conditions &amp; </t>
    </r>
    <r>
      <rPr>
        <b/>
        <sz val="8"/>
        <rFont val="Arial"/>
        <family val="2"/>
      </rPr>
      <t>INFRASTRUCTURE CHARGE NOTICE</t>
    </r>
  </si>
  <si>
    <r>
      <t>88 &amp; 90 Goodchap Street Noosaville</t>
    </r>
    <r>
      <rPr>
        <sz val="8"/>
        <rFont val="Arial"/>
        <family val="2"/>
      </rPr>
      <t xml:space="preserve">
90 Goodchap Street  NOOSAVILLE  QLD  4566</t>
    </r>
  </si>
  <si>
    <t>Muecke Pty Ltd</t>
  </si>
  <si>
    <t xml:space="preserve">cross check = </t>
  </si>
  <si>
    <t>Lot Reconfig &amp; MCU</t>
  </si>
  <si>
    <r>
      <t xml:space="preserve">Decision Notice
</t>
    </r>
    <r>
      <rPr>
        <b/>
        <sz val="8"/>
        <rFont val="Arial"/>
        <family val="2"/>
      </rPr>
      <t xml:space="preserve">INFRASTRUCTURE CHARGE NOTICE </t>
    </r>
    <r>
      <rPr>
        <sz val="8"/>
        <rFont val="Arial"/>
        <family val="2"/>
      </rPr>
      <t>sent separately
Court Extn Approved</t>
    </r>
  </si>
  <si>
    <r>
      <t>25/05/2011</t>
    </r>
    <r>
      <rPr>
        <sz val="8"/>
        <rFont val="Arial"/>
        <family val="2"/>
      </rPr>
      <t xml:space="preserve">
31/05/2014</t>
    </r>
  </si>
  <si>
    <t>16 RP 64525</t>
  </si>
  <si>
    <t>IC 961</t>
  </si>
  <si>
    <t>Rural 1 Lot – 1 Dwelling</t>
  </si>
  <si>
    <t>Rural  2 Lots – 2 dwellings</t>
  </si>
  <si>
    <t>Proposed use</t>
  </si>
  <si>
    <t>3 SP 167232</t>
  </si>
  <si>
    <t>8 CP 901391</t>
  </si>
  <si>
    <t>07/1413 (DA)</t>
  </si>
  <si>
    <t xml:space="preserve">18 RP 186537 </t>
  </si>
  <si>
    <r>
      <t xml:space="preserve">Change to an Existing Approval &amp; </t>
    </r>
    <r>
      <rPr>
        <b/>
        <sz val="8"/>
        <rFont val="Arial"/>
        <family val="2"/>
      </rPr>
      <t>INFRASTRUCTURE CHARGE NOTICE</t>
    </r>
  </si>
  <si>
    <t>31 Ridout Road
SINGAPORE 248428</t>
  </si>
  <si>
    <t>7 Stormbird Dr, Noosa Heads</t>
  </si>
  <si>
    <t>242 Uhlmanns Road, Black Mountain</t>
  </si>
  <si>
    <t>40 RP 81810</t>
  </si>
  <si>
    <t xml:space="preserve">Tonya Shepherd-Ashby </t>
  </si>
  <si>
    <t>242 Uhlmanns RoadBLACK MOUNTAIN  QLD  4563</t>
  </si>
  <si>
    <t>?</t>
  </si>
  <si>
    <t>park provided in lieu</t>
  </si>
  <si>
    <t>10 x 3 bed units</t>
  </si>
  <si>
    <t>Muzztrack Pty Ltd</t>
  </si>
  <si>
    <r>
      <t>Decision Notice</t>
    </r>
    <r>
      <rPr>
        <sz val="8"/>
        <rFont val="Arial"/>
        <family val="2"/>
      </rPr>
      <t xml:space="preserve"> Negotiated Decision Notice &amp; I</t>
    </r>
    <r>
      <rPr>
        <b/>
        <sz val="8"/>
        <rFont val="Arial"/>
        <family val="2"/>
      </rPr>
      <t>NFRASTRUCTURE CHARGE NOTICE</t>
    </r>
  </si>
  <si>
    <t>IC 911</t>
  </si>
  <si>
    <t>8 SP 230643</t>
  </si>
  <si>
    <r>
      <t>21/09/2010</t>
    </r>
    <r>
      <rPr>
        <sz val="8"/>
        <rFont val="Arial"/>
        <family val="2"/>
      </rPr>
      <t xml:space="preserve">
</t>
    </r>
    <r>
      <rPr>
        <strike/>
        <sz val="8"/>
        <rFont val="Arial"/>
        <family val="2"/>
      </rPr>
      <t>21/09/2012</t>
    </r>
    <r>
      <rPr>
        <sz val="8"/>
        <rFont val="Arial"/>
        <family val="2"/>
      </rPr>
      <t xml:space="preserve">
21/09/2014</t>
    </r>
  </si>
  <si>
    <t>52 Elizabeth Street NOOSAVILLE  QLD  4566</t>
  </si>
  <si>
    <r>
      <t>Detached House + Visitor Accommodation Type 1 –  B&amp;B 1 Dwelling + 2 Guest rooms</t>
    </r>
    <r>
      <rPr>
        <sz val="8"/>
        <rFont val="Arial"/>
        <family val="2"/>
      </rPr>
      <t xml:space="preserve">
Detached House &amp;Visitor Accommodation Type 1 – B&amp;B 1 Dwelling +2 Guest rooms contained in existing dwelling</t>
    </r>
  </si>
  <si>
    <r>
      <t>$1,694.00 at June 08 CPI</t>
    </r>
    <r>
      <rPr>
        <b/>
        <sz val="8"/>
        <rFont val="Arial"/>
        <family val="2"/>
      </rPr>
      <t xml:space="preserve">
Mar-09</t>
    </r>
  </si>
  <si>
    <t>Urban Blueprint</t>
  </si>
  <si>
    <t>Detached House 1 (Caretakers residence)
Visitor Accommodation Type 2 Caravan Park  76 
(consisting of 8 Cabins, 46 Powered Sites 22 Unpowered Sites)</t>
  </si>
  <si>
    <t>IC 777
Rev 1</t>
  </si>
  <si>
    <t>05/0170 (DA)
152005.170.05
Changes 
(Stage 6A)</t>
  </si>
  <si>
    <t>05/0170 (DA)
152005.170.05
Changes 
(Stage 10A)</t>
  </si>
  <si>
    <r>
      <t>Compilied Decision Notice</t>
    </r>
    <r>
      <rPr>
        <sz val="8"/>
        <rFont val="Arial"/>
        <family val="2"/>
      </rPr>
      <t xml:space="preserve"> Change to Existing Approval &amp; I</t>
    </r>
    <r>
      <rPr>
        <b/>
        <sz val="8"/>
        <rFont val="Arial"/>
        <family val="2"/>
      </rPr>
      <t>NFRASTRUCTURE CHARGE NOTICE
REV 1</t>
    </r>
  </si>
  <si>
    <t>189 dwelling lots 
(stage 6A = 1 lots)</t>
  </si>
  <si>
    <t>IC 1030</t>
  </si>
  <si>
    <t>IC 857</t>
  </si>
  <si>
    <t>Mr Stephen Nelson</t>
  </si>
  <si>
    <t>PO Box 1467 NOOSAVILLE  QLD  4566</t>
  </si>
  <si>
    <t>2 SP 218738</t>
  </si>
  <si>
    <t>253 Uhlmanns Road BLACK MOUNTAIN</t>
  </si>
  <si>
    <t>Evelyn E Hutton</t>
  </si>
  <si>
    <t>11 RP 89506</t>
  </si>
  <si>
    <r>
      <t xml:space="preserve">Note: this Changes applications cancels &amp; superceeds IC 306 for 05/0170
</t>
    </r>
    <r>
      <rPr>
        <sz val="6"/>
        <color indexed="10"/>
        <rFont val="Arial"/>
        <family val="2"/>
      </rPr>
      <t>See Elysium Sheet for further details              
NOTE: ALSO LINKED TO 05/1952 = 2 Display Homes &amp; 06/0674 = 55 Display Homes
07/2200 MCU 9 dwelling houses</t>
    </r>
  </si>
  <si>
    <t xml:space="preserve">IC 516 
Rev 2
</t>
  </si>
  <si>
    <t>05/0170 (DA)
152005.170.05
Changes 
(Stage 3)</t>
  </si>
  <si>
    <r>
      <t>Elysium Noosa Pty Ltd</t>
    </r>
    <r>
      <rPr>
        <sz val="8"/>
        <rFont val="Arial"/>
        <family val="2"/>
      </rPr>
      <t xml:space="preserve">
AV Jenings Properties Limited</t>
    </r>
  </si>
  <si>
    <r>
      <t xml:space="preserve">c/- </t>
    </r>
    <r>
      <rPr>
        <strike/>
        <sz val="8"/>
        <rFont val="Arial"/>
        <family val="2"/>
      </rPr>
      <t>PMM Group</t>
    </r>
    <r>
      <rPr>
        <sz val="8"/>
        <rFont val="Arial"/>
        <family val="2"/>
      </rPr>
      <t>, RPS,
PO Box 149, WURTULLA Q 4575</t>
    </r>
  </si>
  <si>
    <r>
      <t>1 SP 161938 &amp; 2 RP 904900</t>
    </r>
    <r>
      <rPr>
        <sz val="8"/>
        <rFont val="Arial"/>
        <family val="2"/>
      </rPr>
      <t xml:space="preserve">
501 SP 213883</t>
    </r>
  </si>
  <si>
    <r>
      <t>53 &amp; 53a Sunset Drive Noosa Heads</t>
    </r>
    <r>
      <rPr>
        <sz val="8"/>
        <rFont val="Arial"/>
        <family val="2"/>
      </rPr>
      <t xml:space="preserve">
501/58 Noosa Springs Drive, Noosa Heads</t>
    </r>
  </si>
  <si>
    <r>
      <t>Compilied Decision Notice</t>
    </r>
    <r>
      <rPr>
        <sz val="8"/>
        <rFont val="Arial"/>
        <family val="2"/>
      </rPr>
      <t xml:space="preserve"> Change to Existing Approval &amp; I</t>
    </r>
    <r>
      <rPr>
        <b/>
        <sz val="8"/>
        <rFont val="Arial"/>
        <family val="2"/>
      </rPr>
      <t>NFRASTRUCTURE CHARGE NOTICE
REV 2</t>
    </r>
  </si>
  <si>
    <r>
      <t>27/10/2006</t>
    </r>
    <r>
      <rPr>
        <sz val="8"/>
        <rFont val="Arial"/>
        <family val="2"/>
      </rPr>
      <t xml:space="preserve">
</t>
    </r>
    <r>
      <rPr>
        <strike/>
        <sz val="8"/>
        <rFont val="Arial"/>
        <family val="2"/>
      </rPr>
      <t>19/06/08</t>
    </r>
    <r>
      <rPr>
        <sz val="8"/>
        <rFont val="Arial"/>
        <family val="2"/>
      </rPr>
      <t xml:space="preserve">
3/10/2011
</t>
    </r>
  </si>
  <si>
    <t>IC 781
Rev 1</t>
  </si>
  <si>
    <t>GJ Gardner Homes</t>
  </si>
  <si>
    <t>94 Persimmon Drive, PEREGIAN BEACH</t>
  </si>
  <si>
    <t>160 RP 48112</t>
  </si>
  <si>
    <t>13 Mary River Road
COOROY  QLD  4563</t>
  </si>
  <si>
    <t>IC 624</t>
  </si>
  <si>
    <t>Building Work</t>
  </si>
  <si>
    <t>6 Nannygai St, Noosaville</t>
  </si>
  <si>
    <t>2 RP 111730,           2 SP 156389,         24 SP 148814</t>
  </si>
  <si>
    <t>5 Driver Ct,  TEWANTIN QLD 4565</t>
  </si>
  <si>
    <t>Cammeray Investments Pty Ltd</t>
  </si>
  <si>
    <t>Dr ADS Property Discretionary Trust, DR P Stobbs &amp; Dr C Ramaswamy</t>
  </si>
  <si>
    <t>05/1021 (DA) Changes to an Existing Approval
(132005.1021.03)</t>
  </si>
  <si>
    <t xml:space="preserve">Parks paid under Lot reconfig 2006/1594 
Refer Report 07/1841 dated 25/06/2008 on representations  </t>
  </si>
  <si>
    <t xml:space="preserve">Water Supply paid under Lot reconfig 2006/1594
Demand not exceeded </t>
  </si>
  <si>
    <r>
      <t>Preliminary</t>
    </r>
    <r>
      <rPr>
        <sz val="8"/>
        <rFont val="Arial"/>
        <family val="2"/>
      </rPr>
      <t xml:space="preserve"> </t>
    </r>
    <r>
      <rPr>
        <strike/>
        <sz val="8"/>
        <rFont val="Arial"/>
        <family val="2"/>
      </rPr>
      <t>Negotiated Decision Notice</t>
    </r>
    <r>
      <rPr>
        <sz val="8"/>
        <rFont val="Arial"/>
        <family val="2"/>
      </rPr>
      <t xml:space="preserve">
</t>
    </r>
    <r>
      <rPr>
        <sz val="8"/>
        <rFont val="Arial"/>
        <family val="2"/>
      </rPr>
      <t>Change to an Existing Approval - Extension</t>
    </r>
  </si>
  <si>
    <r>
      <t xml:space="preserve">MSC MCU 01/0189 (DA)
</t>
    </r>
    <r>
      <rPr>
        <sz val="8"/>
        <rFont val="Arial"/>
        <family val="2"/>
      </rPr>
      <t xml:space="preserve">Deed - Voluntary Infrastructure Agreement </t>
    </r>
  </si>
  <si>
    <t>Court Order
Deed - Infrastructure Agreement</t>
  </si>
  <si>
    <t>Court Decided Extension &amp; Additional Condition to pay Stormwater  @ CPI March 2013</t>
  </si>
  <si>
    <r>
      <t>Decision Notice</t>
    </r>
    <r>
      <rPr>
        <sz val="8"/>
        <rFont val="Arial"/>
        <family val="2"/>
      </rPr>
      <t xml:space="preserve">
Change to an Existing Approval &amp; </t>
    </r>
    <r>
      <rPr>
        <b/>
        <sz val="8"/>
        <rFont val="Arial"/>
        <family val="2"/>
      </rPr>
      <t xml:space="preserve">INFRASTRUCTURE CHARGE NOTICE
</t>
    </r>
    <r>
      <rPr>
        <b/>
        <sz val="8"/>
        <color rgb="FF0000FF"/>
        <rFont val="Arial"/>
        <family val="2"/>
      </rPr>
      <t>Court Decision</t>
    </r>
  </si>
  <si>
    <r>
      <t>24/01/2010</t>
    </r>
    <r>
      <rPr>
        <sz val="8"/>
        <rFont val="Arial"/>
        <family val="2"/>
      </rPr>
      <t xml:space="preserve">
</t>
    </r>
    <r>
      <rPr>
        <strike/>
        <sz val="8"/>
        <rFont val="Arial"/>
        <family val="2"/>
      </rPr>
      <t>16/5/2012</t>
    </r>
    <r>
      <rPr>
        <sz val="8"/>
        <rFont val="Arial"/>
        <family val="2"/>
      </rPr>
      <t xml:space="preserve">
</t>
    </r>
    <r>
      <rPr>
        <sz val="8"/>
        <color rgb="FF0000FF"/>
        <rFont val="Arial"/>
        <family val="2"/>
      </rPr>
      <t>15/05/2016</t>
    </r>
  </si>
  <si>
    <t>PO Box 1923, Noosa Heads, QLD 4567</t>
  </si>
  <si>
    <t>Lot 5 SP 195871</t>
  </si>
  <si>
    <t>MCU 
(Extension to Relevant Period)</t>
  </si>
  <si>
    <t>10 Serenity Cl, Noosa Heads, QLD 4567</t>
  </si>
  <si>
    <t xml:space="preserve">51995.1871.01
</t>
  </si>
  <si>
    <t>MCU Permissible Change to Existing Approval</t>
  </si>
  <si>
    <t>Mr PJ Bacon, Mr BA Ogilvie</t>
  </si>
  <si>
    <t xml:space="preserve">C/ - Martoo Consulting
PO Box 1684
NOOSA HEADS  QLD  4567
</t>
  </si>
  <si>
    <t xml:space="preserve">The French Quarter 7/62 Hastings St NOOSA HEADS  QLD  4567 </t>
  </si>
  <si>
    <t>Lot 7 BUP 103167</t>
  </si>
  <si>
    <t>Enclose 80.3 m2 use area to gfa</t>
  </si>
  <si>
    <t xml:space="preserve">51995.1871.03
</t>
  </si>
  <si>
    <t>Enclose 17 m2 use area to gfa</t>
  </si>
  <si>
    <t>Locanda Pty Ltd</t>
  </si>
  <si>
    <t>9/08/2011
Will not lapse due to other stages completed</t>
  </si>
  <si>
    <r>
      <rPr>
        <strike/>
        <sz val="8"/>
        <rFont val="Arial"/>
        <family val="2"/>
      </rPr>
      <t>3/11/2012</t>
    </r>
    <r>
      <rPr>
        <sz val="8"/>
        <rFont val="Arial"/>
        <family val="2"/>
      </rPr>
      <t xml:space="preserve">
3/11/2016</t>
    </r>
  </si>
  <si>
    <t>23616 DA
132003.221132.8
(Stage B3)</t>
  </si>
  <si>
    <t>Stockland Lake Doonella Pty Ltd</t>
  </si>
  <si>
    <r>
      <rPr>
        <sz val="8"/>
        <rFont val="Arial"/>
        <family val="2"/>
      </rPr>
      <t xml:space="preserve">7 RP 80412             </t>
    </r>
    <r>
      <rPr>
        <sz val="8"/>
        <rFont val="Arial"/>
        <family val="2"/>
      </rPr>
      <t xml:space="preserve">
</t>
    </r>
  </si>
  <si>
    <t>Stage B3 = 13 House Lots</t>
  </si>
  <si>
    <t>Stage B4 = 13 House Lots</t>
  </si>
  <si>
    <t xml:space="preserve">Stage C1 = 9 House Lots </t>
  </si>
  <si>
    <t>23617 DA
132003.221132.8
(Stage B4)</t>
  </si>
  <si>
    <t xml:space="preserve">Re: Change to Stages
</t>
  </si>
  <si>
    <t xml:space="preserve">Re: Change to Stages 
</t>
  </si>
  <si>
    <t>800 SP 251599</t>
  </si>
  <si>
    <t xml:space="preserve">Stage C2 = 11 House Lots </t>
  </si>
  <si>
    <t xml:space="preserve">Stage C3 = 11 House Lots </t>
  </si>
  <si>
    <t xml:space="preserve">Stage C4 = 17 House Lots </t>
  </si>
  <si>
    <t xml:space="preserve">Stage C5 = 8 House Lots </t>
  </si>
  <si>
    <t xml:space="preserve">Stage C1 = 10 House Lots </t>
  </si>
  <si>
    <r>
      <rPr>
        <sz val="8"/>
        <rFont val="Arial"/>
        <family val="2"/>
      </rPr>
      <t xml:space="preserve">Change to an Exisiting Approval &amp; </t>
    </r>
    <r>
      <rPr>
        <b/>
        <sz val="8"/>
        <rFont val="Arial"/>
        <family val="2"/>
      </rPr>
      <t>INFRASTRUCTURE CHARGE NOTICE Rev</t>
    </r>
  </si>
  <si>
    <r>
      <t>24/02/2005</t>
    </r>
    <r>
      <rPr>
        <sz val="8"/>
        <rFont val="Arial"/>
        <family val="2"/>
      </rPr>
      <t xml:space="preserve">
</t>
    </r>
    <r>
      <rPr>
        <strike/>
        <sz val="8"/>
        <rFont val="Arial"/>
        <family val="2"/>
      </rPr>
      <t>21/6/2010</t>
    </r>
    <r>
      <rPr>
        <sz val="8"/>
        <rFont val="Arial"/>
        <family val="2"/>
      </rPr>
      <t xml:space="preserve">
</t>
    </r>
    <r>
      <rPr>
        <strike/>
        <sz val="8"/>
        <rFont val="Arial"/>
        <family val="2"/>
      </rPr>
      <t>16/8/2010</t>
    </r>
    <r>
      <rPr>
        <sz val="8"/>
        <rFont val="Arial"/>
        <family val="2"/>
      </rPr>
      <t xml:space="preserve">
19/08/2013</t>
    </r>
  </si>
  <si>
    <t>IC 945
(Rev 1)</t>
  </si>
  <si>
    <t>IC 207
(Rev 2)</t>
  </si>
  <si>
    <t>IC 1035</t>
  </si>
  <si>
    <r>
      <t xml:space="preserve">7 RP 80412             </t>
    </r>
    <r>
      <rPr>
        <sz val="8"/>
        <rFont val="Arial"/>
        <family val="2"/>
      </rPr>
      <t xml:space="preserve">
</t>
    </r>
  </si>
  <si>
    <t>c/ - RPS Australia East Pty Ltd
PO Box 149
WURTULLA, QLD  4575</t>
  </si>
  <si>
    <r>
      <t>26/02/2009
21/6/2014</t>
    </r>
    <r>
      <rPr>
        <sz val="8"/>
        <rFont val="Arial"/>
        <family val="2"/>
      </rPr>
      <t xml:space="preserve">
19/08/2017 (will not lapse)</t>
    </r>
  </si>
  <si>
    <r>
      <t xml:space="preserve">Change to an Exisiting Approval &amp; </t>
    </r>
    <r>
      <rPr>
        <b/>
        <sz val="8"/>
        <rFont val="Arial"/>
        <family val="2"/>
      </rPr>
      <t>INFRASTRUCTURE CHARGE NOTICE Rev</t>
    </r>
  </si>
  <si>
    <t>IC 1036</t>
  </si>
  <si>
    <t>IC 1037</t>
  </si>
  <si>
    <t>IC 1038</t>
  </si>
  <si>
    <t>IC 1039</t>
  </si>
  <si>
    <t>IC 1040</t>
  </si>
  <si>
    <r>
      <t>2/03/2013</t>
    </r>
    <r>
      <rPr>
        <sz val="8"/>
        <rFont val="Arial"/>
        <family val="2"/>
      </rPr>
      <t xml:space="preserve">
</t>
    </r>
    <r>
      <rPr>
        <strike/>
        <sz val="8"/>
        <rFont val="Arial"/>
        <family val="2"/>
      </rPr>
      <t>29/6/2013</t>
    </r>
    <r>
      <rPr>
        <sz val="8"/>
        <rFont val="Arial"/>
        <family val="2"/>
      </rPr>
      <t xml:space="preserve">
29/06/2015</t>
    </r>
  </si>
  <si>
    <r>
      <t>3/03/2009</t>
    </r>
    <r>
      <rPr>
        <sz val="8"/>
        <rFont val="Arial"/>
        <family val="2"/>
      </rPr>
      <t xml:space="preserve">
</t>
    </r>
    <r>
      <rPr>
        <strike/>
        <sz val="8"/>
        <rFont val="Arial"/>
        <family val="2"/>
      </rPr>
      <t>30/6/09</t>
    </r>
    <r>
      <rPr>
        <sz val="8"/>
        <rFont val="Arial"/>
        <family val="2"/>
      </rPr>
      <t xml:space="preserve">
</t>
    </r>
    <r>
      <rPr>
        <strike/>
        <sz val="8"/>
        <rFont val="Arial"/>
        <family val="2"/>
      </rPr>
      <t>20/5/2010</t>
    </r>
    <r>
      <rPr>
        <sz val="8"/>
        <rFont val="Arial"/>
        <family val="2"/>
      </rPr>
      <t xml:space="preserve">
1/06/2013</t>
    </r>
  </si>
  <si>
    <r>
      <t>16/02/2013</t>
    </r>
    <r>
      <rPr>
        <sz val="8"/>
        <rFont val="Arial"/>
        <family val="2"/>
      </rPr>
      <t xml:space="preserve">
19/6/2017</t>
    </r>
  </si>
  <si>
    <t>29 David Low Way  NOOSA HEADS  QLD  4567</t>
  </si>
  <si>
    <t>Lot 9 SP 195871</t>
  </si>
  <si>
    <t xml:space="preserve">Infrastructure Charge Notice </t>
  </si>
  <si>
    <t>PO Box 418, Cooroy QLD 4563</t>
  </si>
  <si>
    <t>25 SP107911</t>
  </si>
  <si>
    <t>36 Stormbird Drive, Noosa Heads, QLD 4567</t>
  </si>
  <si>
    <r>
      <rPr>
        <strike/>
        <sz val="8"/>
        <rFont val="Arial"/>
        <family val="2"/>
      </rPr>
      <t>22/11/2011</t>
    </r>
    <r>
      <rPr>
        <sz val="8"/>
        <rFont val="Arial"/>
        <family val="2"/>
      </rPr>
      <t xml:space="preserve">
13/12/2013</t>
    </r>
  </si>
  <si>
    <r>
      <rPr>
        <strike/>
        <sz val="8"/>
        <rFont val="Arial"/>
        <family val="2"/>
      </rPr>
      <t>22/11/2007</t>
    </r>
    <r>
      <rPr>
        <sz val="8"/>
        <rFont val="Arial"/>
        <family val="2"/>
      </rPr>
      <t xml:space="preserve">
9/03/2011</t>
    </r>
  </si>
  <si>
    <r>
      <rPr>
        <strike/>
        <sz val="8"/>
        <rFont val="Arial"/>
        <family val="2"/>
      </rPr>
      <t>22/11/2007</t>
    </r>
    <r>
      <rPr>
        <sz val="8"/>
        <rFont val="Arial"/>
        <family val="2"/>
      </rPr>
      <t xml:space="preserve">
8/12/2011</t>
    </r>
  </si>
  <si>
    <r>
      <rPr>
        <strike/>
        <sz val="8"/>
        <rFont val="Arial"/>
        <family val="2"/>
      </rPr>
      <t>22/11/2011</t>
    </r>
    <r>
      <rPr>
        <sz val="8"/>
        <rFont val="Arial"/>
        <family val="2"/>
      </rPr>
      <t xml:space="preserve">
27/02/2014</t>
    </r>
  </si>
  <si>
    <r>
      <rPr>
        <strike/>
        <sz val="8"/>
        <rFont val="Arial"/>
        <family val="2"/>
      </rPr>
      <t>22/05/2012</t>
    </r>
    <r>
      <rPr>
        <sz val="8"/>
        <rFont val="Arial"/>
        <family val="2"/>
      </rPr>
      <t xml:space="preserve">
22/05/2016</t>
    </r>
  </si>
  <si>
    <r>
      <rPr>
        <strike/>
        <sz val="8"/>
        <rFont val="Arial"/>
        <family val="2"/>
      </rPr>
      <t>22/05/2008</t>
    </r>
    <r>
      <rPr>
        <sz val="8"/>
        <rFont val="Arial"/>
        <family val="2"/>
      </rPr>
      <t xml:space="preserve">
9/07/2012</t>
    </r>
  </si>
  <si>
    <r>
      <rPr>
        <strike/>
        <sz val="8"/>
        <rFont val="Arial"/>
        <family val="2"/>
      </rPr>
      <t>7/07/2012</t>
    </r>
    <r>
      <rPr>
        <sz val="8"/>
        <rFont val="Arial"/>
        <family val="2"/>
      </rPr>
      <t xml:space="preserve">
31/10/2015</t>
    </r>
  </si>
  <si>
    <r>
      <rPr>
        <strike/>
        <sz val="8"/>
        <rFont val="Arial"/>
        <family val="2"/>
      </rPr>
      <t>1/12/2012</t>
    </r>
    <r>
      <rPr>
        <sz val="8"/>
        <rFont val="Arial"/>
        <family val="2"/>
      </rPr>
      <t xml:space="preserve">
1/12/2016</t>
    </r>
  </si>
  <si>
    <r>
      <rPr>
        <strike/>
        <sz val="8"/>
        <rFont val="Arial"/>
        <family val="2"/>
      </rPr>
      <t>1/12/2008</t>
    </r>
    <r>
      <rPr>
        <sz val="8"/>
        <rFont val="Arial"/>
        <family val="2"/>
      </rPr>
      <t xml:space="preserve">
5/07/2012</t>
    </r>
  </si>
  <si>
    <r>
      <t>16/02/2009</t>
    </r>
    <r>
      <rPr>
        <sz val="8"/>
        <rFont val="Arial"/>
        <family val="2"/>
      </rPr>
      <t xml:space="preserve">
</t>
    </r>
    <r>
      <rPr>
        <strike/>
        <sz val="8"/>
        <rFont val="Arial"/>
        <family val="2"/>
      </rPr>
      <t>10/6/09</t>
    </r>
    <r>
      <rPr>
        <sz val="8"/>
        <rFont val="Arial"/>
        <family val="2"/>
      </rPr>
      <t xml:space="preserve">
24/05/2013</t>
    </r>
  </si>
  <si>
    <t>PART PAID      
(IC only)</t>
  </si>
  <si>
    <t>PART PAID     
(IC only)</t>
  </si>
  <si>
    <r>
      <t>4/12/2008
21/4/09</t>
    </r>
    <r>
      <rPr>
        <sz val="8"/>
        <rFont val="Arial"/>
        <family val="2"/>
      </rPr>
      <t xml:space="preserve">
24/09/2013</t>
    </r>
  </si>
  <si>
    <r>
      <t>4/12/2012</t>
    </r>
    <r>
      <rPr>
        <sz val="8"/>
        <rFont val="Arial"/>
        <family val="2"/>
      </rPr>
      <t xml:space="preserve">
</t>
    </r>
    <r>
      <rPr>
        <strike/>
        <sz val="8"/>
        <rFont val="Arial"/>
        <family val="2"/>
      </rPr>
      <t>20/04/2013</t>
    </r>
    <r>
      <rPr>
        <sz val="8"/>
        <rFont val="Arial"/>
        <family val="2"/>
      </rPr>
      <t xml:space="preserve">
20/04/2015</t>
    </r>
  </si>
  <si>
    <t>Park land provided in lieu</t>
  </si>
  <si>
    <t>Sub Totals Paid =</t>
  </si>
  <si>
    <t>Total Part Paid =</t>
  </si>
  <si>
    <r>
      <t>8/10/2009</t>
    </r>
    <r>
      <rPr>
        <sz val="8"/>
        <rFont val="Arial"/>
        <family val="2"/>
      </rPr>
      <t xml:space="preserve">
</t>
    </r>
    <r>
      <rPr>
        <strike/>
        <sz val="8"/>
        <rFont val="Arial"/>
        <family val="2"/>
      </rPr>
      <t>8/10/2013</t>
    </r>
    <r>
      <rPr>
        <sz val="8"/>
        <rFont val="Arial"/>
        <family val="2"/>
      </rPr>
      <t xml:space="preserve">
8/10/2017</t>
    </r>
  </si>
  <si>
    <r>
      <rPr>
        <strike/>
        <sz val="8"/>
        <rFont val="Arial"/>
        <family val="2"/>
      </rPr>
      <t>4/02/2014</t>
    </r>
    <r>
      <rPr>
        <sz val="8"/>
        <rFont val="Arial"/>
        <family val="2"/>
      </rPr>
      <t xml:space="preserve">
28/09/2016</t>
    </r>
  </si>
  <si>
    <r>
      <t xml:space="preserve">Court Approval
</t>
    </r>
    <r>
      <rPr>
        <strike/>
        <sz val="8"/>
        <rFont val="Arial"/>
        <family val="2"/>
      </rPr>
      <t>12/02/2010</t>
    </r>
    <r>
      <rPr>
        <sz val="8"/>
        <rFont val="Arial"/>
        <family val="2"/>
      </rPr>
      <t xml:space="preserve">
</t>
    </r>
    <r>
      <rPr>
        <strike/>
        <sz val="8"/>
        <rFont val="Arial"/>
        <family val="2"/>
      </rPr>
      <t>24/01/2012</t>
    </r>
    <r>
      <rPr>
        <sz val="8"/>
        <rFont val="Arial"/>
        <family val="2"/>
      </rPr>
      <t xml:space="preserve">
15/11/2013</t>
    </r>
  </si>
  <si>
    <t>51989.1635.01
(TPC 2178 - Change to Existing)</t>
  </si>
  <si>
    <t>Ms CA Tretheway</t>
  </si>
  <si>
    <t xml:space="preserve">PO Box 613
NOOSA HEADS  QLD  4567
</t>
  </si>
  <si>
    <t xml:space="preserve">37 Duke St SUNSHINE BEACH  QLD  4567 </t>
  </si>
  <si>
    <t>Lot 1 BUP 10951</t>
  </si>
  <si>
    <t>3x3bed units</t>
  </si>
  <si>
    <t>Previously paid 2 x 3 bed units + 1 x 2 bed units</t>
  </si>
  <si>
    <r>
      <t>Decision Notice</t>
    </r>
    <r>
      <rPr>
        <sz val="8"/>
        <rFont val="Arial"/>
        <family val="2"/>
      </rPr>
      <t xml:space="preserve">
</t>
    </r>
    <r>
      <rPr>
        <strike/>
        <sz val="8"/>
        <rFont val="Arial"/>
        <family val="2"/>
      </rPr>
      <t>Negotiated Decision Notice</t>
    </r>
    <r>
      <rPr>
        <sz val="8"/>
        <rFont val="Arial"/>
        <family val="2"/>
      </rPr>
      <t xml:space="preserve">
Change to Existing Approval</t>
    </r>
  </si>
  <si>
    <r>
      <t>23/03/2006</t>
    </r>
    <r>
      <rPr>
        <sz val="8"/>
        <rFont val="Arial"/>
        <family val="2"/>
      </rPr>
      <t xml:space="preserve">
</t>
    </r>
    <r>
      <rPr>
        <strike/>
        <sz val="8"/>
        <rFont val="Arial"/>
        <family val="2"/>
      </rPr>
      <t>6/2/2009</t>
    </r>
    <r>
      <rPr>
        <sz val="8"/>
        <rFont val="Arial"/>
        <family val="2"/>
      </rPr>
      <t xml:space="preserve">
13/12/2013</t>
    </r>
  </si>
  <si>
    <r>
      <t>23/03/2010</t>
    </r>
    <r>
      <rPr>
        <sz val="8"/>
        <rFont val="Arial"/>
        <family val="2"/>
      </rPr>
      <t xml:space="preserve">
</t>
    </r>
    <r>
      <rPr>
        <strike/>
        <sz val="8"/>
        <rFont val="Arial"/>
        <family val="2"/>
      </rPr>
      <t>6/2/2013</t>
    </r>
    <r>
      <rPr>
        <sz val="8"/>
        <rFont val="Arial"/>
        <family val="2"/>
      </rPr>
      <t xml:space="preserve">
9/02/2017
</t>
    </r>
  </si>
  <si>
    <t>DevelopApplType</t>
  </si>
  <si>
    <t>DueDate</t>
  </si>
  <si>
    <t>Comment</t>
  </si>
  <si>
    <t>0</t>
  </si>
  <si>
    <t>Material Change of Use</t>
  </si>
  <si>
    <t>Before the Change of Use happens</t>
  </si>
  <si>
    <t>1x Residential lot</t>
  </si>
  <si>
    <t>Reconfiguration of a Lot</t>
  </si>
  <si>
    <t>Prior to Council Approval of the Plan of Subdivision</t>
  </si>
  <si>
    <t>1x Detached House lot</t>
  </si>
  <si>
    <t>1</t>
  </si>
  <si>
    <t>2</t>
  </si>
  <si>
    <t>1x Detached House</t>
  </si>
  <si>
    <t>2x Residential lots</t>
  </si>
  <si>
    <t>1x Residential Lot</t>
  </si>
  <si>
    <t>1x detached house lot</t>
  </si>
  <si>
    <t>Sooner of Certificate of Classification or Final Inspection Certificate or Occupancy of Building</t>
  </si>
  <si>
    <t>1x Residential dwelling</t>
  </si>
  <si>
    <t>1x Balance lot</t>
  </si>
  <si>
    <t>NIL</t>
  </si>
  <si>
    <t>1x balance lot</t>
  </si>
  <si>
    <t>2x residential lots</t>
  </si>
  <si>
    <t>1x residential Dwelling</t>
  </si>
  <si>
    <t>REC10/2073</t>
  </si>
  <si>
    <t xml:space="preserve"> Lot 49 RP 136461</t>
  </si>
  <si>
    <t>Lot 2 RP 177554</t>
  </si>
  <si>
    <t>Lot 11 SP 179879</t>
  </si>
  <si>
    <t>MCU11/0069</t>
  </si>
  <si>
    <t>Lot 1 RP 129020</t>
  </si>
  <si>
    <t>REC10/2022</t>
  </si>
  <si>
    <t>Lot 383 M 371134 &amp; Lot 4 RP 885196</t>
  </si>
  <si>
    <t>Lot 79 RP 120695</t>
  </si>
  <si>
    <t>Frontage works (pathway) as per Decision Notice.</t>
  </si>
  <si>
    <t>Lot 2 RP 41272</t>
  </si>
  <si>
    <t>The McKay Family Trust</t>
  </si>
  <si>
    <t>MCU11/0167</t>
  </si>
  <si>
    <t>Lot 1 RP 75832</t>
  </si>
  <si>
    <t>Terry Thornton</t>
  </si>
  <si>
    <t>MCU12/0161</t>
  </si>
  <si>
    <t>Lot 5 RP 65316 &amp; Lot 4 RP 87781</t>
  </si>
  <si>
    <t>REC12/0045</t>
  </si>
  <si>
    <t>Lot 4 RP 903868</t>
  </si>
  <si>
    <t>ZAJO Pty Ltd</t>
  </si>
  <si>
    <t>MCU12/0125(01)</t>
  </si>
  <si>
    <t>Lots 11 &amp; 12 C56026  and Lot 10 C5606</t>
  </si>
  <si>
    <t>Existing lots subject to boundary re-alignment on REC12/0064. REC12/0064.01 chages boundary realignment to 3 lots into 2 lots._x000D_
Infrastructure Charges issued on subsequent approval MCU13/0145 apply the 2 (originally) remaining lots as credit resulting in the balance of 1 lot being applied as credit to this change to approval._x000D_
NOTE: The Rev0 issue charged for motel and 2 dwellings with credit for 3 dwellings.</t>
  </si>
  <si>
    <t>1x Residential lot_x000D_
(originally 3x residential lots - see note below)</t>
  </si>
  <si>
    <t>Lot 102 SP 236318</t>
  </si>
  <si>
    <t>Retirement &amp; Special Needs (Essential Services) - 4580m² gfa_x000D_
Impervious Area (Estimated) - 7600m²</t>
  </si>
  <si>
    <t>Retirement &amp; Special Needs (Essential Services) - 4800m² gfa_x000D_
Impervious Area (Estimated) - 7850m²</t>
  </si>
  <si>
    <t>REC13/0058</t>
  </si>
  <si>
    <t>Lot 11 P 5013</t>
  </si>
  <si>
    <t>Lot 6 RP 901384 &amp; Lot 1 SP 177650</t>
  </si>
  <si>
    <t>1x vacant lot - (second lot created from Council owned Open Space land.</t>
  </si>
  <si>
    <t>Discount applied at STAGE 1</t>
  </si>
  <si>
    <t>P &amp; E Upton</t>
  </si>
  <si>
    <t>MCU12/0009</t>
  </si>
  <si>
    <t>Lot 391 M 37230</t>
  </si>
  <si>
    <t>Lot 3 RP 129637</t>
  </si>
  <si>
    <t>Individual charges adjusted proportionally to total charge.</t>
  </si>
  <si>
    <t>Service Station &amp; Shop - 97m2 gfa +_x000D_
Vehicle Sales &amp; Hire - 115m2 + _x000D_
Office - 52m2 gfa +_x000D_
Tyre Service - 130m2 gfa + Caretakers Residence (1x Bedroom)</t>
  </si>
  <si>
    <t>REC12/0014</t>
  </si>
  <si>
    <t>Lot 80 SP211687</t>
  </si>
  <si>
    <t>1 X lot (Lot1 - retail business types 4,6&amp;7 per MCU approval 2007/0256)</t>
  </si>
  <si>
    <t>Carl Nancarrow C/- Dillon Folker Stephens Town Planners</t>
  </si>
  <si>
    <t>MCU12/0040</t>
  </si>
  <si>
    <t>Lot 1 SP 168351</t>
  </si>
  <si>
    <t>Wolter Group Holdings Pty Ltd  T/A Wolter Consulting Group</t>
  </si>
  <si>
    <t>132007.2554</t>
  </si>
  <si>
    <t>Lot 500 SP 215779</t>
  </si>
  <si>
    <t>1 Residential lot = 1 Detached House lot credit</t>
  </si>
  <si>
    <t>see comments</t>
  </si>
  <si>
    <t>PCA Architects Pty Ltd</t>
  </si>
  <si>
    <t>Lot 81 RP 71151 &amp; Lot 1 RP 130594</t>
  </si>
  <si>
    <t>Tom Forde</t>
  </si>
  <si>
    <t>MCU12/0048</t>
  </si>
  <si>
    <t>Lot 1 RP 222077</t>
  </si>
  <si>
    <t>Lot 1 SP 208258</t>
  </si>
  <si>
    <t>Lot 69 P 9313</t>
  </si>
  <si>
    <t>Retail Business - Type 2 (shop &amp; salon) - 271m2 - (commercial retail)</t>
  </si>
  <si>
    <t>MCU11/0216</t>
  </si>
  <si>
    <t>Lot 11 RP 81559</t>
  </si>
  <si>
    <t>1x Vacant lot - residential lot credit applied as dwelling was on site previously</t>
  </si>
  <si>
    <t>MCU12/0023</t>
  </si>
  <si>
    <t>Consider the 70m2 outdoor dining to be chargeable gfa as it increases total floor area use of the building being constructed &amp; is no different to a Mezzanine. Resolution = GFA means the total floor area of all stories of a building. Refer also to Graeme Phillips Legal advice 6 June 2012 &amp; Sustainable Planning Regulation definition._x000D_
Stormwater will not be applied as this is not changing the impervious area of the building approved by the previous MCU._x000D_
Stormwater can be assessed &amp; applied to whole development on receipt of a Building Approval Permit.</t>
  </si>
  <si>
    <t>Not applicable_x000D_
Only assessing the additional &amp; expansion of the previously approved development.</t>
  </si>
  <si>
    <t>MCU11/0254</t>
  </si>
  <si>
    <t>Lot 4 SP 222982</t>
  </si>
  <si>
    <t>Cool Architecture</t>
  </si>
  <si>
    <t>MCU12/0089</t>
  </si>
  <si>
    <t>Lot 291 MCH 811938</t>
  </si>
  <si>
    <t>Planners referral references additional imperv area of 476m2 but map aerial measure shows 651 m2 will now become inmperv due to proposed development.</t>
  </si>
  <si>
    <t>498 m2 gfa Light Industry</t>
  </si>
  <si>
    <t>MCU12/0117 (Stage 1)</t>
  </si>
  <si>
    <t>Additional to existing commmercial tenancies occupying the site (no discount applied)</t>
  </si>
  <si>
    <t>MCU12/0047</t>
  </si>
  <si>
    <t>Lot 1 BUP 2550 &amp; BUP 2550</t>
  </si>
  <si>
    <t>Commercial Office - 152m2 gfa</t>
  </si>
  <si>
    <t>JM Tatton Developments</t>
  </si>
  <si>
    <t>PC12/2025</t>
  </si>
  <si>
    <t>Lot 9 SP 230643</t>
  </si>
  <si>
    <t>WATER SUPPLY AND PARKS PAID UNDER PREV RECONFIG 2006/1594 &amp; OTHER NETWORKS ARE PAYABLE UNDER MCU 132007.1841 WHEN BUILDING IS COMPLETED</t>
  </si>
  <si>
    <t>REC12/0053</t>
  </si>
  <si>
    <t>LOT 2 RP 203517</t>
  </si>
  <si>
    <t>Chris Clout Design Pty Ltd</t>
  </si>
  <si>
    <t>MCU12/0155</t>
  </si>
  <si>
    <t>Lot 11 RP 65319</t>
  </si>
  <si>
    <t>1 x lot &amp; dwelling house</t>
  </si>
  <si>
    <t>RWSIP Pty Ltd</t>
  </si>
  <si>
    <t>MCU12/0092 (MCU12/0092.01)</t>
  </si>
  <si>
    <t>Lot 2 RP 84186</t>
  </si>
  <si>
    <t>Lot 2 SP 222982</t>
  </si>
  <si>
    <t>Mr D Gardiner</t>
  </si>
  <si>
    <t>PC12/3929</t>
  </si>
  <si>
    <t>Lot 2 SP 189445</t>
  </si>
  <si>
    <t>REC13/0013</t>
  </si>
  <si>
    <t>Lot 4 SP 149484</t>
  </si>
  <si>
    <t>MCU12/0133</t>
  </si>
  <si>
    <t>Lot 3 RP 887636</t>
  </si>
  <si>
    <t>REC13/0015</t>
  </si>
  <si>
    <t>Lot 136 MCH 978</t>
  </si>
  <si>
    <t>Lot 53 SP 163571</t>
  </si>
  <si>
    <t>MCU13/0009</t>
  </si>
  <si>
    <t>Lot 3 RP 214440</t>
  </si>
  <si>
    <t>NIL applied (application describes cabins only)</t>
  </si>
  <si>
    <t>The Certifier Pty Ltd</t>
  </si>
  <si>
    <t>MCU13/0080</t>
  </si>
  <si>
    <t>Lot 67 RP 842163</t>
  </si>
  <si>
    <t>REC11/0145</t>
  </si>
  <si>
    <t>Lot 2 RP 234161</t>
  </si>
  <si>
    <t>Lot 2 SP 108800</t>
  </si>
  <si>
    <t>REC13/0094 (REC13/0094.01) Stage 1</t>
  </si>
  <si>
    <t>Lot 41 RP 913605</t>
  </si>
  <si>
    <t>Revision 1 due to change to approval (staging). See also AICN 537.</t>
  </si>
  <si>
    <t>Soul Space</t>
  </si>
  <si>
    <t>MCU13/0098</t>
  </si>
  <si>
    <t>Water &amp; Sewer credits on parent lot exhausted in stage 1 of REC12/0106)._x000D_
Impervious area includes internal access road.</t>
  </si>
  <si>
    <t>1x Industrial lot (subject to payment and sealing of REC12/0106 as required by approval condition)_x000D_
Water credit based on previous contribution = 5 industrial lots_x000D_
Sewer credit based on previous contribution = 4 lots</t>
  </si>
  <si>
    <t>REC13/0094 (REC13/0094.01) Stage 2</t>
  </si>
  <si>
    <t>REC13/0059 - Stage 1</t>
  </si>
  <si>
    <t>Lot 2 RP 149081</t>
  </si>
  <si>
    <t>REC13/0059 - Stage 2</t>
  </si>
  <si>
    <t>REC13/0095</t>
  </si>
  <si>
    <t>Lot 2 RP 173883 &amp; Lot 137 MCH 978</t>
  </si>
  <si>
    <t>Noosa Building Certifiers</t>
  </si>
  <si>
    <t>MCU13/0165</t>
  </si>
  <si>
    <t>Lot 2 RP 200510</t>
  </si>
  <si>
    <t>MCU13/0064</t>
  </si>
  <si>
    <t>Lot 55 MCH 1667</t>
  </si>
  <si>
    <t>2 x Dwellings (Main Residence + Caretakers Residence)</t>
  </si>
  <si>
    <t>MCU13/0199</t>
  </si>
  <si>
    <t>Lot 40 SP 233478</t>
  </si>
  <si>
    <t>Lot 54 RP 139776</t>
  </si>
  <si>
    <t>Retail Business – Type 2 Shop &amp; Salon (Supermarket) = 3,850 m2 GFA</t>
  </si>
  <si>
    <t>Hayley Jamieson &amp; Duncan Squires</t>
  </si>
  <si>
    <t>MCU13/0200</t>
  </si>
  <si>
    <t>Lot 47 RP 76937</t>
  </si>
  <si>
    <t>MCU13/0069</t>
  </si>
  <si>
    <t>MCU13/0095(01)</t>
  </si>
  <si>
    <t>Lot 1 RP802167</t>
  </si>
  <si>
    <t>REC13/0098</t>
  </si>
  <si>
    <t>Lot 7 SP 167230</t>
  </si>
  <si>
    <t>Charge
Notice
No</t>
  </si>
  <si>
    <t>Applicant
Name</t>
  </si>
  <si>
    <t>Applicant
Addr</t>
  </si>
  <si>
    <t>Issue
Date</t>
  </si>
  <si>
    <t>Application
No</t>
  </si>
  <si>
    <t>Rev
No</t>
  </si>
  <si>
    <t>CPI
Date</t>
  </si>
  <si>
    <t>Transport
Charge</t>
  </si>
  <si>
    <t>Parks
Charge</t>
  </si>
  <si>
    <t>Stormwater
Charge</t>
  </si>
  <si>
    <t>Water
Charge</t>
  </si>
  <si>
    <t>Water
Offset</t>
  </si>
  <si>
    <t>Wastewater
Charge</t>
  </si>
  <si>
    <t>Wastewater
Offset</t>
  </si>
  <si>
    <t>Transport
Payments</t>
  </si>
  <si>
    <t>Parks
Payments</t>
  </si>
  <si>
    <t>Stormwater
Payments</t>
  </si>
  <si>
    <t>Water
Payments</t>
  </si>
  <si>
    <t>Wastewater
Payments</t>
  </si>
  <si>
    <t>Previous Contributions &amp; ICP only paid for MCU 2005/1021 (Change to 2005/1021 &amp; 2009/1791 have not been paid)_x000D_
Ent &amp; Dining Business Type 1 (restaurant/café) = (Commercial Business - Retail) = 247m2 +_x000D_
Retail Business Type 7 (lifestyle &amp; garden centre) = (Commercial Bulk Goods) = 1,399m2 _x000D_
Site area = 3,799m2 _x000D_
Existing impervious area = 3,799m2 site area - 600m2 (estimate from mapping/aerials) = 3,199m2 impervious _x000D_(note 835 m2 estimate soft landscaping however some occurs under roofed areas &amp; therfore use lower value = in development's favour)</t>
  </si>
  <si>
    <t>Offset / Rebate
Basis</t>
  </si>
  <si>
    <t>Transport
Offset / Rebate</t>
  </si>
  <si>
    <t>Discount (Exsting Credit)
Details</t>
  </si>
  <si>
    <t>Office (80m2) + Restaurant (100m2 gfa)</t>
  </si>
  <si>
    <t>Stormwater
NET</t>
  </si>
  <si>
    <t>Water
NET</t>
  </si>
  <si>
    <t>Wastewater
NET</t>
  </si>
  <si>
    <t>Parks
NET</t>
  </si>
  <si>
    <t>Transport
NET</t>
  </si>
  <si>
    <t>1x Residential lot+ 1x balance lot</t>
  </si>
  <si>
    <t>Demand Details</t>
  </si>
  <si>
    <t>2x detached House lots</t>
  </si>
  <si>
    <t>Property Address</t>
  </si>
  <si>
    <t>27 Jirrima Cres COOROIBAH</t>
  </si>
  <si>
    <t>17 Grant St NOOSA HEADS</t>
  </si>
  <si>
    <t>Duplex - 2x 3 bedroom</t>
  </si>
  <si>
    <t>95 Eumundi Noosa Rd NOOSAVILLE</t>
  </si>
  <si>
    <t>10 x 2 bedroom units + 8 x 1 bedroom units</t>
  </si>
  <si>
    <t>55 &amp; 749 Dr Pages Rd KIN KIN</t>
  </si>
  <si>
    <t>3x Residential lots</t>
  </si>
  <si>
    <t>Duplex - 2x 3 bedroom units</t>
  </si>
  <si>
    <t>Multiple Dwelling Units - 2x 3 bedroom + 2x 2 bedroom</t>
  </si>
  <si>
    <t>3 Riverstone Ct TEWANTIN</t>
  </si>
  <si>
    <t>86-88 Summit Rd POMONA</t>
  </si>
  <si>
    <t>10x Residential lots + Park</t>
  </si>
  <si>
    <t>Ancillary Dwelling Unit (1x 2 bedroom) + Restaurant (100m2 gfa)</t>
  </si>
  <si>
    <t>12 Thomas St NOOSAVILLE</t>
  </si>
  <si>
    <t>Retirement Village - 42x 2 bedroom units
Commercial business - Medical and Wellbeing - Health (Essential Svcs) - 6300m2 + 2431m2
Impervious Area - 7399m2 (does not include Retirement Village)</t>
  </si>
  <si>
    <t>Grasstree Ct SUNRISE BEACH</t>
  </si>
  <si>
    <t>Retirement Village - 67x 2 bedroom units</t>
  </si>
  <si>
    <t>312 Teewah Beach Rd NOOSA NORTH SHORE</t>
  </si>
  <si>
    <t>Bed &amp; Breakfast - 3 rooms (+ dwelling)</t>
  </si>
  <si>
    <t>Service Station &amp; Shop - 129m2 gfa + Fast Food Restaurant - 258m2 gfa
NO INCREASE TO IMPERVIOUS AREA</t>
  </si>
  <si>
    <t>178 Eumundi Noosa Rd Noosaville</t>
  </si>
  <si>
    <t>2 X lots (Lot1 - retail business types 4,6&amp;7 per MCU approval 2007/0256) + (Lot 2 - industrial business types 1 or 2 = vacant)
equals 1 additional industrial lot</t>
  </si>
  <si>
    <t>327 Dath Henderson Rd TINBEERWAH</t>
  </si>
  <si>
    <t>Ancillary dwelling Unit - 1x bedroom (in addition to dwelling)</t>
  </si>
  <si>
    <t>Visitor accommodation - Type 4 Conventional (fully self contained recreation and dining facilities within dwelling unit) = 24 x 3 bedroom dwellings Short term accommodation
(88 bedrooms &amp; equivalent)
SPRP (adopted charges) governs amount</t>
  </si>
  <si>
    <t>Multiple Dwelling Units - 13 units (13x 2 bedroom units)</t>
  </si>
  <si>
    <t>Dwelling including maximum 3 bedrooms B&amp;B</t>
  </si>
  <si>
    <t>478 Dath Henderson Rd TINBEERWAH</t>
  </si>
  <si>
    <t>30 Mary St NOOSAVILLE</t>
  </si>
  <si>
    <t>Office - 311m2 gfa Impervious Area - 644m2</t>
  </si>
  <si>
    <t>This new MCU is for development in addition to the previous Court order approval 132007.1259.  Application is to: - include 13 juliette balconies (3.84m² each) = Infrastructure Charges are Not Applicable for balconies to residential development. - additional 70m² of outdoor dining on podium as part of building being constructed</t>
  </si>
  <si>
    <t>215 David Low Way PEREGIAN BEACH  QLD  4573</t>
  </si>
  <si>
    <t>Multiple Housing - 30x 2 bedroom units</t>
  </si>
  <si>
    <t>60 Hofmann Dr NOOSAVILLE</t>
  </si>
  <si>
    <t>1043 m2 gfa Light Industry including additional 651 m2 inpervious area (additional carpark or roof area) 21/8/2012 Marcus Brennan advises that 55m2gfa mezzanine to be removed from Shed 2.</t>
  </si>
  <si>
    <t>12 Action St Noosaville</t>
  </si>
  <si>
    <t>Stage 1 of Café - 14.4 m2 gfa</t>
  </si>
  <si>
    <t>Stage 2 of Café - 7.2 m2 gfa</t>
  </si>
  <si>
    <t>Shop - 52m2 gfa + Office - 26m2 gfa + 1x 2 bedroom unit
Impervious area increase of 8m2 included in residential unit charge.</t>
  </si>
  <si>
    <t>Pine Trees 1/12 Hastings St NOOSA HEADS</t>
  </si>
  <si>
    <t>9/100 Rene St, Noosaville</t>
  </si>
  <si>
    <t>794M2 GFA BUILDING AND 1266M2 GFA IMPERVIOUS AREA</t>
  </si>
  <si>
    <t>2x Residential Lots</t>
  </si>
  <si>
    <t>41 Tait Street TEWANTIN</t>
  </si>
  <si>
    <t>7 &amp; 5 Robert St NOOSAVILLE</t>
  </si>
  <si>
    <t>680 Pomona Kin Kin Rd KIN KIN  QLD  4571</t>
  </si>
  <si>
    <t>48, 50 &amp; 52 Kauri St COOROY</t>
  </si>
  <si>
    <t>Motel (14x 1 bedroom suites) + Managers Residence (1x bedroom)</t>
  </si>
  <si>
    <t>1 x 3 bedroom unit and 
1 x 2 bedroom units.</t>
  </si>
  <si>
    <t>12 Howard St NOOSAVILLE  QLD  4566</t>
  </si>
  <si>
    <t>4x Multiple Dwelling Units - 1x 1 bedroom unit + 3x 2 bedroom units</t>
  </si>
  <si>
    <t>79 Poinciana Ave TEWANTIN</t>
  </si>
  <si>
    <t>2/61 Gateway Drive NOOSAVILLE 4566</t>
  </si>
  <si>
    <t>280 Dr Pages Rd COOTHARABA</t>
  </si>
  <si>
    <t>2 Girraween Ct SUNSHINE BEACH</t>
  </si>
  <si>
    <t>20 Topaz St COOROY</t>
  </si>
  <si>
    <t>Retirement &amp; Special Needs (Essential Services) - 6536m² gfa
Impervious Area (Estimated) - 9800m²</t>
  </si>
  <si>
    <t>5 Church St POMONA</t>
  </si>
  <si>
    <t>5x Residential lots</t>
  </si>
  <si>
    <t>55 Lake Macdonald Dr COOROY</t>
  </si>
  <si>
    <t>9x Residential lots + 1 balance lot</t>
  </si>
  <si>
    <t>16x Residential lots + 1 balance lot</t>
  </si>
  <si>
    <t>25x Residential lots + 1 balance lot</t>
  </si>
  <si>
    <t>3x 2 bedroom b&amp;b cabins (additional to existing dwelling)</t>
  </si>
  <si>
    <t>93 Black Pinch Rd POMONA</t>
  </si>
  <si>
    <t>18 Sunseeker Cl NOOSAVILLE</t>
  </si>
  <si>
    <t>3x Multiple Dwelling Units - (2x 3 bedroom + 1x 2 bedroom)</t>
  </si>
  <si>
    <t>21 Webb Rd SUNSHINE BEACH</t>
  </si>
  <si>
    <t>101 Silverwood Dr COOROIBAH  QLD  4565</t>
  </si>
  <si>
    <t>37 Gibson Rd NOOSAVILLE  QLD  4566</t>
  </si>
  <si>
    <t>13 Watson Ct KIN KIN</t>
  </si>
  <si>
    <t>4x Residential lots</t>
  </si>
  <si>
    <t>28 Cullinane St TEWANTIN</t>
  </si>
  <si>
    <t>8x Residential lots</t>
  </si>
  <si>
    <t>327 Middle Creek Rd FEDERAL</t>
  </si>
  <si>
    <t>10 bedroom "Boutique Resort" + Managers Residence</t>
  </si>
  <si>
    <t>Makepeace Island NOOSA NORTH SHORE  QLD  4565</t>
  </si>
  <si>
    <t>43 Elizabeth St NOOSAVILLE</t>
  </si>
  <si>
    <t>Duplex - 1x 3 bedroom unit + 1x 2 bedroom unit</t>
  </si>
  <si>
    <t>Retail Business – Type 2 Shop &amp; Salon (Supermarket) = 4,440 m2 GFA
No increase to Impervious area.
Charge based on additional gfa ONLY.</t>
  </si>
  <si>
    <t>7 Lake Weyba Dr NOOSAVILLE</t>
  </si>
  <si>
    <t>TOTAL
RECEIPTS</t>
  </si>
  <si>
    <t>PAYMENT
Comments</t>
  </si>
  <si>
    <t>NET TOTAL
PAYABLE</t>
  </si>
  <si>
    <t>RECEIPT
No.</t>
  </si>
  <si>
    <r>
      <rPr>
        <b/>
        <sz val="10"/>
        <color rgb="FF0000FF"/>
        <rFont val="Arial"/>
        <family val="2"/>
      </rPr>
      <t xml:space="preserve">N </t>
    </r>
    <r>
      <rPr>
        <b/>
        <sz val="10"/>
        <rFont val="Arial"/>
        <family val="2"/>
      </rPr>
      <t>1007</t>
    </r>
    <r>
      <rPr>
        <sz val="11"/>
        <color theme="1"/>
        <rFont val="Calibri"/>
        <family val="2"/>
        <scheme val="minor"/>
      </rPr>
      <t/>
    </r>
  </si>
  <si>
    <r>
      <rPr>
        <b/>
        <sz val="10"/>
        <color rgb="FF0000FF"/>
        <rFont val="Arial"/>
        <family val="2"/>
      </rPr>
      <t xml:space="preserve">N </t>
    </r>
    <r>
      <rPr>
        <b/>
        <sz val="10"/>
        <rFont val="Arial"/>
        <family val="2"/>
      </rPr>
      <t>1008</t>
    </r>
    <r>
      <rPr>
        <sz val="11"/>
        <color theme="1"/>
        <rFont val="Calibri"/>
        <family val="2"/>
        <scheme val="minor"/>
      </rPr>
      <t/>
    </r>
  </si>
  <si>
    <r>
      <rPr>
        <b/>
        <sz val="10"/>
        <color rgb="FF0000FF"/>
        <rFont val="Arial"/>
        <family val="2"/>
      </rPr>
      <t xml:space="preserve">N </t>
    </r>
    <r>
      <rPr>
        <b/>
        <sz val="10"/>
        <rFont val="Arial"/>
        <family val="2"/>
      </rPr>
      <t>1009</t>
    </r>
    <r>
      <rPr>
        <sz val="11"/>
        <color theme="1"/>
        <rFont val="Calibri"/>
        <family val="2"/>
        <scheme val="minor"/>
      </rPr>
      <t/>
    </r>
  </si>
  <si>
    <r>
      <rPr>
        <b/>
        <sz val="10"/>
        <color rgb="FF0000FF"/>
        <rFont val="Arial"/>
        <family val="2"/>
      </rPr>
      <t xml:space="preserve">N </t>
    </r>
    <r>
      <rPr>
        <b/>
        <sz val="10"/>
        <rFont val="Arial"/>
        <family val="2"/>
      </rPr>
      <t>1010</t>
    </r>
    <r>
      <rPr>
        <sz val="11"/>
        <color theme="1"/>
        <rFont val="Calibri"/>
        <family val="2"/>
        <scheme val="minor"/>
      </rPr>
      <t/>
    </r>
  </si>
  <si>
    <r>
      <rPr>
        <b/>
        <sz val="10"/>
        <color rgb="FF0000FF"/>
        <rFont val="Arial"/>
        <family val="2"/>
      </rPr>
      <t xml:space="preserve">N </t>
    </r>
    <r>
      <rPr>
        <b/>
        <sz val="10"/>
        <rFont val="Arial"/>
        <family val="2"/>
      </rPr>
      <t>1012</t>
    </r>
    <r>
      <rPr>
        <sz val="11"/>
        <color theme="1"/>
        <rFont val="Calibri"/>
        <family val="2"/>
        <scheme val="minor"/>
      </rPr>
      <t/>
    </r>
  </si>
  <si>
    <r>
      <rPr>
        <b/>
        <sz val="10"/>
        <color rgb="FF0000FF"/>
        <rFont val="Arial"/>
        <family val="2"/>
      </rPr>
      <t xml:space="preserve">N </t>
    </r>
    <r>
      <rPr>
        <b/>
        <sz val="10"/>
        <rFont val="Arial"/>
        <family val="2"/>
      </rPr>
      <t>1014</t>
    </r>
    <r>
      <rPr>
        <sz val="11"/>
        <color theme="1"/>
        <rFont val="Calibri"/>
        <family val="2"/>
        <scheme val="minor"/>
      </rPr>
      <t/>
    </r>
  </si>
  <si>
    <r>
      <rPr>
        <b/>
        <sz val="10"/>
        <color rgb="FF0000FF"/>
        <rFont val="Arial"/>
        <family val="2"/>
      </rPr>
      <t xml:space="preserve">N </t>
    </r>
    <r>
      <rPr>
        <b/>
        <sz val="10"/>
        <rFont val="Arial"/>
        <family val="2"/>
      </rPr>
      <t>1015</t>
    </r>
    <r>
      <rPr>
        <sz val="11"/>
        <color theme="1"/>
        <rFont val="Calibri"/>
        <family val="2"/>
        <scheme val="minor"/>
      </rPr>
      <t/>
    </r>
  </si>
  <si>
    <r>
      <rPr>
        <b/>
        <sz val="10"/>
        <color rgb="FF0000FF"/>
        <rFont val="Arial"/>
        <family val="2"/>
      </rPr>
      <t xml:space="preserve">N </t>
    </r>
    <r>
      <rPr>
        <b/>
        <sz val="10"/>
        <rFont val="Arial"/>
        <family val="2"/>
      </rPr>
      <t>1016</t>
    </r>
    <r>
      <rPr>
        <sz val="11"/>
        <color theme="1"/>
        <rFont val="Calibri"/>
        <family val="2"/>
        <scheme val="minor"/>
      </rPr>
      <t/>
    </r>
  </si>
  <si>
    <r>
      <rPr>
        <b/>
        <sz val="10"/>
        <color rgb="FF0000FF"/>
        <rFont val="Arial"/>
        <family val="2"/>
      </rPr>
      <t xml:space="preserve">N </t>
    </r>
    <r>
      <rPr>
        <b/>
        <sz val="10"/>
        <rFont val="Arial"/>
        <family val="2"/>
      </rPr>
      <t>1018</t>
    </r>
    <r>
      <rPr>
        <sz val="11"/>
        <color theme="1"/>
        <rFont val="Calibri"/>
        <family val="2"/>
        <scheme val="minor"/>
      </rPr>
      <t/>
    </r>
  </si>
  <si>
    <r>
      <rPr>
        <b/>
        <sz val="10"/>
        <color rgb="FF0000FF"/>
        <rFont val="Arial"/>
        <family val="2"/>
      </rPr>
      <t xml:space="preserve">N </t>
    </r>
    <r>
      <rPr>
        <b/>
        <sz val="10"/>
        <rFont val="Arial"/>
        <family val="2"/>
      </rPr>
      <t>1019</t>
    </r>
    <r>
      <rPr>
        <sz val="11"/>
        <color theme="1"/>
        <rFont val="Calibri"/>
        <family val="2"/>
        <scheme val="minor"/>
      </rPr>
      <t/>
    </r>
  </si>
  <si>
    <r>
      <rPr>
        <b/>
        <sz val="10"/>
        <color rgb="FF0000FF"/>
        <rFont val="Arial"/>
        <family val="2"/>
      </rPr>
      <t xml:space="preserve">N </t>
    </r>
    <r>
      <rPr>
        <b/>
        <sz val="10"/>
        <rFont val="Arial"/>
        <family val="2"/>
      </rPr>
      <t>1023</t>
    </r>
    <r>
      <rPr>
        <sz val="11"/>
        <color theme="1"/>
        <rFont val="Calibri"/>
        <family val="2"/>
        <scheme val="minor"/>
      </rPr>
      <t/>
    </r>
  </si>
  <si>
    <r>
      <rPr>
        <b/>
        <sz val="10"/>
        <color rgb="FF0000FF"/>
        <rFont val="Arial"/>
        <family val="2"/>
      </rPr>
      <t xml:space="preserve">N </t>
    </r>
    <r>
      <rPr>
        <b/>
        <sz val="10"/>
        <rFont val="Arial"/>
        <family val="2"/>
      </rPr>
      <t>1024</t>
    </r>
    <r>
      <rPr>
        <sz val="11"/>
        <color theme="1"/>
        <rFont val="Calibri"/>
        <family val="2"/>
        <scheme val="minor"/>
      </rPr>
      <t/>
    </r>
  </si>
  <si>
    <r>
      <rPr>
        <b/>
        <sz val="10"/>
        <color rgb="FF0000FF"/>
        <rFont val="Arial"/>
        <family val="2"/>
      </rPr>
      <t xml:space="preserve">N </t>
    </r>
    <r>
      <rPr>
        <b/>
        <sz val="10"/>
        <rFont val="Arial"/>
        <family val="2"/>
      </rPr>
      <t>1025</t>
    </r>
    <r>
      <rPr>
        <sz val="11"/>
        <color theme="1"/>
        <rFont val="Calibri"/>
        <family val="2"/>
        <scheme val="minor"/>
      </rPr>
      <t/>
    </r>
  </si>
  <si>
    <r>
      <rPr>
        <b/>
        <sz val="10"/>
        <color rgb="FF0000FF"/>
        <rFont val="Arial"/>
        <family val="2"/>
      </rPr>
      <t xml:space="preserve">N </t>
    </r>
    <r>
      <rPr>
        <b/>
        <sz val="10"/>
        <rFont val="Arial"/>
        <family val="2"/>
      </rPr>
      <t>1026</t>
    </r>
    <r>
      <rPr>
        <sz val="11"/>
        <color theme="1"/>
        <rFont val="Calibri"/>
        <family val="2"/>
        <scheme val="minor"/>
      </rPr>
      <t/>
    </r>
  </si>
  <si>
    <r>
      <rPr>
        <b/>
        <sz val="10"/>
        <color rgb="FF0000FF"/>
        <rFont val="Arial"/>
        <family val="2"/>
      </rPr>
      <t xml:space="preserve">N </t>
    </r>
    <r>
      <rPr>
        <b/>
        <sz val="10"/>
        <rFont val="Arial"/>
        <family val="2"/>
      </rPr>
      <t>1028</t>
    </r>
    <r>
      <rPr>
        <sz val="11"/>
        <color theme="1"/>
        <rFont val="Calibri"/>
        <family val="2"/>
        <scheme val="minor"/>
      </rPr>
      <t/>
    </r>
  </si>
  <si>
    <r>
      <rPr>
        <b/>
        <sz val="10"/>
        <color rgb="FF0000FF"/>
        <rFont val="Arial"/>
        <family val="2"/>
      </rPr>
      <t xml:space="preserve">N </t>
    </r>
    <r>
      <rPr>
        <b/>
        <sz val="10"/>
        <rFont val="Arial"/>
        <family val="2"/>
      </rPr>
      <t>1029</t>
    </r>
    <r>
      <rPr>
        <sz val="11"/>
        <color theme="1"/>
        <rFont val="Calibri"/>
        <family val="2"/>
        <scheme val="minor"/>
      </rPr>
      <t/>
    </r>
  </si>
  <si>
    <r>
      <rPr>
        <b/>
        <sz val="10"/>
        <color rgb="FF0000FF"/>
        <rFont val="Arial"/>
        <family val="2"/>
      </rPr>
      <t xml:space="preserve">N </t>
    </r>
    <r>
      <rPr>
        <b/>
        <sz val="10"/>
        <rFont val="Arial"/>
        <family val="2"/>
      </rPr>
      <t>1030</t>
    </r>
    <r>
      <rPr>
        <sz val="11"/>
        <color theme="1"/>
        <rFont val="Calibri"/>
        <family val="2"/>
        <scheme val="minor"/>
      </rPr>
      <t/>
    </r>
  </si>
  <si>
    <t>TOTAL
Charge</t>
  </si>
  <si>
    <t>TOTAL
Offset</t>
  </si>
  <si>
    <t>Issue details exported from SCRC AICR</t>
  </si>
  <si>
    <t>Issue details exported from SCRC AICR
Payment Noosa</t>
  </si>
  <si>
    <t>AICR - In Progress</t>
  </si>
  <si>
    <t>Parks
Offset / Rebate</t>
  </si>
  <si>
    <t>Stormwater
Offset / Rebate</t>
  </si>
  <si>
    <t>20100451 BA
112010.451</t>
  </si>
  <si>
    <t xml:space="preserve">
14/08/2000   28/11/05</t>
  </si>
  <si>
    <t xml:space="preserve">
931735    
137776</t>
  </si>
  <si>
    <r>
      <t xml:space="preserve">Part PAID
</t>
    </r>
    <r>
      <rPr>
        <sz val="8"/>
        <color rgb="FF0000FF"/>
        <rFont val="Arial"/>
        <family val="2"/>
      </rPr>
      <t>Cabins 1 &amp; 2
Cabin 3</t>
    </r>
  </si>
  <si>
    <t xml:space="preserve">June 00 
paid cabins 1 &amp; 2 = $5200 no CPI adj
cabin 3 = $3161 </t>
  </si>
  <si>
    <t>PAID in FULL</t>
  </si>
  <si>
    <r>
      <t xml:space="preserve">IA $39,188 Sep2013 
</t>
    </r>
    <r>
      <rPr>
        <sz val="8"/>
        <color rgb="FFFF0000"/>
        <rFont val="Arial"/>
        <family val="2"/>
      </rPr>
      <t>-$39,188 BnB reduction Sep2013</t>
    </r>
  </si>
  <si>
    <r>
      <t xml:space="preserve">Mar 2013 
$38,508 IA missing stormwater AIC
</t>
    </r>
    <r>
      <rPr>
        <sz val="8"/>
        <color rgb="FFFF0000"/>
        <rFont val="Arial"/>
        <family val="2"/>
      </rPr>
      <t>-$38,508 BnB reduction approved  20/08/2013</t>
    </r>
  </si>
  <si>
    <t>AICN - Completed</t>
  </si>
  <si>
    <t>Lot 1 SP 230070</t>
  </si>
  <si>
    <t xml:space="preserve">43 Elanda St, SUNSHINE BEACH, QLD 4567 </t>
  </si>
  <si>
    <t>Multiple Dwelling Type 4 = 5 x 3 bedroom units</t>
  </si>
  <si>
    <t>1 x vacant residential lot</t>
  </si>
  <si>
    <t>Additional discount for previoulsy paid contributions for the same 5 x 3 bed units under MCU 2007/2174 except Stormwater &amp; Transport 3.8%</t>
  </si>
  <si>
    <t>05/0575 (DA)
132005.573</t>
  </si>
  <si>
    <t>PAID NOOSA</t>
  </si>
  <si>
    <t>Chrg
Price
Index
(CPI)</t>
  </si>
  <si>
    <t>68
Stg Pmt 5</t>
  </si>
  <si>
    <r>
      <t xml:space="preserve">Part Paid SCRC
</t>
    </r>
    <r>
      <rPr>
        <sz val="10"/>
        <color rgb="FF0000FF"/>
        <rFont val="Arial"/>
        <family val="2"/>
      </rPr>
      <t xml:space="preserve">Park &amp; Storm 
Storm, Wat, Sew
Wat
</t>
    </r>
    <r>
      <rPr>
        <b/>
        <sz val="10"/>
        <color rgb="FFFF0000"/>
        <rFont val="Arial"/>
        <family val="2"/>
      </rPr>
      <t>STG Pmt 5 due
Refer Reconcilliation</t>
    </r>
  </si>
  <si>
    <r>
      <t xml:space="preserve">Assumed no change to impervious area for non-res component.
</t>
    </r>
    <r>
      <rPr>
        <b/>
        <sz val="10"/>
        <color rgb="FFFF0000"/>
        <rFont val="Arial"/>
        <family val="2"/>
      </rPr>
      <t>Staged Payments 1,2 3 &amp; 4 paid to SCC
Final Staged Payment 5 to Noosa</t>
    </r>
    <r>
      <rPr>
        <b/>
        <sz val="10"/>
        <color rgb="FF0000FF"/>
        <rFont val="Arial"/>
        <family val="2"/>
      </rPr>
      <t xml:space="preserve">
</t>
    </r>
  </si>
  <si>
    <t>$248 June 2006 PAID SCC</t>
  </si>
  <si>
    <t>$3,080 June 2006 PAID SCC</t>
  </si>
  <si>
    <t>$2,919 June 2006 PAID SCC</t>
  </si>
  <si>
    <t>$251 June 2006 PAID SCC</t>
  </si>
  <si>
    <t>$5,767 Dec 05  
PAID SCC</t>
  </si>
  <si>
    <t>$5,963 Dec 05  
PAID SCC</t>
  </si>
  <si>
    <t>$1,110 Dec 05  
PAID SCC</t>
  </si>
  <si>
    <t>$794 Mar 2013 Stormwater under Adopted Charges
AICN No: 427 PAID</t>
  </si>
  <si>
    <t>$794 Mar 2013 Stormwater under Adopted Charges
AICN No: 427</t>
  </si>
  <si>
    <r>
      <t xml:space="preserve">Revision 1 includes charge cpmponents for Water &amp; Sewer. These items were NOT included in the original referral from planning assessment so were not listed in the Rev0 charge notice.
</t>
    </r>
    <r>
      <rPr>
        <sz val="10"/>
        <color rgb="FFFF0000"/>
        <rFont val="Arial"/>
        <family val="2"/>
      </rPr>
      <t>Building Works commenced PC14/0029</t>
    </r>
  </si>
  <si>
    <r>
      <rPr>
        <sz val="10"/>
        <color rgb="FFFF0000"/>
        <rFont val="Arial"/>
        <family val="2"/>
      </rPr>
      <t>Commenced building works PC13/1202</t>
    </r>
    <r>
      <rPr>
        <sz val="10"/>
        <color rgb="FF0000FF"/>
        <rFont val="Arial"/>
        <family val="2"/>
      </rPr>
      <t xml:space="preserve">
</t>
    </r>
  </si>
  <si>
    <t>Dec-13
IA Stormwater</t>
  </si>
  <si>
    <t>Crystal Ponds Horse Stud</t>
  </si>
  <si>
    <t>Lot 306 MCH 1227</t>
  </si>
  <si>
    <t xml:space="preserve">60 Johns Rd COOROIBAH  QLD  4565 </t>
  </si>
  <si>
    <t>1 x 3+ bedroom dwelling +
1 x 2 bedroom dwelling</t>
  </si>
  <si>
    <t>$717 @ Jun09</t>
  </si>
  <si>
    <t>$7,143 @ Jun09</t>
  </si>
  <si>
    <t>$3,190 @ Jun09</t>
  </si>
  <si>
    <t>$3,247 @ Jun09</t>
  </si>
  <si>
    <t>$2,763 @ Jun09</t>
  </si>
  <si>
    <t>Construction in Lieu re 23118 DA</t>
  </si>
  <si>
    <t>N. C. Oliver Pty Ltd</t>
  </si>
  <si>
    <t>Lot 1 MCH 3881</t>
  </si>
  <si>
    <t>Lot 9 MCH 3881</t>
  </si>
  <si>
    <t>128-132 Gympie Tce, NOOSAVILLE, QLD 4566</t>
  </si>
  <si>
    <t>Lot 2 MCH 3881</t>
  </si>
  <si>
    <t>Lot 3 MCH 3881</t>
  </si>
  <si>
    <t>4 Duplexes over 4 lots
Duplex = 2 x 3 bed units / lot</t>
  </si>
  <si>
    <t>1 x res lot +
Motel (12 x 1 bed units + 2 x 2 bed units + 1 x 3 bed managers unit)
Over existing 4 lots</t>
  </si>
  <si>
    <t>Roads &amp; Drainage
Local/Rural Roads</t>
  </si>
  <si>
    <t>SEWERAGE Headworks - PSP</t>
  </si>
  <si>
    <t xml:space="preserve">WATER Headworks - PSP </t>
  </si>
  <si>
    <t xml:space="preserve">Car Parking - PSP </t>
  </si>
  <si>
    <t>OTHER 
(Non-Trunk/Specific)</t>
  </si>
  <si>
    <t>PARK / OPEN SPACE - PSP</t>
  </si>
  <si>
    <t xml:space="preserve">TEWANTIN &amp; NOOSAVILLE Master Drainage
&amp; STORMWATER (Other) </t>
  </si>
  <si>
    <t>check =</t>
  </si>
  <si>
    <r>
      <t xml:space="preserve">Pathway Trunk Network Contributions </t>
    </r>
    <r>
      <rPr>
        <b/>
        <strike/>
        <sz val="8"/>
        <rFont val="Arial"/>
        <family val="2"/>
      </rPr>
      <t xml:space="preserve"> -</t>
    </r>
    <r>
      <rPr>
        <b/>
        <sz val="8"/>
        <rFont val="Arial"/>
        <family val="2"/>
      </rPr>
      <t xml:space="preserve"> PSP</t>
    </r>
  </si>
  <si>
    <r>
      <t xml:space="preserve">Pathway Trunk Network Contributions </t>
    </r>
    <r>
      <rPr>
        <b/>
        <strike/>
        <sz val="8"/>
        <color rgb="FF0000FF"/>
        <rFont val="Arial"/>
        <family val="2"/>
      </rPr>
      <t xml:space="preserve"> -</t>
    </r>
    <r>
      <rPr>
        <b/>
        <sz val="8"/>
        <color rgb="FF0000FF"/>
        <rFont val="Arial"/>
        <family val="2"/>
      </rPr>
      <t xml:space="preserve"> PSP</t>
    </r>
  </si>
  <si>
    <t>Qty =</t>
  </si>
  <si>
    <t>Develop
Lapse
Date</t>
  </si>
  <si>
    <t>Whole charge applicable to Unitwater due to negative Council's apportionment</t>
  </si>
  <si>
    <t xml:space="preserve">Reon Bourne and Malita Bourne </t>
  </si>
  <si>
    <t>Valkev Pty Ltd</t>
  </si>
  <si>
    <t xml:space="preserve">Ian McIlvenna </t>
  </si>
  <si>
    <t>C/- Max Watterson &amp; Associates
PO Box 639 COOROY 4563</t>
  </si>
  <si>
    <t xml:space="preserve">Anthony Corkill </t>
  </si>
  <si>
    <t>C/- KHA Development Managers
PO Box 6380 MAROOCHYDORE 4558</t>
  </si>
  <si>
    <t xml:space="preserve">Currumbin Estuary Developments Pty Ltd </t>
  </si>
  <si>
    <t xml:space="preserve">Eagle Ridge Noosa Pty Ltd </t>
  </si>
  <si>
    <t>C/- RPS
PO Box 149 WURTULLA 4575</t>
  </si>
  <si>
    <t xml:space="preserve">Valkev Pty Ltd </t>
  </si>
  <si>
    <t>Peter Fife (Parinew Pty Ltd)</t>
  </si>
  <si>
    <t xml:space="preserve">PL &amp; LL Fife &amp; Kyalite Holdings Pty Ltd </t>
  </si>
  <si>
    <t xml:space="preserve">J McMillan Investments Pty Ltd </t>
  </si>
  <si>
    <t xml:space="preserve">AWR Nominees Pty Ltd </t>
  </si>
  <si>
    <t xml:space="preserve">C/- Martoo Consulting Pty Ltd
PO Box 1684 NOOSA HEADS, 4567
</t>
  </si>
  <si>
    <t xml:space="preserve">R &amp; J Wescombe </t>
  </si>
  <si>
    <t xml:space="preserve">Des Anderson </t>
  </si>
  <si>
    <t xml:space="preserve">Noosa Gymnastics / SCRC </t>
  </si>
  <si>
    <t xml:space="preserve">M Baviello </t>
  </si>
  <si>
    <t xml:space="preserve">Doug P Bass </t>
  </si>
  <si>
    <t xml:space="preserve">Geoffrey Wise </t>
  </si>
  <si>
    <t xml:space="preserve">PO Box 1684 NOOSA HEADS, 4567
</t>
  </si>
  <si>
    <t xml:space="preserve">Ogilvie Bacon Partnership </t>
  </si>
  <si>
    <t xml:space="preserve">Coles Group Property Developments Ltd </t>
  </si>
  <si>
    <t xml:space="preserve">JAVAKA Pty Ltd </t>
  </si>
  <si>
    <t xml:space="preserve">Makepeace Island (Operations) Pty Ltd </t>
  </si>
  <si>
    <t>25 Stanley Ave, MOSMAN NSW 2088</t>
  </si>
  <si>
    <t>PO Box 1439 NOOSAVILLE BC 4566</t>
  </si>
  <si>
    <t>PO Box 914 TEWANTIN 4565</t>
  </si>
  <si>
    <t>PO Box 639 COOROY 4563</t>
  </si>
  <si>
    <t>23 Paluma St SUNRISE BEACH 4567</t>
  </si>
  <si>
    <t>PO Box 368 CLEVELAND 4163</t>
  </si>
  <si>
    <t xml:space="preserve">John Hofmann </t>
  </si>
  <si>
    <t>C/- Gantt Legal
Level 22_x000D_
69 Ann St BRISBANE 4000</t>
  </si>
  <si>
    <t>John Hofmann</t>
  </si>
  <si>
    <t xml:space="preserve">Noosacare Inc </t>
  </si>
  <si>
    <t>C/- KHA Development Managers
PO Box 6380 MAROOCHYDORE BC 4558</t>
  </si>
  <si>
    <t>PO Box 515 MOOLOOLABA 4557</t>
  </si>
  <si>
    <t>PO Box 1184 NOOSAVILLE 4566</t>
  </si>
  <si>
    <t>PO Box 135 NOOSAVILLE 4566</t>
  </si>
  <si>
    <t>PO Box 317 TEWANTIN 4565</t>
  </si>
  <si>
    <t>PO Box 1628 
NOOSA HEADS 4567</t>
  </si>
  <si>
    <t>PO Box 41
NOOSA HEADS 4567</t>
  </si>
  <si>
    <t>2A/35 Seaside Boulevarde MARCOOLA QLD 4564</t>
  </si>
  <si>
    <t xml:space="preserve">Dave Malony Investments Pty Ltd </t>
  </si>
  <si>
    <t>43 Sunshine Beach Rd NOOSA HEADS 4567</t>
  </si>
  <si>
    <t>253 Moray St 
NEW FARM 4005</t>
  </si>
  <si>
    <t>PO Box 436 
NEW FARM 4005</t>
  </si>
  <si>
    <t>PO Box 605 MAROOCHYDORE 4558</t>
  </si>
  <si>
    <t>PO Box 1559
FORTITUDE VALLEY 4006</t>
  </si>
  <si>
    <t>PO Box 422
TEWANTIN 4565</t>
  </si>
  <si>
    <t xml:space="preserve">Blue Care acting on behalf of The Uniting Church in Australia Property Trust </t>
  </si>
  <si>
    <t>C/- JB Goodwin Midson &amp; Partners1/12 Technology Dr
WARANA 4575</t>
  </si>
  <si>
    <t>PO Box 135 
MAIN BEACH 4217</t>
  </si>
  <si>
    <t xml:space="preserve">Berkeley House Pty Ltd </t>
  </si>
  <si>
    <t>C/- Urban Strategies
PO Box 3368
SOUTH BRISBANE 4101</t>
  </si>
  <si>
    <t xml:space="preserve">Scanlon Property Group Pty Ltd_x000D_
</t>
  </si>
  <si>
    <t>C/- JFP Urban Consultants Pty Ltd
PO Box 6
MAROOCHYDORE QLD 4558</t>
  </si>
  <si>
    <t xml:space="preserve">Canto Holdings Pty Ltd </t>
  </si>
  <si>
    <t xml:space="preserve">Jacaranda No 12 Pty Ltd </t>
  </si>
  <si>
    <t xml:space="preserve">Noel St John-Wood </t>
  </si>
  <si>
    <t>Astronomer Pty Ltd</t>
  </si>
  <si>
    <t xml:space="preserve"> C/- LandPartners Limited
PO Box 3916
SOUTH BRISBANE BC 4101</t>
  </si>
  <si>
    <t>PAID Noosa</t>
  </si>
  <si>
    <t>367
Mar 2009</t>
  </si>
  <si>
    <t>1,634 Mar 2009</t>
  </si>
  <si>
    <t>1,195 Mar 2009</t>
  </si>
  <si>
    <t>1,127 Mar 2009</t>
  </si>
  <si>
    <t xml:space="preserve">Coastal Building Certifications
Received: 4/1/2010
Permit No: 29416
</t>
  </si>
  <si>
    <t>$4179 @ Mar 06</t>
  </si>
  <si>
    <t>4253 @ June 06</t>
  </si>
  <si>
    <r>
      <t xml:space="preserve">Part Paid Sewerage 
</t>
    </r>
    <r>
      <rPr>
        <sz val="8"/>
        <color rgb="FF0000FF"/>
        <rFont val="Arial"/>
        <family val="2"/>
      </rPr>
      <t>(Refer Completed SCRC Sheet)</t>
    </r>
    <r>
      <rPr>
        <b/>
        <sz val="8"/>
        <color rgb="FF0000FF"/>
        <rFont val="Arial"/>
        <family val="2"/>
      </rPr>
      <t xml:space="preserve">
IC Waived 10/03/2014</t>
    </r>
  </si>
  <si>
    <t xml:space="preserve"> Mar 06</t>
  </si>
  <si>
    <t xml:space="preserve"> June 06</t>
  </si>
  <si>
    <t>Issue &amp; Payment details exported from SCRC AICR &amp; T1 / Proclaim
Payment Noosa</t>
  </si>
  <si>
    <t>SCRC made payable prior to 1 Jan 2014 - amount outstanding Wastewater 1,135 to chase by Noosa
STAGED PAYMENT 5 REMAINING $1,612.00 Due
Network Allocation reconcilliation required</t>
  </si>
  <si>
    <t xml:space="preserve">
10/03/2014</t>
  </si>
  <si>
    <t xml:space="preserve">
1145385</t>
  </si>
  <si>
    <t>Pmt 13 @ Dec 13</t>
  </si>
  <si>
    <t xml:space="preserve">June 2006 STAGED Payments 13
</t>
  </si>
  <si>
    <t>January 2014
Total =</t>
  </si>
  <si>
    <t>February 2014
Total =</t>
  </si>
  <si>
    <r>
      <t xml:space="preserve">
PAID </t>
    </r>
    <r>
      <rPr>
        <sz val="8"/>
        <color rgb="FF0000FF"/>
        <rFont val="Arial"/>
        <family val="2"/>
      </rPr>
      <t>Pmt 13</t>
    </r>
    <r>
      <rPr>
        <b/>
        <sz val="8"/>
        <color rgb="FF0000FF"/>
        <rFont val="Arial"/>
        <family val="2"/>
      </rPr>
      <t xml:space="preserve">
</t>
    </r>
  </si>
  <si>
    <r>
      <t xml:space="preserve">Industrial Business Type 2 – Production, alteration, repackaging, &amp; repairing.
17 additional industrial lots + 1 lot detention basin (not subject to contributions) 
STAGE 1 = 7 Lots
</t>
    </r>
    <r>
      <rPr>
        <b/>
        <sz val="8"/>
        <color rgb="FF0000FF"/>
        <rFont val="Arial"/>
        <family val="2"/>
      </rPr>
      <t>Stage 2 = 10 Lots</t>
    </r>
  </si>
  <si>
    <r>
      <t xml:space="preserve">Industrial Business Type 2 – Production, alteration, repackaging, &amp; repairing.
17 additional industrial lots + 1 lot detention basin (not subject to contributions) 
</t>
    </r>
    <r>
      <rPr>
        <b/>
        <sz val="8"/>
        <color rgb="FF0000FF"/>
        <rFont val="Arial"/>
        <family val="2"/>
      </rPr>
      <t>STAGE 1 = 7 Lots</t>
    </r>
    <r>
      <rPr>
        <sz val="8"/>
        <rFont val="Arial"/>
        <family val="2"/>
      </rPr>
      <t xml:space="preserve">
Stage 2 = 10 Lots</t>
    </r>
  </si>
  <si>
    <t>MCU14/0010</t>
  </si>
  <si>
    <t>Hodmont Pty Ltd Tte</t>
  </si>
  <si>
    <t xml:space="preserve">5 Emmaron Ct
FERNY HILLS QLD 4055
</t>
  </si>
  <si>
    <t>Lot 4 RP 124554</t>
  </si>
  <si>
    <t>27 Thomas Street, NOOSAVILLE, QLD 4566</t>
  </si>
  <si>
    <t xml:space="preserve">Dwelling -  1 x 3 bedroom unit (158m2 gfa) and commercial Business type 2 Medical (75m2 gfa)
ADDITIONAL 56m² impervious area as a result of the commercial business </t>
  </si>
  <si>
    <t>Multiple Dwelling type 2 – duplex (1 x 3 bedroom unit &amp; 1 x 2 bedroom unit)</t>
  </si>
  <si>
    <t>Part Payment 1</t>
  </si>
  <si>
    <t>Paid IC &amp; Interest</t>
  </si>
  <si>
    <r>
      <t xml:space="preserve">$3,036 Mar-2010
</t>
    </r>
    <r>
      <rPr>
        <sz val="8"/>
        <color rgb="FFFF0000"/>
        <rFont val="Arial"/>
        <family val="2"/>
      </rPr>
      <t>$500 Part Pmt 
Bal $2,976 +interest from 30/03/2014</t>
    </r>
  </si>
  <si>
    <t>MCU13/0261</t>
  </si>
  <si>
    <t>Mr TC Stay</t>
  </si>
  <si>
    <t xml:space="preserve">C/- Murray Bell Planning Co.
2/57 Lamont Rd
WILSTON  QLD  4051
</t>
  </si>
  <si>
    <t>Lot 731 RP 48111</t>
  </si>
  <si>
    <t>5 Stevens St SUNSHINE BEACH  QLD  4567</t>
  </si>
  <si>
    <t>1 Lot &amp; detached house</t>
  </si>
  <si>
    <t>Multiple Dwelling Type 2 - Duplex 2 x 3 bedroom units</t>
  </si>
  <si>
    <t xml:space="preserve">Part Payment </t>
  </si>
  <si>
    <r>
      <t xml:space="preserve">$2,694 Jun-06
</t>
    </r>
    <r>
      <rPr>
        <sz val="8"/>
        <color rgb="FFFF0000"/>
        <rFont val="Arial"/>
        <family val="2"/>
      </rPr>
      <t>Part pmt $3,639
Bal $1,286 + interest from 30/03/2014</t>
    </r>
  </si>
  <si>
    <t>Part Pmt 1=14/3/2014</t>
  </si>
  <si>
    <t>Part Pmt 1=19/03/14</t>
  </si>
  <si>
    <t>Dec-13 +
interest 30/3/14</t>
  </si>
  <si>
    <t>IC 288
Rev 2</t>
  </si>
  <si>
    <t>int to 30/3/2014</t>
  </si>
  <si>
    <r>
      <t xml:space="preserve">24/08/2006
26/11/2013
</t>
    </r>
    <r>
      <rPr>
        <sz val="8"/>
        <color rgb="FFFF0000"/>
        <rFont val="Arial"/>
        <family val="2"/>
      </rPr>
      <t>21/03/2014</t>
    </r>
    <r>
      <rPr>
        <sz val="8"/>
        <color rgb="FF0000FF"/>
        <rFont val="Arial"/>
        <family val="2"/>
      </rPr>
      <t xml:space="preserve">
</t>
    </r>
  </si>
  <si>
    <r>
      <t xml:space="preserve">211175
Bpay to Rates
</t>
    </r>
    <r>
      <rPr>
        <sz val="8"/>
        <color rgb="FFFF0000"/>
        <rFont val="Arial"/>
        <family val="2"/>
      </rPr>
      <t>Journal from rates  to RAMS app 132006.306</t>
    </r>
  </si>
  <si>
    <r>
      <t xml:space="preserve">27/05/2013
</t>
    </r>
    <r>
      <rPr>
        <sz val="8"/>
        <color rgb="FFFF0000"/>
        <rFont val="Arial"/>
        <family val="2"/>
      </rPr>
      <t>28/03/2014</t>
    </r>
  </si>
  <si>
    <r>
      <t xml:space="preserve">1095172
</t>
    </r>
    <r>
      <rPr>
        <sz val="8"/>
        <color rgb="FFFF0000"/>
        <rFont val="Arial"/>
        <family val="2"/>
      </rPr>
      <t>Journal from rates  to RAMS app 112009.1588</t>
    </r>
  </si>
  <si>
    <t>$20,662 CPI Jun09 without Indexation to CPI March 2012
Paid interest to 30Mar14</t>
  </si>
  <si>
    <t xml:space="preserve"> $20,662 @Jun09
Paid to SCRC 5/2/13 rec 1070217</t>
  </si>
  <si>
    <t>Alt MCU11/0069 re Adopted Charge 23 issued. 
2009/1791 USE ABANDONED 
Confirmed Abandoned 31/03/2014</t>
  </si>
  <si>
    <t>Entertainment &amp; Dining
Business - Type 1 - Food &amp; Beverages 240 m2 Use Area
Retail Business - Type 2 -Shop &amp; Salon (50%) 546.5 m2 Use Area
Retail Business - Type4 Showroom, or Type 7
Garden Centre (50%)
546.5 m2 Use Area</t>
  </si>
  <si>
    <t>Development bankrupt following approval 2010 &amp; USE ceased &amp; abandoned 
New owner purchased 2012 &amp; confirmed use abandoned 
USE applies per MCU11/0069 with all contribs paid re 05/1021</t>
  </si>
  <si>
    <t>Entertainment &amp; Dining Business - Type 1 Food &amp; beverages 247m2 Use Area
Retail Business - Type 7 - Garden Centre 1,541m2 Use Area(Additional 2nd floor = 142m2 use area)</t>
  </si>
  <si>
    <t xml:space="preserve">Entertainment &amp; Dining Business - Type 1 Food &amp; beverages 247m2 Use Area
Retail Business - Type 7 - Garden Centre 1,399 m2 Use Area
</t>
  </si>
  <si>
    <t>PAID IN FULL</t>
  </si>
  <si>
    <r>
      <rPr>
        <sz val="8"/>
        <color rgb="FF0000FF"/>
        <rFont val="Arial"/>
        <family val="2"/>
      </rPr>
      <t>Pmt 1-14(part) 
PAID SCC</t>
    </r>
    <r>
      <rPr>
        <b/>
        <sz val="8"/>
        <color rgb="FFFF0000"/>
        <rFont val="Arial"/>
        <family val="2"/>
      </rPr>
      <t xml:space="preserve">
</t>
    </r>
    <r>
      <rPr>
        <b/>
        <sz val="8"/>
        <color rgb="FF0000FF"/>
        <rFont val="Arial"/>
        <family val="2"/>
      </rPr>
      <t>Paid Noosa</t>
    </r>
    <r>
      <rPr>
        <b/>
        <sz val="8"/>
        <color rgb="FFFF0000"/>
        <rFont val="Arial"/>
        <family val="2"/>
      </rPr>
      <t xml:space="preserve">
</t>
    </r>
    <r>
      <rPr>
        <b/>
        <sz val="8"/>
        <color rgb="FF0000FF"/>
        <rFont val="Arial"/>
        <family val="2"/>
      </rPr>
      <t xml:space="preserve">Pmt </t>
    </r>
    <r>
      <rPr>
        <sz val="8"/>
        <color rgb="FF0000FF"/>
        <rFont val="Arial"/>
        <family val="2"/>
      </rPr>
      <t>Stg 14 = $420</t>
    </r>
    <r>
      <rPr>
        <sz val="8"/>
        <color rgb="FFFF0000"/>
        <rFont val="Arial"/>
        <family val="2"/>
      </rPr>
      <t xml:space="preserve"> 
Stgs 15 to 19 = $3,496/stg @ Dec 13 </t>
    </r>
    <r>
      <rPr>
        <b/>
        <sz val="8"/>
        <color rgb="FFFF0000"/>
        <rFont val="Arial"/>
        <family val="2"/>
      </rPr>
      <t>+ CPI</t>
    </r>
    <r>
      <rPr>
        <sz val="8"/>
        <color rgb="FFFF0000"/>
        <rFont val="Arial"/>
        <family val="2"/>
      </rPr>
      <t xml:space="preserve">
</t>
    </r>
  </si>
  <si>
    <r>
      <t xml:space="preserve">$7,091
No 1 = Dec 06       No 2 = Mar 07
No 3 = Sep 07
No 4 = Mar 08
No 5 = Sep 08
No 6 = Mar 09
No 7. = Sep-09
Journal TFR Mar-10 = $4,576
</t>
    </r>
    <r>
      <rPr>
        <b/>
        <sz val="8"/>
        <color rgb="FF0000FF"/>
        <rFont val="Arial"/>
        <family val="2"/>
      </rPr>
      <t>COMPLETE</t>
    </r>
    <r>
      <rPr>
        <sz val="8"/>
        <color rgb="FF0000FF"/>
        <rFont val="Arial"/>
        <family val="2"/>
      </rPr>
      <t xml:space="preserve">
</t>
    </r>
  </si>
  <si>
    <r>
      <t xml:space="preserve">$6,866
No 1 = Dec 06       No 2 = Mar 07
No 3 = Sep 07
No 4 = Mar 08
No 5 = Sep 08
No 6 = Mar 09
No.7 = Sep-09
Journal TFR Mar-10 = $4,426
</t>
    </r>
    <r>
      <rPr>
        <b/>
        <sz val="8"/>
        <color rgb="FF0000FF"/>
        <rFont val="Arial"/>
        <family val="2"/>
      </rPr>
      <t>COMPLETE</t>
    </r>
  </si>
  <si>
    <r>
      <t xml:space="preserve">No 1 = Dec 06       No 2 = Mar 07
No 3 = Sep 07
No 4 = Mar 08
No 5 = Sep 08
No 6 = Mar 09
No 7. = Sep-09
No 8 = Jun-10
No 9 = Sep-10
No 10 = Mar 11
No 11 = Mar 11
No 12 = Mar 12
No.13 = Mar 13
</t>
    </r>
    <r>
      <rPr>
        <sz val="8"/>
        <color rgb="FFFF0000"/>
        <rFont val="Arial"/>
        <family val="2"/>
      </rPr>
      <t>No.14=$2,768 Dec 13</t>
    </r>
  </si>
  <si>
    <r>
      <t xml:space="preserve">$1,302
No 1 = Dec 06       No 2 = Mar 07
No 3 = Sep 07
No 4 = Mar 08
No 5 = Sep 08
No 6 = Mar 09
No 7. = Sep-09
Journal TFR Mar-10 = $851
</t>
    </r>
    <r>
      <rPr>
        <b/>
        <sz val="8"/>
        <color rgb="FF0000FF"/>
        <rFont val="Arial"/>
        <family val="2"/>
      </rPr>
      <t>COMPLETE</t>
    </r>
  </si>
  <si>
    <t xml:space="preserve">
1146332</t>
  </si>
  <si>
    <t xml:space="preserve">
31/3/2014</t>
  </si>
  <si>
    <r>
      <t xml:space="preserve">Pmt 1-14(part) 
PAID SCC
</t>
    </r>
    <r>
      <rPr>
        <b/>
        <u/>
        <sz val="8"/>
        <color rgb="FF0000FF"/>
        <rFont val="Arial"/>
        <family val="2"/>
      </rPr>
      <t>Payment to NOOSA</t>
    </r>
    <r>
      <rPr>
        <sz val="8"/>
        <color rgb="FF0000FF"/>
        <rFont val="Arial"/>
        <family val="2"/>
      </rPr>
      <t xml:space="preserve">
Pmt 14(bal)
</t>
    </r>
  </si>
  <si>
    <r>
      <t xml:space="preserve">
13/08/2012
7/01/2013
16/03/2013
25/7/2013
</t>
    </r>
    <r>
      <rPr>
        <sz val="10"/>
        <color rgb="FFFF0000"/>
        <rFont val="Arial"/>
        <family val="2"/>
      </rPr>
      <t>10/03/2014</t>
    </r>
  </si>
  <si>
    <r>
      <t xml:space="preserve">
</t>
    </r>
    <r>
      <rPr>
        <sz val="10"/>
        <color rgb="FF0000FF"/>
        <rFont val="Arial"/>
        <family val="2"/>
      </rPr>
      <t xml:space="preserve">1031244
1063682
1000669
1103592
</t>
    </r>
    <r>
      <rPr>
        <sz val="10"/>
        <color rgb="FFFF0000"/>
        <rFont val="Arial"/>
        <family val="2"/>
      </rPr>
      <t>1145388</t>
    </r>
  </si>
  <si>
    <t>Part Payment 1
Part Payment 2</t>
  </si>
  <si>
    <t>19/03/2014
31/03/2014</t>
  </si>
  <si>
    <t>1145782
1146339</t>
  </si>
  <si>
    <r>
      <t xml:space="preserve">$3,036 @ Mar-2010
</t>
    </r>
    <r>
      <rPr>
        <sz val="8"/>
        <color rgb="FFFF0000"/>
        <rFont val="Arial"/>
        <family val="2"/>
      </rPr>
      <t>$500 Part Pmt 1
$500 Part Pmt 2
Bal $2,476 +interest from 30/03/2014</t>
    </r>
  </si>
  <si>
    <t>Part Pmt 2 = 31/03/2014</t>
  </si>
  <si>
    <t>31/04/2014</t>
  </si>
  <si>
    <t>interest to 30/03/2014</t>
  </si>
  <si>
    <t>$263 @ Mar 2013</t>
  </si>
  <si>
    <t>$260 @ Mar 2013</t>
  </si>
  <si>
    <t>$1125 @ Mar 2013</t>
  </si>
  <si>
    <t>$1007 @ Mar 2013</t>
  </si>
  <si>
    <t>Interest to 30/3/2014</t>
  </si>
  <si>
    <t>Part Paid PSPs 
PAID ICP</t>
  </si>
  <si>
    <t>5/05/2013
31/03/2014</t>
  </si>
  <si>
    <t>1107587
1146334</t>
  </si>
  <si>
    <t>235 @ 1/06/2008</t>
  </si>
  <si>
    <t>233 @ 1/06/2008</t>
  </si>
  <si>
    <t>899 @ 1/06/2008</t>
  </si>
  <si>
    <t>1005 @ 1/06/2008</t>
  </si>
  <si>
    <t>MCU14/0005</t>
  </si>
  <si>
    <t>March 2014 Total =</t>
  </si>
  <si>
    <t>January 2014 Total =</t>
  </si>
  <si>
    <t>interest to 30/3/2014</t>
  </si>
  <si>
    <t>LAPSED 22/08/2013 confirmed MC 2/04/2014</t>
  </si>
  <si>
    <t>Confirmed Lapsed MC 2/04/2014</t>
  </si>
  <si>
    <t>PAID IC 809</t>
  </si>
  <si>
    <t>$1,176 interest to 30/03/2014</t>
  </si>
  <si>
    <r>
      <t>$1,694.00 at June 08 CPI</t>
    </r>
    <r>
      <rPr>
        <b/>
        <sz val="8"/>
        <rFont val="Arial"/>
        <family val="2"/>
      </rPr>
      <t xml:space="preserve">
$859 Mar-09</t>
    </r>
  </si>
  <si>
    <t>MCU14/0015</t>
  </si>
  <si>
    <t>Mr HA Savimaki</t>
  </si>
  <si>
    <t>C/- Martoo Consulting Pty Ltd
PO Box 1684
NOOSA HEADS QLD 4567</t>
  </si>
  <si>
    <t>Lot 56 RP 228905</t>
  </si>
  <si>
    <t>50 Rene St NOOSAVILLE QLD 4566</t>
  </si>
  <si>
    <t>Industrial Business -Type 2 = 
997m2 gfa + 
2,084m2 impervious area</t>
  </si>
  <si>
    <t>Industrial Business -Type 1 = 
170m2 gfa + 
400m2 impervious area</t>
  </si>
  <si>
    <t>dedicated land in lieu</t>
  </si>
  <si>
    <r>
      <t>13/10/2012</t>
    </r>
    <r>
      <rPr>
        <sz val="8"/>
        <rFont val="Arial"/>
        <family val="2"/>
      </rPr>
      <t xml:space="preserve">
</t>
    </r>
    <r>
      <rPr>
        <strike/>
        <sz val="8"/>
        <rFont val="Arial"/>
        <family val="2"/>
      </rPr>
      <t>4/2/2013</t>
    </r>
    <r>
      <rPr>
        <sz val="8"/>
        <rFont val="Arial"/>
        <family val="2"/>
      </rPr>
      <t xml:space="preserve">
23/07/2014</t>
    </r>
  </si>
  <si>
    <r>
      <t>13/10/2008</t>
    </r>
    <r>
      <rPr>
        <sz val="8"/>
        <rFont val="Arial"/>
        <family val="2"/>
      </rPr>
      <t xml:space="preserve">
</t>
    </r>
    <r>
      <rPr>
        <strike/>
        <sz val="8"/>
        <rFont val="Arial"/>
        <family val="2"/>
      </rPr>
      <t>4/2/09</t>
    </r>
    <r>
      <rPr>
        <sz val="8"/>
        <rFont val="Arial"/>
        <family val="2"/>
      </rPr>
      <t xml:space="preserve">
</t>
    </r>
    <r>
      <rPr>
        <strike/>
        <sz val="8"/>
        <rFont val="Arial"/>
        <family val="2"/>
      </rPr>
      <t>18/02/09</t>
    </r>
    <r>
      <rPr>
        <sz val="8"/>
        <rFont val="Arial"/>
        <family val="2"/>
      </rPr>
      <t xml:space="preserve">
6/08/2010</t>
    </r>
  </si>
  <si>
    <r>
      <t>Decision Notice</t>
    </r>
    <r>
      <rPr>
        <sz val="8"/>
        <rFont val="Arial"/>
        <family val="2"/>
      </rPr>
      <t xml:space="preserve">
</t>
    </r>
    <r>
      <rPr>
        <strike/>
        <sz val="8"/>
        <rFont val="Arial"/>
        <family val="2"/>
      </rPr>
      <t>Negotiated Decision Notice</t>
    </r>
    <r>
      <rPr>
        <sz val="8"/>
        <rFont val="Arial"/>
        <family val="2"/>
      </rPr>
      <t xml:space="preserve">
</t>
    </r>
    <r>
      <rPr>
        <strike/>
        <sz val="8"/>
        <rFont val="Arial"/>
        <family val="2"/>
      </rPr>
      <t>Amended Negotiated Decision Notice</t>
    </r>
    <r>
      <rPr>
        <sz val="8"/>
        <rFont val="Arial"/>
        <family val="2"/>
      </rPr>
      <t xml:space="preserve">
Court Order D65 of 2009 </t>
    </r>
  </si>
  <si>
    <r>
      <t xml:space="preserve">Kawana Building Approvals
Received: 5/10/09
Permit No: 09-361
</t>
    </r>
    <r>
      <rPr>
        <sz val="8"/>
        <color indexed="10"/>
        <rFont val="Arial"/>
        <family val="2"/>
      </rPr>
      <t xml:space="preserve">Interest Commenced 30/4/2010
</t>
    </r>
    <r>
      <rPr>
        <sz val="8"/>
        <color rgb="FF0000FF"/>
        <rFont val="Arial"/>
        <family val="2"/>
      </rPr>
      <t>Paid Sykes Person Miller DD</t>
    </r>
    <r>
      <rPr>
        <sz val="8"/>
        <color indexed="10"/>
        <rFont val="Arial"/>
        <family val="2"/>
      </rPr>
      <t xml:space="preserve">
</t>
    </r>
  </si>
  <si>
    <r>
      <t xml:space="preserve">PAID Noosa
</t>
    </r>
    <r>
      <rPr>
        <sz val="8"/>
        <color rgb="FF0000FF"/>
        <rFont val="Arial"/>
        <family val="2"/>
      </rPr>
      <t>Sykes Pearson Miller</t>
    </r>
  </si>
  <si>
    <t>interest to 3/4/2014</t>
  </si>
  <si>
    <t>Direcet Deposit to Noosa general bank acc
T1-receipt: 1146642</t>
  </si>
  <si>
    <t>Alistar Macnashton</t>
  </si>
  <si>
    <t>34 Little Creek Road, COOROIBAH, QLD 4565</t>
  </si>
  <si>
    <t>34 Little Creek Road, Cooroibah</t>
  </si>
  <si>
    <t>1 x 1 bed Cabin 
Visitor Accommodation Type 3 rural</t>
  </si>
  <si>
    <t>Parks contrib paid under Open Space PSP12 for MCU approval 2007/0211</t>
  </si>
  <si>
    <t>RE MCU approval 2007/211 Visitor Accommodation Type 3 rural for 4 x 1 bed cabins only Parks contirbution paid.</t>
  </si>
  <si>
    <t>PC14/0262</t>
  </si>
  <si>
    <t>PC14/0272</t>
  </si>
  <si>
    <t>Carma Building Group</t>
  </si>
  <si>
    <t>1A-20 Premier Circuit WARANA, QLD 4575</t>
  </si>
  <si>
    <t>Villas 37 &amp; 47, 25 Nannygai St, Noosaville</t>
  </si>
  <si>
    <t>2 x 3 bed units Retirement Village</t>
  </si>
  <si>
    <t>1 x 3 bed &amp; 1 x 2 bed units Retirement Village</t>
  </si>
  <si>
    <t>PC14/0120</t>
  </si>
  <si>
    <t>Co-Style Constructions</t>
  </si>
  <si>
    <t>27 Suller St, CALOUNDRA QLD 4551</t>
  </si>
  <si>
    <t>7 RP 862561</t>
  </si>
  <si>
    <t>16 Mayall St, COOROY</t>
  </si>
  <si>
    <r>
      <t xml:space="preserve">Adopted Charge for Addition only &amp; therefore at </t>
    </r>
    <r>
      <rPr>
        <b/>
        <sz val="10"/>
        <color rgb="FFFF0000"/>
        <rFont val="Arial"/>
        <family val="2"/>
      </rPr>
      <t>MAXIMUM (NO INDEXATION unless amendment to SPRP)</t>
    </r>
  </si>
  <si>
    <t>Essensial Services (Addition to fire station) = 51m2 gfa &amp; impervious area</t>
  </si>
  <si>
    <r>
      <t xml:space="preserve">PAID Noosa 
</t>
    </r>
    <r>
      <rPr>
        <sz val="8"/>
        <color rgb="FF0000FF"/>
        <rFont val="Arial"/>
        <family val="2"/>
      </rPr>
      <t>Norton Rose Fulbright</t>
    </r>
  </si>
  <si>
    <t>interest to 9/04/2014</t>
  </si>
  <si>
    <r>
      <t xml:space="preserve">Country Coastal Certifiers permit 2009/BLDA-02797
</t>
    </r>
    <r>
      <rPr>
        <sz val="8"/>
        <color rgb="FF0000FF"/>
        <rFont val="Arial"/>
        <family val="2"/>
      </rPr>
      <t>USE COMMENCED IC OUTSTANDING
Due AUG 2013
Paid Norton Rose Fulbright</t>
    </r>
  </si>
  <si>
    <t>PAID SCRC  CMRNICP ONLY but not indexed
Paid Noosa CMRNICP index'n + Contributions</t>
  </si>
  <si>
    <t xml:space="preserve">5-Feb-14
31-Mar-14
</t>
  </si>
  <si>
    <t>1070217
1146302</t>
  </si>
  <si>
    <t>March 2014
Total =</t>
  </si>
  <si>
    <t>Lapsed confirmed by MC 5/9/13</t>
  </si>
  <si>
    <t>Units (3 x 3 Bed)</t>
  </si>
  <si>
    <t xml:space="preserve">
16/06/2009
30/6/09
14/04/2014</t>
  </si>
  <si>
    <t xml:space="preserve">
518513
520590
1146902</t>
  </si>
  <si>
    <t>Part-Paid
Pmt 1
Pmt 2
Balance Payment to Noosa</t>
  </si>
  <si>
    <t xml:space="preserve">Mar 09 
Pmt 1 = $250
Pmt 2 =$250
Bal Pmt = $4,183 incl interest to 14/04/2014
</t>
  </si>
  <si>
    <r>
      <rPr>
        <strike/>
        <sz val="8"/>
        <rFont val="Arial"/>
        <family val="2"/>
      </rPr>
      <t>CARE Martoo Consulting Pty Ltd
PO Box 1684
NOOSA HEADS  QLD  4567</t>
    </r>
    <r>
      <rPr>
        <sz val="8"/>
        <rFont val="Arial"/>
        <family val="2"/>
      </rPr>
      <t xml:space="preserve">
PO Box 355 TEWANTIN  QLD  4565</t>
    </r>
  </si>
  <si>
    <r>
      <rPr>
        <strike/>
        <sz val="8"/>
        <rFont val="Arial"/>
        <family val="2"/>
      </rPr>
      <t>NC Oliver Consolidated Pty Ltd</t>
    </r>
    <r>
      <rPr>
        <sz val="8"/>
        <rFont val="Arial"/>
        <family val="2"/>
      </rPr>
      <t xml:space="preserve">
Mr AG Williams &amp; Mrs WJ Williams</t>
    </r>
  </si>
  <si>
    <r>
      <t xml:space="preserve">Decision Notice &amp;
</t>
    </r>
    <r>
      <rPr>
        <b/>
        <sz val="8"/>
        <rFont val="Arial"/>
        <family val="2"/>
      </rPr>
      <t xml:space="preserve">INFRASTRUCTURE CHARGE
</t>
    </r>
    <r>
      <rPr>
        <sz val="8"/>
        <rFont val="Arial"/>
        <family val="2"/>
      </rPr>
      <t>Extension to Relevant Period</t>
    </r>
    <r>
      <rPr>
        <b/>
        <sz val="8"/>
        <rFont val="Arial"/>
        <family val="2"/>
      </rPr>
      <t xml:space="preserve">
</t>
    </r>
  </si>
  <si>
    <t>PC13/1499</t>
  </si>
  <si>
    <t xml:space="preserve">PO Box 41, 
NOOSA HEADS QLD 4567
</t>
  </si>
  <si>
    <t>Lot 7 SP 230643</t>
  </si>
  <si>
    <t>7/100 Rene St, Noosaville, Qld 4566</t>
  </si>
  <si>
    <t>751 m2 gfa + 1,126m2 impervious area</t>
  </si>
  <si>
    <t>at MAXIMUM (NO INDEXATION unless amendment to SPRP)</t>
  </si>
  <si>
    <r>
      <t xml:space="preserve">Issue details exported from SCRC AICR
</t>
    </r>
    <r>
      <rPr>
        <b/>
        <sz val="10"/>
        <color rgb="FFFF0000"/>
        <rFont val="Arial"/>
        <family val="2"/>
      </rPr>
      <t>at MAXIMUM (NO INDEXATION unless amendment to SPRP)</t>
    </r>
  </si>
  <si>
    <r>
      <t xml:space="preserve">Additional 246 m2 gfa retail to existing Garden Centre + 120m2 gfa "Flexi Space". No additional impervious area.
</t>
    </r>
    <r>
      <rPr>
        <b/>
        <sz val="10"/>
        <color rgb="FFFF0000"/>
        <rFont val="Arial"/>
        <family val="2"/>
      </rPr>
      <t>NO INDEXATION APPLIES already at MAX amount</t>
    </r>
  </si>
  <si>
    <r>
      <t xml:space="preserve">IC 642
Stage 3 </t>
    </r>
    <r>
      <rPr>
        <sz val="8"/>
        <rFont val="Arial"/>
        <family val="2"/>
      </rPr>
      <t>(Former Stg 5)</t>
    </r>
  </si>
  <si>
    <r>
      <t xml:space="preserve">IC 640
Stage 4
</t>
    </r>
    <r>
      <rPr>
        <sz val="8"/>
        <rFont val="Arial"/>
        <family val="2"/>
      </rPr>
      <t>(former stg 3)</t>
    </r>
  </si>
  <si>
    <r>
      <t xml:space="preserve">IC 641
Stage 5
</t>
    </r>
    <r>
      <rPr>
        <sz val="8"/>
        <rFont val="Arial"/>
        <family val="2"/>
      </rPr>
      <t>(former Stg 4)</t>
    </r>
  </si>
  <si>
    <t>PAID In Full Noosa</t>
  </si>
  <si>
    <t>April 2014 Total =</t>
  </si>
  <si>
    <t>Total/Month</t>
  </si>
  <si>
    <t>Council/Month</t>
  </si>
  <si>
    <t>UW/Month</t>
  </si>
  <si>
    <r>
      <t xml:space="preserve">No 1 = Dec 06       No 2 = Mar 07
No 3 = Sep 07
No 4 = Mar 08
No 5 = Sep 08
No 6. = Mar 09
No 7. = Sep-09
Journal TFR amend </t>
    </r>
    <r>
      <rPr>
        <b/>
        <sz val="8"/>
        <color rgb="FF0000FF"/>
        <rFont val="Arial"/>
        <family val="2"/>
      </rPr>
      <t>= -$9,853</t>
    </r>
    <r>
      <rPr>
        <sz val="8"/>
        <color rgb="FF0000FF"/>
        <rFont val="Arial"/>
        <family val="2"/>
      </rPr>
      <t xml:space="preserve">
No 8 = Jun-10
No 9 = Sep-10
No 10 = Mar 11
No 11 = Mar 11
No 12 = Mar 12
No 13 = Mar 13
No 14 Part = Mar 13
</t>
    </r>
    <r>
      <rPr>
        <sz val="8"/>
        <color rgb="FFFF0000"/>
        <rFont val="Arial"/>
        <family val="2"/>
      </rPr>
      <t>No 14bal=$420 Dec13</t>
    </r>
  </si>
  <si>
    <r>
      <t>PAID to SCRC
on Property Sale but Receipted to Rates</t>
    </r>
    <r>
      <rPr>
        <b/>
        <sz val="8"/>
        <color rgb="FFFF0000"/>
        <rFont val="Arial"/>
        <family val="2"/>
      </rPr>
      <t xml:space="preserve">
Corrected from Rates to IC</t>
    </r>
  </si>
  <si>
    <t>$4,179 Mar-06</t>
  </si>
  <si>
    <r>
      <t xml:space="preserve">Part Paid Sewerage
PAID IC via Bpay to Rates - </t>
    </r>
    <r>
      <rPr>
        <b/>
        <sz val="8"/>
        <color rgb="FFFF0000"/>
        <rFont val="Arial"/>
        <family val="2"/>
      </rPr>
      <t xml:space="preserve">
Corrected from Rates to IC</t>
    </r>
  </si>
  <si>
    <t>$4,253 Jun-06</t>
  </si>
  <si>
    <r>
      <rPr>
        <sz val="8"/>
        <color rgb="FF0000FF"/>
        <rFont val="Arial"/>
        <family val="2"/>
      </rPr>
      <t>Pmt 1-14(part) 
PAID SCC</t>
    </r>
    <r>
      <rPr>
        <b/>
        <sz val="8"/>
        <color rgb="FFFF0000"/>
        <rFont val="Arial"/>
        <family val="2"/>
      </rPr>
      <t xml:space="preserve">
</t>
    </r>
    <r>
      <rPr>
        <b/>
        <sz val="8"/>
        <color rgb="FF0000FF"/>
        <rFont val="Arial"/>
        <family val="2"/>
      </rPr>
      <t>Paid Noosa</t>
    </r>
    <r>
      <rPr>
        <b/>
        <sz val="8"/>
        <color rgb="FFFF0000"/>
        <rFont val="Arial"/>
        <family val="2"/>
      </rPr>
      <t xml:space="preserve">
</t>
    </r>
    <r>
      <rPr>
        <b/>
        <sz val="8"/>
        <color rgb="FF0000FF"/>
        <rFont val="Arial"/>
        <family val="2"/>
      </rPr>
      <t xml:space="preserve">Pmt </t>
    </r>
    <r>
      <rPr>
        <sz val="8"/>
        <color rgb="FF0000FF"/>
        <rFont val="Arial"/>
        <family val="2"/>
      </rPr>
      <t xml:space="preserve">Stg 14 = $420
Pmt Stg 15 = $3496
</t>
    </r>
    <r>
      <rPr>
        <sz val="8"/>
        <color rgb="FFFF0000"/>
        <rFont val="Arial"/>
        <family val="2"/>
      </rPr>
      <t xml:space="preserve"> 
Stgs 15 to 19 = $3,496/stg@CPI Dec13
</t>
    </r>
  </si>
  <si>
    <r>
      <t xml:space="preserve">Pmt 1-14(part) 
PAID SCC
</t>
    </r>
    <r>
      <rPr>
        <b/>
        <u/>
        <sz val="8"/>
        <color rgb="FF0000FF"/>
        <rFont val="Arial"/>
        <family val="2"/>
      </rPr>
      <t>Payment to NOOSA</t>
    </r>
    <r>
      <rPr>
        <sz val="8"/>
        <color rgb="FF0000FF"/>
        <rFont val="Arial"/>
        <family val="2"/>
      </rPr>
      <t xml:space="preserve">
Pmt 14(bal)
Pmt 15 
</t>
    </r>
  </si>
  <si>
    <t xml:space="preserve">
1147333</t>
  </si>
  <si>
    <t xml:space="preserve">
28/05/2014</t>
  </si>
  <si>
    <t>No 15 = $3,496 Dec13</t>
  </si>
  <si>
    <t>No.15=$2,769 Dec13</t>
  </si>
  <si>
    <r>
      <t>Pmt Stg 15 = $3496</t>
    </r>
    <r>
      <rPr>
        <sz val="8"/>
        <color rgb="FF0000FF"/>
        <rFont val="Arial"/>
        <family val="2"/>
      </rPr>
      <t xml:space="preserve">
</t>
    </r>
    <r>
      <rPr>
        <sz val="8"/>
        <color rgb="FFFF0000"/>
        <rFont val="Arial"/>
        <family val="2"/>
      </rPr>
      <t xml:space="preserve"> 
</t>
    </r>
  </si>
  <si>
    <t>Lapsed 5/8/2012
Confirmed MC 1/05/2014</t>
  </si>
  <si>
    <t>Replaced by New Alternative Approval 2007/1823 with  contributions paid</t>
  </si>
  <si>
    <t>LAPSED as confirmed by M.Cantori 29/04/2014</t>
  </si>
  <si>
    <t>LAPSED 10/05/2010
IC &amp; PA Confirmed 5/05/2014</t>
  </si>
  <si>
    <t>Part Payment 3</t>
  </si>
  <si>
    <t>Interest commenced 14/03/2014</t>
  </si>
  <si>
    <r>
      <t xml:space="preserve">Pt Pmt 3 = 5/5/14
</t>
    </r>
    <r>
      <rPr>
        <sz val="8"/>
        <color rgb="FFFF0000"/>
        <rFont val="Arial"/>
        <family val="2"/>
      </rPr>
      <t>Bal @ 5/5/14 = $1,990</t>
    </r>
  </si>
  <si>
    <t>MCU13/0256</t>
  </si>
  <si>
    <t>Lot 110 RP 41223</t>
  </si>
  <si>
    <t>35 Hilton Tce, TEWANTIN</t>
  </si>
  <si>
    <t>Duplex 1x3 bed &amp; 1x2 bed units</t>
  </si>
  <si>
    <t>I Kraus</t>
  </si>
  <si>
    <t>C/- DFS Group
PO Box 605
MAROOCHYDORE  QLD  4558</t>
  </si>
  <si>
    <t>Appeal against approval resulting in Court set aside approval (i.e. Refused)</t>
  </si>
  <si>
    <r>
      <t xml:space="preserve">IC 966
</t>
    </r>
    <r>
      <rPr>
        <b/>
        <sz val="8"/>
        <color rgb="FF0000FF"/>
        <rFont val="Arial"/>
        <family val="2"/>
      </rPr>
      <t>+
SEQICS_ICN.6 (W&amp;S)</t>
    </r>
  </si>
  <si>
    <r>
      <t xml:space="preserve">N/A
</t>
    </r>
    <r>
      <rPr>
        <b/>
        <sz val="8"/>
        <color rgb="FF0000FF"/>
        <rFont val="Arial"/>
        <family val="2"/>
      </rPr>
      <t>+
SEQICS_ICN.36 (W&amp;S)</t>
    </r>
  </si>
  <si>
    <r>
      <t xml:space="preserve">IC 994
+ 
</t>
    </r>
    <r>
      <rPr>
        <b/>
        <sz val="8"/>
        <color rgb="FF0000FF"/>
        <rFont val="Arial"/>
        <family val="2"/>
      </rPr>
      <t>SEQICS_ICN.76 (W&amp;S)</t>
    </r>
  </si>
  <si>
    <t>Paid by DD to Noosa General Account</t>
  </si>
  <si>
    <t xml:space="preserve">DD 7/05/2014
Journal Receipted to IC Account 9/05/2014 </t>
  </si>
  <si>
    <t xml:space="preserve">
1147856</t>
  </si>
  <si>
    <t>Joachim Franz</t>
  </si>
  <si>
    <t>1270 McKinnon Drive RINGTAIL CREEK</t>
  </si>
  <si>
    <t>26 SP 104706</t>
  </si>
  <si>
    <t>Lot 430 RP 48112</t>
  </si>
  <si>
    <t>Vacant residential lot</t>
  </si>
  <si>
    <t xml:space="preserve">Mr S Lehmann &amp; Ms AD De Aragao-Lehmann
</t>
  </si>
  <si>
    <t>78A Seaview Rd WEST BEACH  SA  5024</t>
  </si>
  <si>
    <r>
      <t xml:space="preserve">Additional condition 6 (W&amp;S)
</t>
    </r>
    <r>
      <rPr>
        <sz val="8"/>
        <color rgb="FFFF0000"/>
        <rFont val="Arial"/>
        <family val="2"/>
      </rPr>
      <t xml:space="preserve">USE COMMENCED
Re-confirmed MC 04/2014
</t>
    </r>
    <r>
      <rPr>
        <sz val="8"/>
        <color rgb="FF0000FF"/>
        <rFont val="Arial"/>
        <family val="2"/>
      </rPr>
      <t>Paid 13/05/2014</t>
    </r>
  </si>
  <si>
    <r>
      <t xml:space="preserve">Additional condition (W&amp;S)
Adopted Charge for Transport &amp; Parks may be triggered by BA 
BUILD &amp; BENEFIT Approved
</t>
    </r>
    <r>
      <rPr>
        <sz val="8"/>
        <color rgb="FFFF0000"/>
        <rFont val="Arial"/>
        <family val="2"/>
      </rPr>
      <t xml:space="preserve">USED COMMENCED
Re-confirmed MC 04/2014
</t>
    </r>
    <r>
      <rPr>
        <sz val="8"/>
        <color rgb="FF0000FF"/>
        <rFont val="Arial"/>
        <family val="2"/>
      </rPr>
      <t>Paid 13/05/2014</t>
    </r>
  </si>
  <si>
    <r>
      <t xml:space="preserve">Use commenced
Re-Confirmed MC 04/2014
</t>
    </r>
    <r>
      <rPr>
        <sz val="8"/>
        <color rgb="FF0000FF"/>
        <rFont val="Arial"/>
        <family val="2"/>
      </rPr>
      <t>Paid 14/05/2014</t>
    </r>
  </si>
  <si>
    <t>Paid Noosa</t>
  </si>
  <si>
    <t>Paid 15/05/2014</t>
  </si>
  <si>
    <t>Commercial Business
Type 1 – Office = 113 m2 use area
+
Retail Business –Type 2
Shop &amp; Salon = 121 m2 use area</t>
  </si>
  <si>
    <t>Conditions 75-77 = $250,000 in $50,000 installments per staged development
5th payments (400th Lot)</t>
  </si>
  <si>
    <r>
      <t xml:space="preserve">• Payment 1 on 1st plan of survey 
• Payment 2 on Survey Plan creating 100th lot
• Payment 3 on Survey Plan creating 200th lot
• Payment 4 on Survey Plan creating 300th lot
</t>
    </r>
    <r>
      <rPr>
        <sz val="8"/>
        <color rgb="FFFF0000"/>
        <rFont val="Arial"/>
        <family val="2"/>
      </rPr>
      <t xml:space="preserve">
</t>
    </r>
    <r>
      <rPr>
        <b/>
        <sz val="8"/>
        <color rgb="FF0000FF"/>
        <rFont val="Arial"/>
        <family val="2"/>
      </rPr>
      <t>• Payment 5 on Survey Plan creating 400th lot</t>
    </r>
    <r>
      <rPr>
        <sz val="8"/>
        <color rgb="FFFF0000"/>
        <rFont val="Arial"/>
        <family val="2"/>
      </rPr>
      <t xml:space="preserve">    </t>
    </r>
  </si>
  <si>
    <t>Maroochy Jul-07
Noosa 28/08/2007
SCRC Apr-10
SCRC Jun-11
SCRC 14/11/2013  
NOOSA 
22/05/2014</t>
  </si>
  <si>
    <t xml:space="preserve">Marooc Rec 639774
Noosa Rec 52945
SCRC Rec 819349
Paid GL Acct C.A0392.0000.7417.00
SCRC Rec 924935
Paid GL Acct  C.A0392.8705.7411.99
SRCR Receipt 1134018
NOOSA Receipt 1148362  </t>
  </si>
  <si>
    <r>
      <t xml:space="preserve">• Payment 1 $52,945 
• Payment 2 $57,886 
• Payment 3 $61,090
• Payment 4 $63,197
</t>
    </r>
    <r>
      <rPr>
        <b/>
        <sz val="8"/>
        <color rgb="FF0000FF"/>
        <rFont val="Arial"/>
        <family val="2"/>
      </rPr>
      <t>• Payment 5 $64,858</t>
    </r>
  </si>
  <si>
    <t>MCU14/0011</t>
  </si>
  <si>
    <t>Yctan Trust</t>
  </si>
  <si>
    <t>Lot 43 RP 126838</t>
  </si>
  <si>
    <t>10 Sobraon St, SUNRISE BEACH QLD 4567</t>
  </si>
  <si>
    <r>
      <t xml:space="preserve">1989/86      (DNA 131 - Changes)
</t>
    </r>
    <r>
      <rPr>
        <b/>
        <sz val="8"/>
        <color rgb="FF0000FF"/>
        <rFont val="Arial"/>
        <family val="2"/>
      </rPr>
      <t>(51989.86.02)</t>
    </r>
  </si>
  <si>
    <t>$6,862 Jun-05</t>
  </si>
  <si>
    <t>Part PAID IC 328
Paid Bal Contibs</t>
  </si>
  <si>
    <r>
      <t xml:space="preserve">14/10/2005
</t>
    </r>
    <r>
      <rPr>
        <b/>
        <sz val="8"/>
        <color rgb="FF0000FF"/>
        <rFont val="Arial"/>
        <family val="2"/>
      </rPr>
      <t>26/05/2014</t>
    </r>
  </si>
  <si>
    <r>
      <t xml:space="preserve">131856
</t>
    </r>
    <r>
      <rPr>
        <b/>
        <sz val="8"/>
        <color rgb="FF0000FF"/>
        <rFont val="Arial"/>
        <family val="2"/>
      </rPr>
      <t>1148503</t>
    </r>
  </si>
  <si>
    <t>$5,336  1/09/2006</t>
  </si>
  <si>
    <t>$5366   1/09/2006</t>
  </si>
  <si>
    <t>Part paid (contribrutions still outstanding)
PAID CONTRIBS NOOSA</t>
  </si>
  <si>
    <t>9/03/2007
27/05/2014</t>
  </si>
  <si>
    <t>278913
1148575</t>
  </si>
  <si>
    <r>
      <t xml:space="preserve">Part Pmt 1 
</t>
    </r>
    <r>
      <rPr>
        <sz val="8"/>
        <color rgb="FF0000FF"/>
        <rFont val="Arial"/>
        <family val="2"/>
      </rPr>
      <t>(Path, IC Coast rd, &amp; Open Space)</t>
    </r>
  </si>
  <si>
    <t>$49,402  Sep-08
Stg A = $ 34,617
Stg B = $ 14,785</t>
  </si>
  <si>
    <t>$55,356   Sep-08
Stg A = $ 29,629
Stg B = $ 25,727</t>
  </si>
  <si>
    <t>May 2014 Total =</t>
  </si>
  <si>
    <t>$3,233  Sep-08
Stg A = $ 3,233
Stg B = $ 0</t>
  </si>
  <si>
    <t>$157,394  Sept-08 (Rev 2)
Stg A = $ 157,394
Stg B = $ 0</t>
  </si>
  <si>
    <t>$3,266   Sep-08
Stg A = $ 3,266
Stg B = $ 0</t>
  </si>
  <si>
    <t>$3,718   May-14</t>
  </si>
  <si>
    <t>$179,197    May-14</t>
  </si>
  <si>
    <t>$3,681   May-14</t>
  </si>
  <si>
    <r>
      <rPr>
        <strike/>
        <sz val="8"/>
        <rFont val="Arial"/>
        <family val="2"/>
      </rPr>
      <t>14/09/2010</t>
    </r>
    <r>
      <rPr>
        <sz val="8"/>
        <rFont val="Arial"/>
        <family val="2"/>
      </rPr>
      <t xml:space="preserve">
28/05/2014</t>
    </r>
  </si>
  <si>
    <t>MCU13/0251</t>
  </si>
  <si>
    <t>215 David Low Way, PEREGIAN BEACH, QLD 4573</t>
  </si>
  <si>
    <t>Retail Business Type 2, Commercial Business Type 1, Entertainment &amp; Dining Business Type 1 
- Supermarket and Loading/Service Areas (1,218m2) – Only Shop Use.
- Specialty Shops and Toilets (420m2) – Applying for all uses.
- Outdoor Dining (62m2) Covered
=TOTAL RETAIL USE = 1,700m2 gfa + 5,286m2 impervious area</t>
  </si>
  <si>
    <t>per previous MCU approval 07/1259 (DA) 132007.1259 Stage 1
Detached House 1 (Caretakers residence)
Visitor Accommodation Type 2 Caravan Park 
(consisting of 8 Cabins, 
46 Powered Sites 22 Unpowered Sites = 68 sites) = 22 per 3 sites + 1 per 2 sites</t>
  </si>
  <si>
    <t>Scanlon Property Group</t>
  </si>
  <si>
    <t>C/- Adamson Town Planning
PO Box 78
PEREGIAN BEACH  QLD  4573</t>
  </si>
  <si>
    <r>
      <t xml:space="preserve">$500 Pt Pmt 1=19/03/14
$500 Pt Pmt 2 = 31/03/14
</t>
    </r>
    <r>
      <rPr>
        <sz val="8"/>
        <color rgb="FFFF0000"/>
        <rFont val="Arial"/>
        <family val="2"/>
      </rPr>
      <t xml:space="preserve">Bal @ 31/03/14 = $2,476 </t>
    </r>
    <r>
      <rPr>
        <sz val="8"/>
        <color rgb="FF0000FF"/>
        <rFont val="Arial"/>
        <family val="2"/>
      </rPr>
      <t xml:space="preserve">
$500 Pt Pmt 3 = 5/5/14
</t>
    </r>
    <r>
      <rPr>
        <sz val="8"/>
        <color rgb="FFFF0000"/>
        <rFont val="Arial"/>
        <family val="2"/>
      </rPr>
      <t xml:space="preserve">Bal @ 5/5/14 = $1,990
</t>
    </r>
    <r>
      <rPr>
        <sz val="8"/>
        <color rgb="FF0000FF"/>
        <rFont val="Arial"/>
        <family val="2"/>
      </rPr>
      <t>$500 Pt Pmt 4 = 30/5/14</t>
    </r>
    <r>
      <rPr>
        <sz val="8"/>
        <color rgb="FFFF0000"/>
        <rFont val="Arial"/>
        <family val="2"/>
      </rPr>
      <t xml:space="preserve">
Bal @ 30/5/14 = $1,505</t>
    </r>
  </si>
  <si>
    <r>
      <t xml:space="preserve">$3,036 Mar-2010
</t>
    </r>
    <r>
      <rPr>
        <sz val="8"/>
        <color rgb="FFFF0000"/>
        <rFont val="Arial"/>
        <family val="2"/>
      </rPr>
      <t>Interest commenced 14/03/2014</t>
    </r>
  </si>
  <si>
    <t>June 2014 Total =</t>
  </si>
  <si>
    <r>
      <t xml:space="preserve">Jun-2010
</t>
    </r>
    <r>
      <rPr>
        <sz val="8"/>
        <color rgb="FFFF0000"/>
        <rFont val="Arial"/>
        <family val="2"/>
      </rPr>
      <t>Interest commenced 30/09/2013</t>
    </r>
  </si>
  <si>
    <t>PAID in Full</t>
  </si>
  <si>
    <t>$854 Mar-06</t>
  </si>
  <si>
    <t>$1,580 Mar-06</t>
  </si>
  <si>
    <r>
      <t xml:space="preserve">08/0492 (DA)
</t>
    </r>
    <r>
      <rPr>
        <sz val="8"/>
        <rFont val="Arial"/>
        <family val="2"/>
      </rPr>
      <t>132008.492</t>
    </r>
  </si>
  <si>
    <t>Netanya Management Pty Ltd</t>
  </si>
  <si>
    <t xml:space="preserve">C/- Hayes Anderson Lynch Architects
PO Box 2680
Fortitude Valley BC  QLD  4006
</t>
  </si>
  <si>
    <t xml:space="preserve">Netanya 7/71 Hastings St NOOSA HEADS  QLD  4567 </t>
  </si>
  <si>
    <t>Lot 7 BUP 101500</t>
  </si>
  <si>
    <t>Conference room associated with Hotel (originally approved as a shop) 97.2 m2</t>
  </si>
  <si>
    <t>IA Carparking Contribution in Lieu</t>
  </si>
  <si>
    <r>
      <t xml:space="preserve">IC 838
</t>
    </r>
    <r>
      <rPr>
        <b/>
        <sz val="8"/>
        <color rgb="FF0000FF"/>
        <rFont val="Arial"/>
        <family val="2"/>
      </rPr>
      <t xml:space="preserve">+
IA 
</t>
    </r>
    <r>
      <rPr>
        <sz val="8"/>
        <color rgb="FF0000FF"/>
        <rFont val="Arial"/>
        <family val="2"/>
      </rPr>
      <t>(17/06/2013)</t>
    </r>
    <r>
      <rPr>
        <b/>
        <sz val="8"/>
        <color rgb="FF0000FF"/>
        <rFont val="Arial"/>
        <family val="2"/>
      </rPr>
      <t xml:space="preserve">
</t>
    </r>
    <r>
      <rPr>
        <b/>
        <sz val="8"/>
        <color rgb="FFFF0000"/>
        <rFont val="Arial"/>
        <family val="2"/>
      </rPr>
      <t xml:space="preserve">+ 
SCRC BnB </t>
    </r>
    <r>
      <rPr>
        <sz val="8"/>
        <color rgb="FFFF0000"/>
        <rFont val="Arial"/>
        <family val="2"/>
      </rPr>
      <t>(20/08/2013)</t>
    </r>
  </si>
  <si>
    <r>
      <rPr>
        <strike/>
        <sz val="8"/>
        <rFont val="Arial"/>
        <family val="2"/>
      </rPr>
      <t>5/08/2013</t>
    </r>
    <r>
      <rPr>
        <sz val="8"/>
        <rFont val="Arial"/>
        <family val="2"/>
      </rPr>
      <t xml:space="preserve">
5/08/2017</t>
    </r>
  </si>
  <si>
    <r>
      <rPr>
        <strike/>
        <sz val="8"/>
        <rFont val="Arial"/>
        <family val="2"/>
      </rPr>
      <t>10/08/2009</t>
    </r>
    <r>
      <rPr>
        <sz val="8"/>
        <rFont val="Arial"/>
        <family val="2"/>
      </rPr>
      <t xml:space="preserve">
3/7/2013</t>
    </r>
  </si>
  <si>
    <r>
      <rPr>
        <strike/>
        <sz val="8"/>
        <rFont val="Arial"/>
        <family val="2"/>
      </rPr>
      <t>Decision Notice</t>
    </r>
    <r>
      <rPr>
        <sz val="8"/>
        <rFont val="Arial"/>
        <family val="2"/>
      </rPr>
      <t xml:space="preserve">
Change to existing</t>
    </r>
  </si>
  <si>
    <t>IA Stormwater
@ CPI Dec 13</t>
  </si>
  <si>
    <t xml:space="preserve">IA Public Transport
@ CPI Dec 13
</t>
  </si>
  <si>
    <t>IA Stormwater
@ CPI Dec 2013</t>
  </si>
  <si>
    <t xml:space="preserve">IA Public Ttransport
@ CPI Dec 2013 </t>
  </si>
  <si>
    <t xml:space="preserve">IA Stormwater
@CPI June 2013
</t>
  </si>
  <si>
    <t>07/1010 (DA)
132007.1010</t>
  </si>
  <si>
    <t xml:space="preserve">IA Public Transport
@ Dec-13
</t>
  </si>
  <si>
    <t xml:space="preserve">IA Stormwater
@ Mar-2011
</t>
  </si>
  <si>
    <t>PC14/0421</t>
  </si>
  <si>
    <t>PC14/0422</t>
  </si>
  <si>
    <t>PO Box 418
COOROY, QLD 4563</t>
  </si>
  <si>
    <t>Lot 3 SP 230057</t>
  </si>
  <si>
    <t>3C Kauri St, COOROY, QLD 4563</t>
  </si>
  <si>
    <t>Multiple Housing duplex 2 x 3 bed units (Detached Houses)</t>
  </si>
  <si>
    <t>08/1121 (DA)
132008.1121</t>
  </si>
  <si>
    <t>08/1122 (DA)
132008.1122</t>
  </si>
  <si>
    <r>
      <rPr>
        <sz val="10"/>
        <color rgb="FFFF0000"/>
        <rFont val="Arial"/>
        <family val="2"/>
      </rPr>
      <t>Adopted Charge for missing Stormwater &amp; Public Tranpsort networks</t>
    </r>
    <r>
      <rPr>
        <sz val="10"/>
        <color rgb="FF0000FF"/>
        <rFont val="Arial"/>
        <family val="2"/>
      </rPr>
      <t xml:space="preserve">
MCU 132008.1121 applies contribs &amp; IC for other networks</t>
    </r>
  </si>
  <si>
    <r>
      <rPr>
        <sz val="10"/>
        <color rgb="FFFF0000"/>
        <rFont val="Arial"/>
        <family val="2"/>
      </rPr>
      <t>Adopted Charge for missing Stormwater &amp; Public Tranpsort networks</t>
    </r>
    <r>
      <rPr>
        <sz val="10"/>
        <color rgb="FF0000FF"/>
        <rFont val="Arial"/>
        <family val="2"/>
      </rPr>
      <t xml:space="preserve">
MCU 132008.1122 applies contribs &amp; IC for other networks</t>
    </r>
  </si>
  <si>
    <t>June 2014
Total =</t>
  </si>
  <si>
    <t>N/a</t>
  </si>
  <si>
    <t>PC14/0471</t>
  </si>
  <si>
    <t>Paul Blundell,
Noosa Yacht &amp; Rowing Club</t>
  </si>
  <si>
    <t>PO Box 1186,
TEWANTIN, QLD 4565</t>
  </si>
  <si>
    <t>Lot 166 MCH 89217</t>
  </si>
  <si>
    <t>Chaplin Park, Gympie Tce, NOOSAVILLE, QLD 4566</t>
  </si>
  <si>
    <t>Sport &amp; Recreation Use exempt from Public Parks 
Council networks 100% rebated for Community Sporting Org under Council Policy rebates for Community Organisations</t>
  </si>
  <si>
    <t>Extn to sport &amp; rec rowing club storage &amp; disabled amenities.
Boat Storage area 25.7 m2 @ equiv Court area. 
Disabled amenities 6.9 m2
Impervious area = 32.6 m2</t>
  </si>
  <si>
    <t>Nil m2 gfa
Existing impervious area over existing baclony overhangs = 13.7 m2</t>
  </si>
  <si>
    <r>
      <t>09/06/2005 24/08/2005</t>
    </r>
    <r>
      <rPr>
        <sz val="8"/>
        <rFont val="Arial"/>
        <family val="2"/>
      </rPr>
      <t xml:space="preserve">
</t>
    </r>
    <r>
      <rPr>
        <strike/>
        <sz val="8"/>
        <rFont val="Arial"/>
        <family val="2"/>
      </rPr>
      <t>9/6/2010</t>
    </r>
    <r>
      <rPr>
        <sz val="8"/>
        <rFont val="Arial"/>
        <family val="2"/>
      </rPr>
      <t xml:space="preserve">
</t>
    </r>
    <r>
      <rPr>
        <strike/>
        <sz val="8"/>
        <rFont val="Arial"/>
        <family val="2"/>
      </rPr>
      <t>21/12/2011</t>
    </r>
    <r>
      <rPr>
        <sz val="8"/>
        <rFont val="Arial"/>
        <family val="2"/>
      </rPr>
      <t xml:space="preserve">
30/04/2014
</t>
    </r>
  </si>
  <si>
    <t>Extn IA for Missing:
- Stormwater 
- Public Transport</t>
  </si>
  <si>
    <t>IA Extension Missing 
- Stormwater 
Extn VARIATION 
- Public Tranpsort</t>
  </si>
  <si>
    <t>Dec-13
IA Missing Transport</t>
  </si>
  <si>
    <t>Dec-13
IA Missing Stormwater</t>
  </si>
  <si>
    <r>
      <rPr>
        <strike/>
        <sz val="8"/>
        <rFont val="Arial"/>
        <family val="2"/>
      </rPr>
      <t>13/09/2014</t>
    </r>
    <r>
      <rPr>
        <sz val="8"/>
        <rFont val="Arial"/>
        <family val="2"/>
      </rPr>
      <t xml:space="preserve">
13/09/2016</t>
    </r>
  </si>
  <si>
    <r>
      <rPr>
        <strike/>
        <sz val="8"/>
        <rFont val="Arial"/>
        <family val="2"/>
      </rPr>
      <t>13/09/2010</t>
    </r>
    <r>
      <rPr>
        <sz val="8"/>
        <rFont val="Arial"/>
        <family val="2"/>
      </rPr>
      <t xml:space="preserve">
3/06/2014</t>
    </r>
  </si>
  <si>
    <t>$344 Sep-05</t>
  </si>
  <si>
    <t>$715 Sep-05</t>
  </si>
  <si>
    <t>$2058 Sep-05</t>
  </si>
  <si>
    <t>$1529 Sep-05</t>
  </si>
  <si>
    <t>$360 Mar-07</t>
  </si>
  <si>
    <t>$749 Mar-07</t>
  </si>
  <si>
    <t>$2155 Mar-07</t>
  </si>
  <si>
    <t>$1601 Mar-07</t>
  </si>
  <si>
    <t xml:space="preserve">Extn IA for Missing 
- Stormwater </t>
  </si>
  <si>
    <t xml:space="preserve">($920 x 48 trees) must be made to the Council for the off-set of 48 koala habitat trees in accordance with the Policy for Offsets for Net Gain of Koala Habitat in South East Queensland. </t>
  </si>
  <si>
    <t>$57,245 Dec-09</t>
  </si>
  <si>
    <t>$1730 Mar-09</t>
  </si>
  <si>
    <t>$1431 Mar-09</t>
  </si>
  <si>
    <t>$1674 Mar-09</t>
  </si>
  <si>
    <t>$389 Mar-09</t>
  </si>
  <si>
    <t>Paid Contributions only</t>
  </si>
  <si>
    <t>$1309 Jun-06</t>
  </si>
  <si>
    <t>$356 Jun-06</t>
  </si>
  <si>
    <t>$1582 Jun-06</t>
  </si>
  <si>
    <t>$1531 Jun-06</t>
  </si>
  <si>
    <t>Interest to 16/06/2014</t>
  </si>
  <si>
    <r>
      <t xml:space="preserve">Dec-2007  
</t>
    </r>
    <r>
      <rPr>
        <sz val="8"/>
        <color rgb="FFFF0000"/>
        <rFont val="Arial"/>
        <family val="2"/>
      </rPr>
      <t>Interest commenced 14/06/2013</t>
    </r>
  </si>
  <si>
    <r>
      <rPr>
        <sz val="8"/>
        <color rgb="FF0000FF"/>
        <rFont val="Arial"/>
        <family val="2"/>
      </rPr>
      <t>Part Payment 1
Part Payment 2
Part Payment 3</t>
    </r>
    <r>
      <rPr>
        <b/>
        <sz val="8"/>
        <color rgb="FF0000FF"/>
        <rFont val="Arial"/>
        <family val="2"/>
      </rPr>
      <t xml:space="preserve">
Part Payment 4</t>
    </r>
  </si>
  <si>
    <r>
      <t xml:space="preserve">19/03/2014
31/03/2014
5/5/2014
</t>
    </r>
    <r>
      <rPr>
        <b/>
        <sz val="8"/>
        <color rgb="FF0000FF"/>
        <rFont val="Arial"/>
        <family val="2"/>
      </rPr>
      <t>2/06/2014</t>
    </r>
  </si>
  <si>
    <r>
      <t xml:space="preserve">1145782
1146339
1147596
</t>
    </r>
    <r>
      <rPr>
        <b/>
        <sz val="8"/>
        <color rgb="FF0000FF"/>
        <rFont val="Arial"/>
        <family val="2"/>
      </rPr>
      <t>1148774</t>
    </r>
  </si>
  <si>
    <t>PAID In Full 
Noosa</t>
  </si>
  <si>
    <t>Paid in Full Noosa</t>
  </si>
  <si>
    <t>Interest to 6/06/2014</t>
  </si>
  <si>
    <t xml:space="preserve">23677 DA
132003.221199
</t>
  </si>
  <si>
    <t>3D Kauri St, COOROY, QLD 4563</t>
  </si>
  <si>
    <t>Lot 4 SP 230057</t>
  </si>
  <si>
    <t xml:space="preserve">Original Decision - 21/9/2006
Negotiated DN - 20/11/2006
Changes to EA - 27/10/2010
Changes to EA Ext- 14/8/2012 </t>
  </si>
  <si>
    <r>
      <rPr>
        <strike/>
        <sz val="8"/>
        <rFont val="Arial"/>
        <family val="2"/>
      </rPr>
      <t>20/09/2011</t>
    </r>
    <r>
      <rPr>
        <sz val="8"/>
        <rFont val="Arial"/>
        <family val="2"/>
      </rPr>
      <t xml:space="preserve">
</t>
    </r>
    <r>
      <rPr>
        <strike/>
        <sz val="8"/>
        <rFont val="Arial"/>
        <family val="2"/>
      </rPr>
      <t>3/02/2014</t>
    </r>
    <r>
      <rPr>
        <sz val="8"/>
        <rFont val="Arial"/>
        <family val="2"/>
      </rPr>
      <t xml:space="preserve">
20/09/2015</t>
    </r>
  </si>
  <si>
    <r>
      <rPr>
        <strike/>
        <sz val="8"/>
        <rFont val="Arial"/>
        <family val="2"/>
      </rPr>
      <t>20/09/2007</t>
    </r>
    <r>
      <rPr>
        <sz val="8"/>
        <rFont val="Arial"/>
        <family val="2"/>
      </rPr>
      <t xml:space="preserve">
</t>
    </r>
    <r>
      <rPr>
        <strike/>
        <sz val="8"/>
        <rFont val="Arial"/>
        <family val="2"/>
      </rPr>
      <t>3/02/2011</t>
    </r>
    <r>
      <rPr>
        <sz val="8"/>
        <rFont val="Arial"/>
        <family val="2"/>
      </rPr>
      <t xml:space="preserve">
Ext 18/03/2014 
</t>
    </r>
  </si>
  <si>
    <r>
      <t>20/05/2008</t>
    </r>
    <r>
      <rPr>
        <sz val="8"/>
        <rFont val="Arial"/>
        <family val="2"/>
      </rPr>
      <t xml:space="preserve">
</t>
    </r>
    <r>
      <rPr>
        <strike/>
        <sz val="8"/>
        <rFont val="Arial"/>
        <family val="2"/>
      </rPr>
      <t>21/10/08</t>
    </r>
    <r>
      <rPr>
        <sz val="8"/>
        <rFont val="Arial"/>
        <family val="2"/>
      </rPr>
      <t xml:space="preserve">
</t>
    </r>
    <r>
      <rPr>
        <strike/>
        <sz val="8"/>
        <rFont val="Arial"/>
        <family val="2"/>
      </rPr>
      <t>19/01/2012</t>
    </r>
    <r>
      <rPr>
        <sz val="8"/>
        <rFont val="Arial"/>
        <family val="2"/>
      </rPr>
      <t xml:space="preserve">
Ext 18/03/2014</t>
    </r>
  </si>
  <si>
    <r>
      <rPr>
        <strike/>
        <sz val="8"/>
        <rFont val="Arial"/>
        <family val="2"/>
      </rPr>
      <t>20/05/2012</t>
    </r>
    <r>
      <rPr>
        <sz val="8"/>
        <rFont val="Arial"/>
        <family val="2"/>
      </rPr>
      <t xml:space="preserve">
</t>
    </r>
    <r>
      <rPr>
        <strike/>
        <sz val="8"/>
        <rFont val="Arial"/>
        <family val="2"/>
      </rPr>
      <t>20/05/2014</t>
    </r>
    <r>
      <rPr>
        <sz val="8"/>
        <rFont val="Arial"/>
        <family val="2"/>
      </rPr>
      <t xml:space="preserve">
20/05/2016</t>
    </r>
  </si>
  <si>
    <r>
      <rPr>
        <strike/>
        <sz val="8"/>
        <rFont val="Arial"/>
        <family val="2"/>
      </rPr>
      <t>1/09/2013</t>
    </r>
    <r>
      <rPr>
        <sz val="8"/>
        <rFont val="Arial"/>
        <family val="2"/>
      </rPr>
      <t xml:space="preserve">
1/09/2015</t>
    </r>
  </si>
  <si>
    <r>
      <rPr>
        <strike/>
        <sz val="8"/>
        <rFont val="Arial"/>
        <family val="2"/>
      </rPr>
      <t>2/12/2009</t>
    </r>
    <r>
      <rPr>
        <sz val="8"/>
        <rFont val="Arial"/>
        <family val="2"/>
      </rPr>
      <t xml:space="preserve">
12/10/2011</t>
    </r>
  </si>
  <si>
    <r>
      <t xml:space="preserve">18/5/2010
</t>
    </r>
    <r>
      <rPr>
        <sz val="8"/>
        <rFont val="Arial"/>
        <family val="2"/>
      </rPr>
      <t>15/05/2014</t>
    </r>
  </si>
  <si>
    <r>
      <t>Suncoast Building Approvals Permit No. SBA 07-0306 - Received 16/03/07</t>
    </r>
    <r>
      <rPr>
        <b/>
        <sz val="8"/>
        <rFont val="Arial"/>
        <family val="2"/>
      </rPr>
      <t xml:space="preserve">
</t>
    </r>
    <r>
      <rPr>
        <b/>
        <sz val="8"/>
        <color indexed="10"/>
        <rFont val="Arial"/>
        <family val="2"/>
      </rPr>
      <t>INTEREST COMMENCED 23/05//2009</t>
    </r>
  </si>
  <si>
    <t>Decision Notice &amp; INFRASTRUCTURE CHARGE NOTICE</t>
  </si>
  <si>
    <t xml:space="preserve"> Sep-05</t>
  </si>
  <si>
    <t>PAID In Full 
Noosa
Stage Pmt 14</t>
  </si>
  <si>
    <t>Mar-14
Stage Pmt 14</t>
  </si>
  <si>
    <t>Staged Pmt Agmt
Pmt 3 Mar-14</t>
  </si>
  <si>
    <r>
      <rPr>
        <b/>
        <sz val="8"/>
        <color rgb="FF0000FF"/>
        <rFont val="Arial"/>
        <family val="2"/>
      </rPr>
      <t>Staged Payment</t>
    </r>
    <r>
      <rPr>
        <sz val="8"/>
        <color rgb="FF0000FF"/>
        <rFont val="Arial"/>
        <family val="2"/>
      </rPr>
      <t xml:space="preserve">
Pmt 3 Noosa</t>
    </r>
  </si>
  <si>
    <t xml:space="preserve">
30/06/2014</t>
  </si>
  <si>
    <t xml:space="preserve">
1149895  </t>
  </si>
  <si>
    <t xml:space="preserve">Use Commenced
Re-Confirmed MC 04/2014
Contrib paid by new property owner </t>
  </si>
  <si>
    <t>Part paid
Outstanding Balance Paid Noosa</t>
  </si>
  <si>
    <r>
      <t xml:space="preserve">1/06/2007 
Part payments $1948 
Compound Interest Applies
</t>
    </r>
    <r>
      <rPr>
        <b/>
        <sz val="8"/>
        <color rgb="FF0000FF"/>
        <rFont val="Arial"/>
        <family val="2"/>
      </rPr>
      <t xml:space="preserve">Final o/s balance $1,547 paid by New Owner 1/7/14 </t>
    </r>
  </si>
  <si>
    <r>
      <t xml:space="preserve">15/11/2007
04/01/08
10/07/08
7/1/09
</t>
    </r>
    <r>
      <rPr>
        <b/>
        <sz val="8"/>
        <color rgb="FF0000FF"/>
        <rFont val="Arial"/>
        <family val="2"/>
      </rPr>
      <t>1/7/2014</t>
    </r>
    <r>
      <rPr>
        <sz val="8"/>
        <color rgb="FF0000FF"/>
        <rFont val="Arial"/>
        <family val="2"/>
      </rPr>
      <t xml:space="preserve">
</t>
    </r>
  </si>
  <si>
    <r>
      <t xml:space="preserve">349051
356175
408642
466967
</t>
    </r>
    <r>
      <rPr>
        <b/>
        <sz val="8"/>
        <color rgb="FF0000FF"/>
        <rFont val="Arial"/>
        <family val="2"/>
      </rPr>
      <t>1449945</t>
    </r>
  </si>
  <si>
    <t>July 2014 Total =</t>
  </si>
  <si>
    <t xml:space="preserve">IA Transport
@ Dec-13
</t>
  </si>
  <si>
    <r>
      <rPr>
        <strike/>
        <sz val="8"/>
        <rFont val="Arial"/>
        <family val="2"/>
      </rPr>
      <t>20/05/2012</t>
    </r>
    <r>
      <rPr>
        <sz val="8"/>
        <rFont val="Arial"/>
        <family val="2"/>
      </rPr>
      <t xml:space="preserve">
</t>
    </r>
    <r>
      <rPr>
        <strike/>
        <sz val="8"/>
        <rFont val="Arial"/>
        <family val="2"/>
      </rPr>
      <t>20/05/2014</t>
    </r>
    <r>
      <rPr>
        <sz val="8"/>
        <rFont val="Arial"/>
        <family val="2"/>
      </rPr>
      <t xml:space="preserve">
20/05/2016</t>
    </r>
  </si>
  <si>
    <r>
      <rPr>
        <strike/>
        <sz val="8"/>
        <rFont val="Arial"/>
        <family val="2"/>
      </rPr>
      <t>20/05/2008</t>
    </r>
    <r>
      <rPr>
        <sz val="8"/>
        <rFont val="Arial"/>
        <family val="2"/>
      </rPr>
      <t xml:space="preserve">
</t>
    </r>
    <r>
      <rPr>
        <strike/>
        <sz val="8"/>
        <rFont val="Arial"/>
        <family val="2"/>
      </rPr>
      <t>25/06/2012</t>
    </r>
    <r>
      <rPr>
        <sz val="8"/>
        <rFont val="Arial"/>
        <family val="2"/>
      </rPr>
      <t xml:space="preserve">
25/06/2014
</t>
    </r>
  </si>
  <si>
    <r>
      <t>8/02/2010</t>
    </r>
    <r>
      <rPr>
        <sz val="8"/>
        <rFont val="Arial"/>
        <family val="2"/>
      </rPr>
      <t xml:space="preserve">
</t>
    </r>
    <r>
      <rPr>
        <strike/>
        <sz val="8"/>
        <rFont val="Arial"/>
        <family val="2"/>
      </rPr>
      <t>23/6/2010</t>
    </r>
    <r>
      <rPr>
        <sz val="8"/>
        <rFont val="Arial"/>
        <family val="2"/>
      </rPr>
      <t xml:space="preserve">
24/06/2014</t>
    </r>
  </si>
  <si>
    <r>
      <rPr>
        <strike/>
        <sz val="8"/>
        <rFont val="Arial"/>
        <family val="2"/>
      </rPr>
      <t>8/02/2014</t>
    </r>
    <r>
      <rPr>
        <sz val="8"/>
        <rFont val="Arial"/>
        <family val="2"/>
      </rPr>
      <t xml:space="preserve">
23/06/2016 
All stages 23/06/2018</t>
    </r>
  </si>
  <si>
    <t>MCU14/0008</t>
  </si>
  <si>
    <t>Lot 12 SP 207105</t>
  </si>
  <si>
    <t>226 David Low Way Peregian Beach Qld 4573</t>
  </si>
  <si>
    <t>multiple housing type 4 – conventional &amp; visitor accommodation type 4 - conventional] = 9 x 1 bedroom units</t>
  </si>
  <si>
    <t>$1,446 Sep-08</t>
  </si>
  <si>
    <t>$1,461 Sep-08</t>
  </si>
  <si>
    <t>$3,306 Sep-08</t>
  </si>
  <si>
    <t>$2,851 Sep-08</t>
  </si>
  <si>
    <t>$1,476 Sep-08</t>
  </si>
  <si>
    <t>$3,306  Sep-08</t>
  </si>
  <si>
    <r>
      <t xml:space="preserve">Part Payment 1
Part Payment 2
Part Payment 3
Part Payment 4
</t>
    </r>
    <r>
      <rPr>
        <b/>
        <sz val="8"/>
        <color rgb="FF0000FF"/>
        <rFont val="Arial"/>
        <family val="2"/>
      </rPr>
      <t>Part Payment 5</t>
    </r>
  </si>
  <si>
    <r>
      <t xml:space="preserve">19/03/2014
31/03/2014
5/5/2014
2/06/2014
</t>
    </r>
    <r>
      <rPr>
        <b/>
        <sz val="8"/>
        <color rgb="FF0000FF"/>
        <rFont val="Arial"/>
        <family val="2"/>
      </rPr>
      <t>2/07/2014</t>
    </r>
  </si>
  <si>
    <r>
      <t xml:space="preserve">1145782
1146339
1147596
1148774
</t>
    </r>
    <r>
      <rPr>
        <b/>
        <sz val="8"/>
        <color rgb="FF0000FF"/>
        <rFont val="Arial"/>
        <family val="2"/>
      </rPr>
      <t>1149992</t>
    </r>
  </si>
  <si>
    <r>
      <t xml:space="preserve">$500 Pt Pmt 1=19/03/14
$500 Pt Pmt 2 = 31/03/14
</t>
    </r>
    <r>
      <rPr>
        <sz val="8"/>
        <color rgb="FFFF0000"/>
        <rFont val="Arial"/>
        <family val="2"/>
      </rPr>
      <t xml:space="preserve">Bal @ 31/03/14 = $2,476 </t>
    </r>
    <r>
      <rPr>
        <sz val="8"/>
        <color rgb="FF0000FF"/>
        <rFont val="Arial"/>
        <family val="2"/>
      </rPr>
      <t xml:space="preserve">
$500 Pt Pmt 3 = 5/5/14
</t>
    </r>
    <r>
      <rPr>
        <sz val="8"/>
        <color rgb="FFFF0000"/>
        <rFont val="Arial"/>
        <family val="2"/>
      </rPr>
      <t xml:space="preserve">Bal @ 5/5/14 = $1,990
</t>
    </r>
    <r>
      <rPr>
        <sz val="8"/>
        <color rgb="FF0000FF"/>
        <rFont val="Arial"/>
        <family val="2"/>
      </rPr>
      <t>$500 Pt Pmt 4 = 30/5/14</t>
    </r>
    <r>
      <rPr>
        <sz val="8"/>
        <color rgb="FFFF0000"/>
        <rFont val="Arial"/>
        <family val="2"/>
      </rPr>
      <t xml:space="preserve">
Bal @ 30/5/14 = $1,505
</t>
    </r>
    <r>
      <rPr>
        <b/>
        <sz val="8"/>
        <color rgb="FF0000FF"/>
        <rFont val="Arial"/>
        <family val="2"/>
      </rPr>
      <t>$500 Pt Pmt 5 = 30/5/14</t>
    </r>
    <r>
      <rPr>
        <b/>
        <sz val="8"/>
        <color rgb="FFFF0000"/>
        <rFont val="Arial"/>
        <family val="2"/>
      </rPr>
      <t xml:space="preserve">
Bal @ 2/07/14 = $1,020</t>
    </r>
  </si>
  <si>
    <t>Mar-06 (Paid Stage 1 - $1,541) Stage 2 Still outstanding</t>
  </si>
  <si>
    <t>Mar-06 (Paid Stage 1 - $1,056) Stage 2 still outstanding</t>
  </si>
  <si>
    <t>Dec 99 CPI $2,600/Cabin (5 Cabins) 2 remaining</t>
  </si>
  <si>
    <t>Mar-05
Paid $1,716</t>
  </si>
  <si>
    <t>Mar-05
$1,716</t>
  </si>
  <si>
    <t>$1,036 @ Jun-07</t>
  </si>
  <si>
    <t>Paid $1,046 @ Sep-07</t>
  </si>
  <si>
    <t>Part Paid IC only</t>
  </si>
  <si>
    <r>
      <t xml:space="preserve">$3,036 @Mar-2010
</t>
    </r>
    <r>
      <rPr>
        <sz val="8"/>
        <color rgb="FFFF0000"/>
        <rFont val="Arial"/>
        <family val="2"/>
      </rPr>
      <t>Interest commenced 14/03/2014
Bal @ 2/07/14 = $1,020</t>
    </r>
  </si>
  <si>
    <t>Telstra Corporation Ltd</t>
  </si>
  <si>
    <t>C/- Aurecon Australia Pty Ltd
32 Turbot Street
BRISBANE QLD 4000</t>
  </si>
  <si>
    <t>1 Illoura Pl COOROIBAH QLD 4565</t>
  </si>
  <si>
    <t>Lot 21 SP 213298</t>
  </si>
  <si>
    <r>
      <rPr>
        <strike/>
        <sz val="8"/>
        <rFont val="Arial"/>
        <family val="2"/>
      </rPr>
      <t>27/04/2011</t>
    </r>
    <r>
      <rPr>
        <sz val="8"/>
        <rFont val="Arial"/>
        <family val="2"/>
      </rPr>
      <t xml:space="preserve">
10/06/2011</t>
    </r>
  </si>
  <si>
    <t>1 x Lot &amp; Dwelling House
+
1 x Telecommunications
Tower with Optus &amp;
Telstra Utility Sheds
=14m2 use area</t>
  </si>
  <si>
    <t>1 x Lot &amp; Dwelling House</t>
  </si>
  <si>
    <t>Rural Residential</t>
  </si>
  <si>
    <t xml:space="preserve">
27/09/1988
22/06/1989</t>
  </si>
  <si>
    <t xml:space="preserve">
Per email 4/9/2002
Per email 4/9/2002</t>
  </si>
  <si>
    <t>Part Payments
1
2</t>
  </si>
  <si>
    <r>
      <t xml:space="preserve">Sep-87
$1,000 per villa for 25 Villas + 1 Caretakers Res = $26,000 
</t>
    </r>
    <r>
      <rPr>
        <sz val="8"/>
        <color rgb="FFFF0000"/>
        <rFont val="Arial"/>
        <family val="2"/>
      </rPr>
      <t>(20 villas remaining)</t>
    </r>
  </si>
  <si>
    <t>SCRC Build &amp; Benefit Reductions if development completed before 30 June 2014, 30 June 2014 or 30 June 2015
Transport Reduction = -$17,156, $12,867 or $8,578
Public Parks Reduction = -$3,028, $2,271 or $1,514
Stormwater Reduction = -$3,931, $2,949 or $1,966</t>
  </si>
  <si>
    <t>7 SP 195871</t>
  </si>
  <si>
    <r>
      <rPr>
        <sz val="8"/>
        <color rgb="FF0000FF"/>
        <rFont val="Arial"/>
        <family val="2"/>
      </rPr>
      <t xml:space="preserve">Cabin 1 BA = 2000/0582 
Cabin 2 BA=2000/0583 
Cabin 3 BA =2005/1799  </t>
    </r>
    <r>
      <rPr>
        <sz val="8"/>
        <color indexed="10"/>
        <rFont val="Arial"/>
        <family val="2"/>
      </rPr>
      <t xml:space="preserve">REMAINING Cabins 4&amp;5
</t>
    </r>
    <r>
      <rPr>
        <sz val="8"/>
        <color rgb="FFFF0000"/>
        <rFont val="Arial"/>
        <family val="2"/>
      </rPr>
      <t>Approval continues</t>
    </r>
  </si>
  <si>
    <r>
      <t xml:space="preserve">Dept of Public Works Building Surveying Permit BA21396 received 17/1/05
</t>
    </r>
    <r>
      <rPr>
        <sz val="8"/>
        <color rgb="FF0000FF"/>
        <rFont val="Arial"/>
        <family val="2"/>
      </rPr>
      <t>Exempt from charge - State Gov't Entity - as per IPA 2.6.5A &amp; 2.6.6</t>
    </r>
  </si>
  <si>
    <r>
      <t>04/08/2004</t>
    </r>
    <r>
      <rPr>
        <sz val="8"/>
        <rFont val="Arial"/>
        <family val="2"/>
      </rPr>
      <t xml:space="preserve">  </t>
    </r>
    <r>
      <rPr>
        <strike/>
        <sz val="8"/>
        <rFont val="Arial"/>
        <family val="2"/>
      </rPr>
      <t>14/10/2004</t>
    </r>
    <r>
      <rPr>
        <sz val="8"/>
        <rFont val="Arial"/>
        <family val="2"/>
      </rPr>
      <t xml:space="preserve">
</t>
    </r>
    <r>
      <rPr>
        <strike/>
        <sz val="8"/>
        <rFont val="Arial"/>
        <family val="2"/>
      </rPr>
      <t>31/07/08</t>
    </r>
    <r>
      <rPr>
        <sz val="8"/>
        <rFont val="Arial"/>
        <family val="2"/>
      </rPr>
      <t xml:space="preserve">
14/08/2012</t>
    </r>
  </si>
  <si>
    <r>
      <rPr>
        <sz val="8"/>
        <color rgb="FF0000FF"/>
        <rFont val="Arial"/>
        <family val="2"/>
      </rPr>
      <t xml:space="preserve">Paid IC only, </t>
    </r>
    <r>
      <rPr>
        <b/>
        <sz val="8"/>
        <rFont val="Arial"/>
        <family val="2"/>
      </rPr>
      <t xml:space="preserve">
</t>
    </r>
    <r>
      <rPr>
        <b/>
        <sz val="8"/>
        <color rgb="FFFF0000"/>
        <rFont val="Arial"/>
        <family val="2"/>
      </rPr>
      <t xml:space="preserve">Contributions Remain </t>
    </r>
    <r>
      <rPr>
        <b/>
        <sz val="8"/>
        <rFont val="Arial"/>
        <family val="2"/>
      </rPr>
      <t xml:space="preserve">
</t>
    </r>
  </si>
  <si>
    <t>No ICP due to as of right for existing dwelling.</t>
  </si>
  <si>
    <t>RECEIPTED NSA from 1 January 2014</t>
  </si>
  <si>
    <t>Determined NSA from 1 January 2014</t>
  </si>
  <si>
    <t>PAID NSA from 1 January 2014</t>
  </si>
  <si>
    <r>
      <t xml:space="preserve">$2,713   Dec-06
</t>
    </r>
    <r>
      <rPr>
        <b/>
        <sz val="8"/>
        <color rgb="FFFF0000"/>
        <rFont val="Arial"/>
        <family val="2"/>
      </rPr>
      <t>INTEREST COMMENCED 23/05//2009</t>
    </r>
  </si>
  <si>
    <r>
      <t xml:space="preserve">$2,694   Jun-06
</t>
    </r>
    <r>
      <rPr>
        <sz val="8"/>
        <color rgb="FF0000FF"/>
        <rFont val="Arial"/>
        <family val="2"/>
      </rPr>
      <t>Part pmt 1= $3,639</t>
    </r>
    <r>
      <rPr>
        <sz val="8"/>
        <color rgb="FFFF0000"/>
        <rFont val="Arial"/>
        <family val="2"/>
      </rPr>
      <t xml:space="preserve">
</t>
    </r>
    <r>
      <rPr>
        <b/>
        <sz val="8"/>
        <color rgb="FFFF0000"/>
        <rFont val="Arial"/>
        <family val="2"/>
      </rPr>
      <t>Bal $1,286 + interest from 30/03/2014</t>
    </r>
  </si>
  <si>
    <r>
      <t xml:space="preserve">$2,763   Jun-07
</t>
    </r>
    <r>
      <rPr>
        <b/>
        <sz val="8"/>
        <color rgb="FFFF0000"/>
        <rFont val="Arial"/>
        <family val="2"/>
      </rPr>
      <t>INTEREST COMMENCED 3/06/2009</t>
    </r>
  </si>
  <si>
    <r>
      <t xml:space="preserve">$2,946   Sep-08
</t>
    </r>
    <r>
      <rPr>
        <b/>
        <sz val="8"/>
        <color rgb="FFFF0000"/>
        <rFont val="Arial"/>
        <family val="2"/>
      </rPr>
      <t>COMPOUND INTEREST COMMENCED 15/06/2013</t>
    </r>
  </si>
  <si>
    <r>
      <t xml:space="preserve">$17,359   Sep-08
</t>
    </r>
    <r>
      <rPr>
        <b/>
        <sz val="8"/>
        <color rgb="FFFF0000"/>
        <rFont val="Arial"/>
        <family val="2"/>
      </rPr>
      <t>COMPOUND INTEREST COMMENCED 30/09/2013</t>
    </r>
  </si>
  <si>
    <r>
      <t xml:space="preserve">$2,963    Jun-09
</t>
    </r>
    <r>
      <rPr>
        <b/>
        <sz val="8"/>
        <color rgb="FFFF0000"/>
        <rFont val="Arial"/>
        <family val="2"/>
      </rPr>
      <t>COMPOUND INTEREST COMMENCED 15/06/2013</t>
    </r>
  </si>
  <si>
    <r>
      <t xml:space="preserve">$30,016    Sep-10
</t>
    </r>
    <r>
      <rPr>
        <b/>
        <sz val="8"/>
        <color rgb="FFFF0000"/>
        <rFont val="Arial"/>
        <family val="2"/>
      </rPr>
      <t>COMPOUND INTEREST COMMENCED 31/05/14</t>
    </r>
  </si>
  <si>
    <r>
      <t xml:space="preserve">$35,631    Sep-10
</t>
    </r>
    <r>
      <rPr>
        <b/>
        <sz val="8"/>
        <color rgb="FFFF0000"/>
        <rFont val="Arial"/>
        <family val="2"/>
      </rPr>
      <t>COMPOUND INTEREST COMMENCED 31/05/14</t>
    </r>
  </si>
  <si>
    <t xml:space="preserve">NOTE:
Cheque payment for all networks inc W&amp;S received in mail on 1 July 2014 &amp; receipted next day </t>
  </si>
  <si>
    <t>demand not exceeded by existing use</t>
  </si>
  <si>
    <t>REC14/0005</t>
  </si>
  <si>
    <t>C/- RPS
PO Box 1559
FORTITUDE VALLEY QLD 4006</t>
  </si>
  <si>
    <t>Lot 101 SP 241371</t>
  </si>
  <si>
    <t xml:space="preserve">178 Eumundi Noosa Rd NOOSAVILLE QLD 4566 </t>
  </si>
  <si>
    <t>1 industrial lot (Bunnings Warehouse Development)</t>
  </si>
  <si>
    <t>2 x industrial lots = 
- 1 industrial lot (Bunnings Warehouse Development); +
- 1 x additional Industrial Lot</t>
  </si>
  <si>
    <t>NOW ISSUED BY UNITY WATER</t>
  </si>
  <si>
    <t xml:space="preserve"> 9/07/2014 </t>
  </si>
  <si>
    <t>377
REFUND 
SCRC BnB                        
Agrmt</t>
  </si>
  <si>
    <r>
      <t xml:space="preserve">Trustees of the Christian Brothers (Qld) 
</t>
    </r>
    <r>
      <rPr>
        <b/>
        <sz val="10"/>
        <color rgb="FFFF0000"/>
        <rFont val="Arial"/>
        <family val="2"/>
      </rPr>
      <t>Marlene MoreFlexi Schools Network</t>
    </r>
  </si>
  <si>
    <t>PO Box 498
RED HILL
QLD 4059</t>
  </si>
  <si>
    <t>Cheque 100211</t>
  </si>
  <si>
    <t xml:space="preserve"> NOOSA Refund issued</t>
  </si>
  <si>
    <t>This completes IA no. 14</t>
  </si>
  <si>
    <t>Additional credit for previous paid contributions under Lot Reconfiguration 2006/1594 applicable to Lot 4 for Water Supply &amp; Sewerage under PSPs that were paid on a 7,000m2 lot area basis. Conversion of this payment made under the PSP equates to an equivalent demand for:
Water Supply = 8.76 Detached Houses &amp; Sewerage = 7 Detached Houses.</t>
  </si>
  <si>
    <t>Representations Made to AIC calc regarding development previously existing on the site.
Negotiated AICN 321 (Rev 1) issued</t>
  </si>
  <si>
    <t xml:space="preserve">07/2446 (DA)
STAGE 2
132007.2446
</t>
  </si>
  <si>
    <t xml:space="preserve">Stg Pmt Agmt
no.2 </t>
  </si>
  <si>
    <r>
      <t xml:space="preserve">$3,036 @ Mar 2010
</t>
    </r>
    <r>
      <rPr>
        <b/>
        <sz val="8"/>
        <color rgb="FF0000FF"/>
        <rFont val="Arial"/>
        <family val="2"/>
      </rPr>
      <t xml:space="preserve">Staged Payments = $3,440 (incl 7% int &amp; not cpi)
</t>
    </r>
    <r>
      <rPr>
        <sz val="8"/>
        <color rgb="FF0000FF"/>
        <rFont val="Arial"/>
        <family val="2"/>
      </rPr>
      <t xml:space="preserve">Pmt1=$815 Paid SCC
</t>
    </r>
    <r>
      <rPr>
        <sz val="8"/>
        <color rgb="FFFF0000"/>
        <rFont val="Arial"/>
        <family val="2"/>
      </rPr>
      <t>Pmt2=$657 Paid (SCC tfr Noosa)</t>
    </r>
  </si>
  <si>
    <t xml:space="preserve">Staged Pmt Agmt
Pmt  2 </t>
  </si>
  <si>
    <r>
      <t xml:space="preserve">$3,036 @ Mar 2010
</t>
    </r>
    <r>
      <rPr>
        <b/>
        <sz val="8"/>
        <color rgb="FF0000FF"/>
        <rFont val="Arial"/>
        <family val="2"/>
      </rPr>
      <t xml:space="preserve">Staged Payments = $3,440 (incl 7% int &amp; not cpi)
</t>
    </r>
    <r>
      <rPr>
        <sz val="8"/>
        <color rgb="FF0000FF"/>
        <rFont val="Arial"/>
        <family val="2"/>
      </rPr>
      <t xml:space="preserve">Pmt1=$815 Paid SCC
Pmt2=$657 Paid (SCC tfr Noosa)
</t>
    </r>
    <r>
      <rPr>
        <b/>
        <sz val="8"/>
        <color rgb="FF0000FF"/>
        <rFont val="Arial"/>
        <family val="2"/>
      </rPr>
      <t>Pmt3=$664 Paid Noosa</t>
    </r>
    <r>
      <rPr>
        <sz val="8"/>
        <color rgb="FF0000FF"/>
        <rFont val="Arial"/>
        <family val="2"/>
      </rPr>
      <t xml:space="preserve">
</t>
    </r>
    <r>
      <rPr>
        <b/>
        <sz val="8"/>
        <color rgb="FFFF0000"/>
        <rFont val="Arial"/>
        <family val="2"/>
      </rPr>
      <t>Balance To Pay</t>
    </r>
    <r>
      <rPr>
        <sz val="8"/>
        <color rgb="FFFF0000"/>
        <rFont val="Arial"/>
        <family val="2"/>
      </rPr>
      <t xml:space="preserve">
Pmt4=$633
Pmt5=$671</t>
    </r>
  </si>
  <si>
    <t>Dec-13
IA Adopted Stormwater</t>
  </si>
  <si>
    <r>
      <t>12/07/2014</t>
    </r>
    <r>
      <rPr>
        <sz val="8"/>
        <rFont val="Arial"/>
        <family val="2"/>
      </rPr>
      <t xml:space="preserve">
</t>
    </r>
    <r>
      <rPr>
        <strike/>
        <sz val="8"/>
        <rFont val="Arial"/>
        <family val="2"/>
      </rPr>
      <t>25/10/2014</t>
    </r>
    <r>
      <rPr>
        <sz val="8"/>
        <rFont val="Arial"/>
        <family val="2"/>
      </rPr>
      <t xml:space="preserve">
25/10/2016</t>
    </r>
  </si>
  <si>
    <r>
      <t>14/07/2010</t>
    </r>
    <r>
      <rPr>
        <sz val="8"/>
        <rFont val="Arial"/>
        <family val="2"/>
      </rPr>
      <t xml:space="preserve">
</t>
    </r>
    <r>
      <rPr>
        <strike/>
        <sz val="8"/>
        <rFont val="Arial"/>
        <family val="2"/>
      </rPr>
      <t>25/10/2010</t>
    </r>
    <r>
      <rPr>
        <sz val="8"/>
        <rFont val="Arial"/>
        <family val="2"/>
      </rPr>
      <t xml:space="preserve">
30/06/2014
</t>
    </r>
  </si>
  <si>
    <r>
      <t>27/5/2010
22/03/2014</t>
    </r>
    <r>
      <rPr>
        <sz val="8"/>
        <rFont val="Arial"/>
        <family val="2"/>
      </rPr>
      <t xml:space="preserve">
25/05/2016
</t>
    </r>
  </si>
  <si>
    <r>
      <t>22/03/2010</t>
    </r>
    <r>
      <rPr>
        <sz val="8"/>
        <rFont val="Arial"/>
        <family val="2"/>
      </rPr>
      <t xml:space="preserve">
</t>
    </r>
    <r>
      <rPr>
        <strike/>
        <sz val="8"/>
        <rFont val="Arial"/>
        <family val="2"/>
      </rPr>
      <t>27/5/2010</t>
    </r>
    <r>
      <rPr>
        <sz val="8"/>
        <rFont val="Arial"/>
        <family val="2"/>
      </rPr>
      <t xml:space="preserve">
3/07/2014</t>
    </r>
  </si>
  <si>
    <t>Dec -2013
IA Missing Public Transport</t>
  </si>
  <si>
    <t xml:space="preserve">Dec-2013
IA Missing Stormwater </t>
  </si>
  <si>
    <r>
      <t>24/02/2006</t>
    </r>
    <r>
      <rPr>
        <sz val="8"/>
        <rFont val="Arial"/>
        <family val="2"/>
      </rPr>
      <t xml:space="preserve">
</t>
    </r>
    <r>
      <rPr>
        <strike/>
        <sz val="8"/>
        <rFont val="Arial"/>
        <family val="2"/>
      </rPr>
      <t>2/2/2010</t>
    </r>
    <r>
      <rPr>
        <sz val="8"/>
        <rFont val="Arial"/>
        <family val="2"/>
      </rPr>
      <t xml:space="preserve">
30/06/2014</t>
    </r>
  </si>
  <si>
    <r>
      <t>24/02/2010</t>
    </r>
    <r>
      <rPr>
        <sz val="8"/>
        <rFont val="Arial"/>
        <family val="2"/>
      </rPr>
      <t xml:space="preserve">
</t>
    </r>
    <r>
      <rPr>
        <strike/>
        <sz val="8"/>
        <rFont val="Arial"/>
        <family val="2"/>
      </rPr>
      <t>24/2/2014</t>
    </r>
    <r>
      <rPr>
        <sz val="8"/>
        <rFont val="Arial"/>
        <family val="2"/>
      </rPr>
      <t xml:space="preserve">
24/02/2016
</t>
    </r>
  </si>
  <si>
    <t xml:space="preserve">Dec-13
IA Adopted Transport
</t>
  </si>
  <si>
    <r>
      <rPr>
        <strike/>
        <sz val="8"/>
        <rFont val="Arial"/>
        <family val="2"/>
      </rPr>
      <t>24/02/2010</t>
    </r>
    <r>
      <rPr>
        <sz val="8"/>
        <rFont val="Arial"/>
        <family val="2"/>
      </rPr>
      <t xml:space="preserve">
24/02/2016</t>
    </r>
  </si>
  <si>
    <r>
      <t xml:space="preserve">IC 388
</t>
    </r>
    <r>
      <rPr>
        <b/>
        <sz val="8"/>
        <color rgb="FF0000FF"/>
        <rFont val="Arial"/>
        <family val="2"/>
      </rPr>
      <t>+
IA No.35     9/07/2014</t>
    </r>
  </si>
  <si>
    <r>
      <t xml:space="preserve">N/A
</t>
    </r>
    <r>
      <rPr>
        <b/>
        <sz val="8"/>
        <color rgb="FF0000FF"/>
        <rFont val="Arial"/>
        <family val="2"/>
      </rPr>
      <t>+
IA No.18   16/09/2013</t>
    </r>
  </si>
  <si>
    <t xml:space="preserve">Commenced building works
</t>
  </si>
  <si>
    <t>LAPSED 15/05/2014
Confirmed verbally PA 18/07/2014</t>
  </si>
  <si>
    <r>
      <t>26/02/2009
21/6/2014</t>
    </r>
    <r>
      <rPr>
        <sz val="8"/>
        <rFont val="Arial"/>
        <family val="2"/>
      </rPr>
      <t xml:space="preserve">
19/08/2017 </t>
    </r>
    <r>
      <rPr>
        <sz val="8"/>
        <color rgb="FF0000FF"/>
        <rFont val="Arial"/>
        <family val="2"/>
      </rPr>
      <t>(will not lapse)</t>
    </r>
  </si>
  <si>
    <r>
      <t>25/05/2010</t>
    </r>
    <r>
      <rPr>
        <sz val="8"/>
        <rFont val="Arial"/>
        <family val="2"/>
      </rPr>
      <t xml:space="preserve">
7/09/2014
</t>
    </r>
    <r>
      <rPr>
        <sz val="8"/>
        <color rgb="FF0000FF"/>
        <rFont val="Arial"/>
        <family val="2"/>
      </rPr>
      <t>(will not lapse)</t>
    </r>
  </si>
  <si>
    <r>
      <t xml:space="preserve">31/08/2009
</t>
    </r>
    <r>
      <rPr>
        <sz val="8"/>
        <color rgb="FF0000FF"/>
        <rFont val="Arial"/>
        <family val="2"/>
      </rPr>
      <t>(will not lapse)</t>
    </r>
  </si>
  <si>
    <r>
      <t xml:space="preserve">06/0862 
</t>
    </r>
    <r>
      <rPr>
        <sz val="8"/>
        <color rgb="FF0000FF"/>
        <rFont val="Arial"/>
        <family val="2"/>
      </rPr>
      <t>152006.862.02</t>
    </r>
  </si>
  <si>
    <t>PC13/5479</t>
  </si>
  <si>
    <t>St Teresa's Catholic College</t>
  </si>
  <si>
    <t>45 Sea Eagle Drive
NOOSAVILLE QLD 4566</t>
  </si>
  <si>
    <t>Lot 801 SP 153455</t>
  </si>
  <si>
    <t>Additional classroom = 32m2 gfa
No increase in impervious area</t>
  </si>
  <si>
    <t>Not applicable_x000D_
Only assessing the additional &amp; expansion to the existing development.</t>
  </si>
  <si>
    <r>
      <t xml:space="preserve">Pmts 1-12 PAID SCC
Pmt 13 Paid Noosa
Pmt 14 Paid Noosa
</t>
    </r>
    <r>
      <rPr>
        <b/>
        <sz val="8"/>
        <color rgb="FF0000FF"/>
        <rFont val="Arial"/>
        <family val="2"/>
      </rPr>
      <t>Pmt 15-19 (Final) Paid Noosa</t>
    </r>
    <r>
      <rPr>
        <sz val="8"/>
        <color rgb="FF0000FF"/>
        <rFont val="Arial"/>
        <family val="2"/>
      </rPr>
      <t xml:space="preserve">
</t>
    </r>
  </si>
  <si>
    <t xml:space="preserve">
24/07/2014</t>
  </si>
  <si>
    <t xml:space="preserve">
1151171</t>
  </si>
  <si>
    <t>Mar-14
Stg 15-19 (Final)</t>
  </si>
  <si>
    <r>
      <t xml:space="preserve">To provide 15 Spaces </t>
    </r>
    <r>
      <rPr>
        <b/>
        <sz val="8"/>
        <rFont val="Arial"/>
        <family val="2"/>
      </rPr>
      <t>OR</t>
    </r>
    <r>
      <rPr>
        <sz val="8"/>
        <rFont val="Arial"/>
        <family val="2"/>
      </rPr>
      <t xml:space="preserve"> 14  with a </t>
    </r>
    <r>
      <rPr>
        <b/>
        <sz val="8"/>
        <rFont val="Arial"/>
        <family val="2"/>
      </rPr>
      <t>contribution for one space</t>
    </r>
    <r>
      <rPr>
        <sz val="8"/>
        <rFont val="Arial"/>
        <family val="2"/>
      </rPr>
      <t xml:space="preserve"> calculated in accordance with PSP13 at the rate current at the time of payment
SPACE WAS PROVIDED</t>
    </r>
  </si>
  <si>
    <t>MCU14/0034</t>
  </si>
  <si>
    <t>Pagerose Pty Ltd</t>
  </si>
  <si>
    <t>C/- Max Watterson &amp; Associates
PO Box 639
COOROY QLD 4563</t>
  </si>
  <si>
    <t>Lot 4 RP 79669</t>
  </si>
  <si>
    <t>7 Hill St, POMONA, QLD 4568</t>
  </si>
  <si>
    <t>Multiple Housing duplex 2 x 3 bed units</t>
  </si>
  <si>
    <t>Vacant Lot x 1</t>
  </si>
  <si>
    <r>
      <t xml:space="preserve">Staged Payment
</t>
    </r>
    <r>
      <rPr>
        <sz val="8"/>
        <color rgb="FF0000FF"/>
        <rFont val="Arial"/>
        <family val="2"/>
      </rPr>
      <t xml:space="preserve">No. 1 (SCC)
No 2 SCC </t>
    </r>
    <r>
      <rPr>
        <sz val="8"/>
        <color rgb="FFFF0000"/>
        <rFont val="Arial"/>
        <family val="2"/>
      </rPr>
      <t xml:space="preserve">(To tfr NSA)
</t>
    </r>
    <r>
      <rPr>
        <sz val="8"/>
        <color rgb="FF0000FF"/>
        <rFont val="Arial"/>
        <family val="2"/>
      </rPr>
      <t xml:space="preserve">No. 3 NSA
</t>
    </r>
  </si>
  <si>
    <t xml:space="preserve">
31/07/2013
9/01/2014
29/07/2014
</t>
  </si>
  <si>
    <t xml:space="preserve">
1105531 = $22,000
DD to SCRC = $18,409
1151566</t>
  </si>
  <si>
    <r>
      <t xml:space="preserve">$3,699 @Sep 09
</t>
    </r>
    <r>
      <rPr>
        <sz val="8"/>
        <color rgb="FF0000FF"/>
        <rFont val="Arial"/>
        <family val="2"/>
      </rPr>
      <t xml:space="preserve">Staged Payments = $4,253 (incl 7% int &amp; not cpi)
Pmt1=$1,003 Paid SCC
Pmt2=$839 Paid SCC </t>
    </r>
    <r>
      <rPr>
        <sz val="8"/>
        <color rgb="FFFF0000"/>
        <rFont val="Arial"/>
        <family val="2"/>
      </rPr>
      <t>(to tfr Noosa)</t>
    </r>
    <r>
      <rPr>
        <sz val="8"/>
        <color rgb="FF0000FF"/>
        <rFont val="Arial"/>
        <family val="2"/>
      </rPr>
      <t xml:space="preserve">
</t>
    </r>
    <r>
      <rPr>
        <b/>
        <sz val="8"/>
        <color rgb="FF0000FF"/>
        <rFont val="Arial"/>
        <family val="2"/>
      </rPr>
      <t>Pmt3=$830 Paid NSA</t>
    </r>
    <r>
      <rPr>
        <sz val="8"/>
        <color rgb="FF0000FF"/>
        <rFont val="Arial"/>
        <family val="2"/>
      </rPr>
      <t xml:space="preserve">
</t>
    </r>
    <r>
      <rPr>
        <b/>
        <sz val="8"/>
        <color rgb="FFFF0000"/>
        <rFont val="Arial"/>
        <family val="2"/>
      </rPr>
      <t/>
    </r>
  </si>
  <si>
    <r>
      <t xml:space="preserve">$10,511 @Sep 09
</t>
    </r>
    <r>
      <rPr>
        <sz val="8"/>
        <color rgb="FF0000FF"/>
        <rFont val="Arial"/>
        <family val="2"/>
      </rPr>
      <t xml:space="preserve">Staged Payments = $12,084 (incl 7% int &amp; not cpi)
Pmt1=$2,850 Paid SCC
Pmt2=$2,385 Paid SCC </t>
    </r>
    <r>
      <rPr>
        <sz val="8"/>
        <color rgb="FFFF0000"/>
        <rFont val="Arial"/>
        <family val="2"/>
      </rPr>
      <t>(To tfr Noosa)</t>
    </r>
    <r>
      <rPr>
        <sz val="8"/>
        <color rgb="FF0000FF"/>
        <rFont val="Arial"/>
        <family val="2"/>
      </rPr>
      <t xml:space="preserve">
</t>
    </r>
    <r>
      <rPr>
        <b/>
        <sz val="8"/>
        <color rgb="FF0000FF"/>
        <rFont val="Arial"/>
        <family val="2"/>
      </rPr>
      <t>Pmt3=$2,357 Paid NSA</t>
    </r>
    <r>
      <rPr>
        <sz val="8"/>
        <color rgb="FF0000FF"/>
        <rFont val="Arial"/>
        <family val="2"/>
      </rPr>
      <t xml:space="preserve">
</t>
    </r>
    <r>
      <rPr>
        <b/>
        <sz val="8"/>
        <color rgb="FFFF0000"/>
        <rFont val="Arial"/>
        <family val="2"/>
      </rPr>
      <t/>
    </r>
  </si>
  <si>
    <r>
      <t xml:space="preserve">June 2006 STAGED Payments 
</t>
    </r>
    <r>
      <rPr>
        <b/>
        <sz val="8"/>
        <color rgb="FF0000FF"/>
        <rFont val="Arial"/>
        <family val="2"/>
      </rPr>
      <t>Balance = 15 to 19 at $1,332 + CPI / Stage</t>
    </r>
  </si>
  <si>
    <r>
      <t xml:space="preserve">$16,455 @Sep 09
</t>
    </r>
    <r>
      <rPr>
        <sz val="8"/>
        <color rgb="FF0000FF"/>
        <rFont val="Arial"/>
        <family val="2"/>
      </rPr>
      <t xml:space="preserve">Staged Payments = $18,920 (incl 7% int &amp; not cpi)
Pmt1=$4,461 Paid SCC
Pmt2=$3,733 Paid SCC </t>
    </r>
    <r>
      <rPr>
        <sz val="8"/>
        <color rgb="FFFF0000"/>
        <rFont val="Arial"/>
        <family val="2"/>
      </rPr>
      <t>(To tfr Noosa)</t>
    </r>
    <r>
      <rPr>
        <sz val="8"/>
        <color rgb="FF0000FF"/>
        <rFont val="Arial"/>
        <family val="2"/>
      </rPr>
      <t xml:space="preserve">
</t>
    </r>
    <r>
      <rPr>
        <b/>
        <sz val="8"/>
        <color rgb="FF0000FF"/>
        <rFont val="Arial"/>
        <family val="2"/>
      </rPr>
      <t>Pmt3=$3,691 Paid NSA</t>
    </r>
    <r>
      <rPr>
        <b/>
        <sz val="8"/>
        <color rgb="FFFF0000"/>
        <rFont val="Arial"/>
        <family val="2"/>
      </rPr>
      <t/>
    </r>
  </si>
  <si>
    <r>
      <t xml:space="preserve">$31,508 @Sep 09
</t>
    </r>
    <r>
      <rPr>
        <sz val="8"/>
        <color rgb="FF0000FF"/>
        <rFont val="Arial"/>
        <family val="2"/>
      </rPr>
      <t xml:space="preserve">Staged Payments = $36,225 (incl 7% int &amp; not cpi)
Pmt1=$8,542 Paid SCC
Pmt2=$7,148 Paid SCC </t>
    </r>
    <r>
      <rPr>
        <sz val="8"/>
        <color rgb="FFFF0000"/>
        <rFont val="Arial"/>
        <family val="2"/>
      </rPr>
      <t>(To tfr Noosa)</t>
    </r>
    <r>
      <rPr>
        <sz val="8"/>
        <color rgb="FF0000FF"/>
        <rFont val="Arial"/>
        <family val="2"/>
      </rPr>
      <t xml:space="preserve">
Pmt3=$7,067 Paid NSA</t>
    </r>
    <r>
      <rPr>
        <b/>
        <sz val="8"/>
        <color rgb="FFFF0000"/>
        <rFont val="Arial"/>
        <family val="2"/>
      </rPr>
      <t/>
    </r>
  </si>
  <si>
    <r>
      <t xml:space="preserve">$18,973 @Sep 09
</t>
    </r>
    <r>
      <rPr>
        <sz val="8"/>
        <color rgb="FF0000FF"/>
        <rFont val="Arial"/>
        <family val="2"/>
      </rPr>
      <t xml:space="preserve">Staged Payments = $21,814 (incl 7% int &amp; not cpi)
Pmt1=$5,144 Paid SCC
Pmt2=$4,304 Paid SCC (To tfr Noosa)
</t>
    </r>
    <r>
      <rPr>
        <b/>
        <sz val="8"/>
        <color rgb="FF0000FF"/>
        <rFont val="Arial"/>
        <family val="2"/>
      </rPr>
      <t>Pmt3=$4,255 Paid NSA</t>
    </r>
    <r>
      <rPr>
        <b/>
        <sz val="8"/>
        <color rgb="FFFF0000"/>
        <rFont val="Arial"/>
        <family val="2"/>
      </rPr>
      <t/>
    </r>
  </si>
  <si>
    <t>Stg Pmt Agmt
no.3</t>
  </si>
  <si>
    <t>NOTE: 
AICN 377 Paid in full to SCRC 16/8/14 receipt 1112092</t>
  </si>
  <si>
    <t>July 2014
Total =</t>
  </si>
  <si>
    <t>(Vacant) 
Nil credits as addtional to earlier stages</t>
  </si>
  <si>
    <t>23747 DA - Compiled 
STAGE 3 Remaining</t>
  </si>
  <si>
    <t>REC14/0007</t>
  </si>
  <si>
    <t>Land Surveying Dynamics Pty Ltd</t>
  </si>
  <si>
    <t>PO Box 1428
COOLUM BEACH QLD 4573</t>
  </si>
  <si>
    <t>Lot 676 SP 125656, Lots 675 &amp; 697 RP 48111</t>
  </si>
  <si>
    <t>6 &amp; 8 Stevens &amp; 11 The Esplanade, 
SUNSHINE BEACH  QLD  4567</t>
  </si>
  <si>
    <t>Residential Detached House Lots x 4</t>
  </si>
  <si>
    <t>MCU13/0093.01</t>
  </si>
  <si>
    <t>Ken Morrison Qld Pty Ltd</t>
  </si>
  <si>
    <t>C/- Martoo Consulting Pty Ltd
PO Box 1684
NOOSA HEADS QLD  4567</t>
  </si>
  <si>
    <t xml:space="preserve">2/50 Hastings St 
NOOSA HEADS, QLD 4567
</t>
  </si>
  <si>
    <t>Entertaining &amp; Dining Business Type 1 Food &amp; Beverages (Restaurant) = additional 11m2 gross floor area
No increase in impervious area</t>
  </si>
  <si>
    <t>MCU14/0028</t>
  </si>
  <si>
    <t>The Henbury Family Trust</t>
  </si>
  <si>
    <t>C/- Mrs AC Henbury
317 Lawnville Rd
BLACK MOUNTAIN  QLD  4563</t>
  </si>
  <si>
    <t>Lot 2 RP 83801</t>
  </si>
  <si>
    <t>Animal Husbandry Type 2 – Intensive 
High Impact Rural
= addition of Compost Facility (13m x 4 m) = 52m2 gfa</t>
  </si>
  <si>
    <t>Nil - Only calculated additional</t>
  </si>
  <si>
    <r>
      <t xml:space="preserve">$3,036 @Mar-2010
</t>
    </r>
    <r>
      <rPr>
        <sz val="8"/>
        <color rgb="FFFF0000"/>
        <rFont val="Arial"/>
        <family val="2"/>
      </rPr>
      <t>Interest commenced 14/03/2014
Bal @ 6/08/14 = $541.00</t>
    </r>
  </si>
  <si>
    <t xml:space="preserve">
Part Payment 6</t>
  </si>
  <si>
    <t xml:space="preserve">
6/8/2014</t>
  </si>
  <si>
    <t xml:space="preserve">
1152257</t>
  </si>
  <si>
    <r>
      <t>$500 Pt Pmt 6 = 6/8/14</t>
    </r>
    <r>
      <rPr>
        <b/>
        <sz val="8"/>
        <color rgb="FFFF0000"/>
        <rFont val="Arial"/>
        <family val="2"/>
      </rPr>
      <t xml:space="preserve">
Bal @ 6/08/14 = $541</t>
    </r>
  </si>
  <si>
    <r>
      <rPr>
        <sz val="8"/>
        <color rgb="FFFF0000"/>
        <rFont val="Arial"/>
        <family val="2"/>
      </rPr>
      <t xml:space="preserve">
</t>
    </r>
    <r>
      <rPr>
        <b/>
        <sz val="8"/>
        <color rgb="FF0000FF"/>
        <rFont val="Arial"/>
        <family val="2"/>
      </rPr>
      <t>$500 Pt Pmt 6 = 6/8/14</t>
    </r>
    <r>
      <rPr>
        <b/>
        <sz val="8"/>
        <color rgb="FFFF0000"/>
        <rFont val="Arial"/>
        <family val="2"/>
      </rPr>
      <t xml:space="preserve">
Bal @ 6/08/14 = $541</t>
    </r>
  </si>
  <si>
    <t>August 2014 Total =</t>
  </si>
  <si>
    <t>Paid Noosa Council Networks only</t>
  </si>
  <si>
    <r>
      <t xml:space="preserve">Issue details exported from SCRC AICR
</t>
    </r>
    <r>
      <rPr>
        <sz val="10"/>
        <color rgb="FF0000FF"/>
        <rFont val="Arial"/>
        <family val="2"/>
      </rPr>
      <t>W&amp;S to be paid direct to Unitywater</t>
    </r>
  </si>
  <si>
    <r>
      <t xml:space="preserve">Representations made subject to QLD Gov't "Flying Start" Education Program.
</t>
    </r>
    <r>
      <rPr>
        <b/>
        <sz val="10"/>
        <color rgb="FF0000FF"/>
        <rFont val="Arial"/>
        <family val="2"/>
      </rPr>
      <t>Development is EXEMPT</t>
    </r>
    <r>
      <rPr>
        <sz val="10"/>
        <color rgb="FF0000FF"/>
        <rFont val="Arial"/>
        <family val="2"/>
      </rPr>
      <t xml:space="preserve"> from Infrastructure Charges</t>
    </r>
  </si>
  <si>
    <t>EXEMPT from IC</t>
  </si>
  <si>
    <t xml:space="preserve">Court Order D65 of 2009 Judgement/Order 6 Aug 2010
</t>
  </si>
  <si>
    <t>PAID NSA</t>
  </si>
  <si>
    <t>Entertainment &amp; Dining Business - Type 1 - Food &amp; Beverage 999 m2 Use area
(Restaurant 570 m2 + Conference Facility/Function room 429m2)
Entertainment &amp; Dining Business - Type 2 - Recreation, Amusement &amp; Fitness  425 m2 Use area (Health Club)
Retail Business - Type 2 - Shop &amp; Salon 50 m2 Use area
Visitors Accommodation - Type 4 - Conventional 90 x Accommodation units (double bedrooms = equiv 180 single beds) 
+ 58 x 1 bedroom units 
+ 51 x 2 bedroom units.</t>
  </si>
  <si>
    <t>Light Bliss Pty Ltd</t>
  </si>
  <si>
    <t>CARE Martoo Consulting Pty Ltd
PO Box 1684
NOOSA HEADS QLD 4567</t>
  </si>
  <si>
    <t>1073 Pomona Kin Kin Road KIN KIN</t>
  </si>
  <si>
    <t>Lot 2 RP196994</t>
  </si>
  <si>
    <t>Dwelling House x 1</t>
  </si>
  <si>
    <t>Detached House x 1
+
Visitor Accommodation –
Type 3 - Rural = 6 x 1 bed cabins</t>
  </si>
  <si>
    <t>MCU14/0045</t>
  </si>
  <si>
    <t>MJ Davis</t>
  </si>
  <si>
    <t>C/- Cadcon Surveying &amp; Town Planning
PO Box 5774
MAROOCHYDORE BC  QLD 4558</t>
  </si>
  <si>
    <t>Lot 10 RP 66617</t>
  </si>
  <si>
    <t>18 Edward St NOOSAVILLE  QLD 4566</t>
  </si>
  <si>
    <t>Multiple housing Type 2 Duplex - 2 x 3 Bedroom Units</t>
  </si>
  <si>
    <t>1 x Residential Vacant Lot</t>
  </si>
  <si>
    <r>
      <rPr>
        <b/>
        <sz val="10"/>
        <color rgb="FF0000FF"/>
        <rFont val="Arial"/>
        <family val="2"/>
      </rPr>
      <t xml:space="preserve">N </t>
    </r>
    <r>
      <rPr>
        <b/>
        <sz val="10"/>
        <rFont val="Arial"/>
        <family val="2"/>
      </rPr>
      <t>1032</t>
    </r>
    <r>
      <rPr>
        <sz val="11"/>
        <color theme="1"/>
        <rFont val="Calibri"/>
        <family val="2"/>
        <scheme val="minor"/>
      </rPr>
      <t/>
    </r>
  </si>
  <si>
    <t>Representations 7/08/2014 made to AIC calc regarding development reverting to pre-amalgamated 1999 lot reconfiguration of 4 lots
Negotiated ICN. N1025 (Rev 1) issued</t>
  </si>
  <si>
    <r>
      <t xml:space="preserve">Outdoor dining - 179m² additional to existing uses on adjacent lots
Impervious Area - 179m²
</t>
    </r>
    <r>
      <rPr>
        <b/>
        <sz val="10"/>
        <color rgb="FFFF0000"/>
        <rFont val="Arial"/>
        <family val="2"/>
      </rPr>
      <t>NO INDEXATION APPLIES already at MAX amount</t>
    </r>
  </si>
  <si>
    <t>Nil Applicable</t>
  </si>
  <si>
    <t>Lapsed 19/05/2014
confirmed MC</t>
  </si>
  <si>
    <t>Lapsed 26/07/2014
confirmed MC</t>
  </si>
  <si>
    <r>
      <t xml:space="preserve">Note: this compiled decision notice cancels &amp; superceeds IC 419
Stages 1 &amp; 2 completed
</t>
    </r>
    <r>
      <rPr>
        <sz val="8"/>
        <color rgb="FF0000FF"/>
        <rFont val="Arial"/>
        <family val="2"/>
      </rPr>
      <t>No sunset clause on this approval so STAGE 3 continues in perpetuity.</t>
    </r>
  </si>
  <si>
    <t>LAPSED 20/01/2014</t>
  </si>
  <si>
    <r>
      <rPr>
        <strike/>
        <sz val="8"/>
        <rFont val="Arial"/>
        <family val="2"/>
      </rPr>
      <t>8/04/2014</t>
    </r>
    <r>
      <rPr>
        <sz val="8"/>
        <rFont val="Arial"/>
        <family val="2"/>
      </rPr>
      <t xml:space="preserve">
8/04/2017</t>
    </r>
  </si>
  <si>
    <r>
      <rPr>
        <strike/>
        <sz val="8"/>
        <rFont val="Arial"/>
        <family val="2"/>
      </rPr>
      <t>8/04/2010</t>
    </r>
    <r>
      <rPr>
        <sz val="8"/>
        <rFont val="Arial"/>
        <family val="2"/>
      </rPr>
      <t xml:space="preserve">
6/12/2013</t>
    </r>
  </si>
  <si>
    <r>
      <t xml:space="preserve">Court Order 
Decision Notice &amp; </t>
    </r>
    <r>
      <rPr>
        <b/>
        <sz val="8"/>
        <rFont val="Arial"/>
        <family val="2"/>
      </rPr>
      <t>INFRASTRUCTURE CHARGE NOTICE</t>
    </r>
  </si>
  <si>
    <r>
      <rPr>
        <strike/>
        <sz val="8"/>
        <rFont val="Arial"/>
        <family val="2"/>
      </rPr>
      <t>21/07/2014</t>
    </r>
    <r>
      <rPr>
        <sz val="8"/>
        <rFont val="Arial"/>
        <family val="2"/>
      </rPr>
      <t xml:space="preserve">
3/11/2015
</t>
    </r>
  </si>
  <si>
    <r>
      <t xml:space="preserve">Part Pmt 1 
</t>
    </r>
    <r>
      <rPr>
        <sz val="8"/>
        <color rgb="FF0000FF"/>
        <rFont val="Arial"/>
        <family val="2"/>
      </rPr>
      <t xml:space="preserve">(Path, IC Coast Rd, &amp; Open Space)
</t>
    </r>
    <r>
      <rPr>
        <b/>
        <sz val="8"/>
        <color rgb="FF0000FF"/>
        <rFont val="Arial"/>
        <family val="2"/>
      </rPr>
      <t>Balance PMT 2 
(W&amp;S)</t>
    </r>
  </si>
  <si>
    <r>
      <t xml:space="preserve">29/05/2014
</t>
    </r>
    <r>
      <rPr>
        <b/>
        <sz val="8"/>
        <color rgb="FF0000FF"/>
        <rFont val="Arial"/>
        <family val="2"/>
      </rPr>
      <t>27/08/2014</t>
    </r>
  </si>
  <si>
    <r>
      <t xml:space="preserve">1148648
</t>
    </r>
    <r>
      <rPr>
        <b/>
        <sz val="8"/>
        <color rgb="FF0000FF"/>
        <rFont val="Arial"/>
        <family val="2"/>
      </rPr>
      <t>1154356</t>
    </r>
  </si>
  <si>
    <t>June 2014
Stg A = $33,926
Stg B = $29,458
re: Condition 55 Bank Guarantee  $250,000  now ok to release</t>
  </si>
  <si>
    <t>June 2014
Stg A = $39,637
Stg B = $16,929
re: Condition 55 Bank Guarantee  $250,000  now ok to release</t>
  </si>
  <si>
    <t>Int to 31 Aug 14</t>
  </si>
  <si>
    <r>
      <rPr>
        <strike/>
        <sz val="8"/>
        <rFont val="Arial"/>
        <family val="2"/>
      </rPr>
      <t xml:space="preserve">26 Eenie Creek Rd
</t>
    </r>
    <r>
      <rPr>
        <sz val="8"/>
        <rFont val="Arial"/>
        <family val="2"/>
      </rPr>
      <t xml:space="preserve">
8/100 Rene Street
NOOSAVILLE  QLD  4566</t>
    </r>
  </si>
  <si>
    <r>
      <rPr>
        <strike/>
        <sz val="8"/>
        <rFont val="Arial"/>
        <family val="2"/>
      </rPr>
      <t xml:space="preserve">26 Eenie Creek Rd
</t>
    </r>
    <r>
      <rPr>
        <sz val="8"/>
        <rFont val="Arial"/>
        <family val="2"/>
      </rPr>
      <t xml:space="preserve">
1/100 Rene Street
NOOSAVILLE  QLD  4566</t>
    </r>
  </si>
  <si>
    <r>
      <rPr>
        <strike/>
        <sz val="8"/>
        <rFont val="Arial"/>
        <family val="2"/>
      </rPr>
      <t xml:space="preserve">26 Eenie Creek Rd
</t>
    </r>
    <r>
      <rPr>
        <sz val="8"/>
        <rFont val="Arial"/>
        <family val="2"/>
      </rPr>
      <t xml:space="preserve">
2/100 Rene Street
NOOSAVILLE  QLD  4566</t>
    </r>
  </si>
  <si>
    <r>
      <rPr>
        <strike/>
        <sz val="8"/>
        <rFont val="Arial"/>
        <family val="2"/>
      </rPr>
      <t xml:space="preserve">26 Eenie Creek Rd
</t>
    </r>
    <r>
      <rPr>
        <sz val="8"/>
        <rFont val="Arial"/>
        <family val="2"/>
      </rPr>
      <t xml:space="preserve">
11/100 Rene Street
NOOSAVILLE  QLD  4566</t>
    </r>
  </si>
  <si>
    <r>
      <rPr>
        <strike/>
        <sz val="8"/>
        <rFont val="Arial"/>
        <family val="2"/>
      </rPr>
      <t xml:space="preserve">26 Eenie Creek Rd
</t>
    </r>
    <r>
      <rPr>
        <sz val="8"/>
        <rFont val="Arial"/>
        <family val="2"/>
      </rPr>
      <t xml:space="preserve">
10/100 Rene Street
NOOSAVILLE  QLD  4566</t>
    </r>
  </si>
  <si>
    <r>
      <rPr>
        <strike/>
        <sz val="8"/>
        <rFont val="Arial"/>
        <family val="2"/>
      </rPr>
      <t xml:space="preserve">26 Eenie Creek Rd
</t>
    </r>
    <r>
      <rPr>
        <sz val="8"/>
        <rFont val="Arial"/>
        <family val="2"/>
      </rPr>
      <t xml:space="preserve">
9/100 Rene Street
NOOSAVILLE  QLD  4566</t>
    </r>
  </si>
  <si>
    <r>
      <rPr>
        <strike/>
        <sz val="8"/>
        <rFont val="Arial"/>
        <family val="2"/>
      </rPr>
      <t xml:space="preserve">26 Eenie Creek Rd
</t>
    </r>
    <r>
      <rPr>
        <sz val="8"/>
        <rFont val="Arial"/>
        <family val="2"/>
      </rPr>
      <t>7/100 Rene Street
NOOSAVILLE  QLD  4566</t>
    </r>
  </si>
  <si>
    <r>
      <rPr>
        <strike/>
        <sz val="8"/>
        <rFont val="Arial"/>
        <family val="2"/>
      </rPr>
      <t xml:space="preserve">26 Eenie Creek Rd
</t>
    </r>
    <r>
      <rPr>
        <sz val="8"/>
        <rFont val="Arial"/>
        <family val="2"/>
      </rPr>
      <t xml:space="preserve">
5/100 Rene Street
NOOSAVILLE  QLD  4566</t>
    </r>
  </si>
  <si>
    <r>
      <rPr>
        <strike/>
        <sz val="8"/>
        <rFont val="Arial"/>
        <family val="2"/>
      </rPr>
      <t xml:space="preserve">26 Eenie Creek Rd
</t>
    </r>
    <r>
      <rPr>
        <sz val="8"/>
        <rFont val="Arial"/>
        <family val="2"/>
      </rPr>
      <t xml:space="preserve">
4/100 Rene Street
NOOSAVILLE  QLD  4566</t>
    </r>
  </si>
  <si>
    <r>
      <rPr>
        <strike/>
        <sz val="8"/>
        <rFont val="Arial"/>
        <family val="2"/>
      </rPr>
      <t xml:space="preserve">26 Eenie Creek Rd
</t>
    </r>
    <r>
      <rPr>
        <sz val="8"/>
        <rFont val="Arial"/>
        <family val="2"/>
      </rPr>
      <t xml:space="preserve">
3/100 Rene Street
NOOSAVILLE  QLD  4566</t>
    </r>
  </si>
  <si>
    <r>
      <t xml:space="preserve">Bld H on Lot 8
</t>
    </r>
    <r>
      <rPr>
        <sz val="8"/>
        <color rgb="FF0000FF"/>
        <rFont val="Arial"/>
        <family val="2"/>
      </rPr>
      <t>PC13/0026 = AICN 382 for missing Stormwater Paid 25/06/2013</t>
    </r>
    <r>
      <rPr>
        <sz val="8"/>
        <rFont val="Arial"/>
        <family val="2"/>
      </rPr>
      <t xml:space="preserve">
</t>
    </r>
    <r>
      <rPr>
        <sz val="8"/>
        <color rgb="FFFF0000"/>
        <rFont val="Arial"/>
        <family val="2"/>
      </rPr>
      <t>USE Commenced via visual inspection 30/10/2013
COMPOUND INTEREST COMMENCED 31/05/2014</t>
    </r>
  </si>
  <si>
    <r>
      <t xml:space="preserve">GECON BA 0002008303 received 16/12/2008
</t>
    </r>
    <r>
      <rPr>
        <sz val="8"/>
        <color rgb="FFFF0000"/>
        <rFont val="Arial"/>
        <family val="2"/>
      </rPr>
      <t xml:space="preserve">USE COMMENCED  </t>
    </r>
    <r>
      <rPr>
        <sz val="8"/>
        <color rgb="FF0000FF"/>
        <rFont val="Arial"/>
        <family val="2"/>
      </rPr>
      <t xml:space="preserve">
</t>
    </r>
    <r>
      <rPr>
        <sz val="8"/>
        <color rgb="FFFF0000"/>
        <rFont val="Arial"/>
        <family val="2"/>
      </rPr>
      <t>COMPOUND INTEREST COMMENCED 15/06/2013</t>
    </r>
    <r>
      <rPr>
        <sz val="8"/>
        <rFont val="Arial"/>
        <family val="2"/>
      </rPr>
      <t xml:space="preserve">
</t>
    </r>
  </si>
  <si>
    <t xml:space="preserve">STAGED PAYMENTS APPROVED
Remaining staged payments to CMRNICP
STAGED PAYMENT AGREEMENT
Stages Paid = 1 to 12 (SCC)
Stage 13 paid Noosa
</t>
  </si>
  <si>
    <t xml:space="preserve">STAGED PAYMENTS APPROVED
Remaining staged payments to CMRNICP
STAGED PAYMENT AGREEMENT
Stages Paid = 1 to 12 (SCC)
Stage 13 paid Noosa
Stage 14 paid Noosa
</t>
  </si>
  <si>
    <r>
      <t xml:space="preserve">Extn 
IA for Missing Stormwater &amp;
</t>
    </r>
    <r>
      <rPr>
        <sz val="9"/>
        <color rgb="FFFF0000"/>
        <rFont val="Arial"/>
        <family val="2"/>
      </rPr>
      <t>Build &amp; Benefit Reduction Approved</t>
    </r>
  </si>
  <si>
    <r>
      <t xml:space="preserve">Country &amp; Coastal Certifiers
Received: 22/6/2010
Permit No: 20080730
</t>
    </r>
    <r>
      <rPr>
        <sz val="8"/>
        <color rgb="FFFF0000"/>
        <rFont val="Arial"/>
        <family val="2"/>
      </rPr>
      <t>INTEREST from 14/03/2014 
PART PAYMENT 1</t>
    </r>
  </si>
  <si>
    <r>
      <t xml:space="preserve">Building Surveying Professionals QLD Permit No. 20081012
</t>
    </r>
    <r>
      <rPr>
        <sz val="8"/>
        <color indexed="10"/>
        <rFont val="Arial"/>
        <family val="2"/>
      </rPr>
      <t>See OUTSTANDING Register
INTEREST COMMENCED 2010</t>
    </r>
  </si>
  <si>
    <r>
      <t xml:space="preserve">Suncoast Building Approvals Permit No. SBA06-1456 - Received 28/8/06
</t>
    </r>
    <r>
      <rPr>
        <sz val="8"/>
        <color indexed="10"/>
        <rFont val="Arial"/>
        <family val="2"/>
      </rPr>
      <t>INTEREST COMMENCED 1/3/2008
PART PAYMENT 1 24/03/2014</t>
    </r>
  </si>
  <si>
    <r>
      <t xml:space="preserve">NBC Permit 20080445
Was not tracked to ICAO when Building Permit was issued.
</t>
    </r>
    <r>
      <rPr>
        <sz val="8"/>
        <color rgb="FFFF0000"/>
        <rFont val="Arial"/>
        <family val="2"/>
      </rPr>
      <t>Interest commenced 2010 reviewed extenuating circumstances 6/03/2014</t>
    </r>
    <r>
      <rPr>
        <sz val="8"/>
        <color indexed="10"/>
        <rFont val="Arial"/>
        <family val="2"/>
      </rPr>
      <t xml:space="preserve">
</t>
    </r>
  </si>
  <si>
    <r>
      <t xml:space="preserve">Building Approvals Group
Received: 10/2/2010
Permit No: 090467
</t>
    </r>
    <r>
      <rPr>
        <sz val="8"/>
        <color rgb="FF0000FF"/>
        <rFont val="Arial"/>
        <family val="2"/>
      </rPr>
      <t>USE COMMENCED IC OUTSTANDING
Due AUG 2013</t>
    </r>
  </si>
  <si>
    <r>
      <t xml:space="preserve">GMA Certification Group
Received: 4/1/2010
Permit No: 20095463
</t>
    </r>
    <r>
      <rPr>
        <sz val="8"/>
        <color rgb="FF0000FF"/>
        <rFont val="Arial"/>
        <family val="2"/>
      </rPr>
      <t>USE COMMENCED IC OUTSTANDING
Due AUG 2013</t>
    </r>
  </si>
  <si>
    <r>
      <rPr>
        <sz val="8"/>
        <color indexed="10"/>
        <rFont val="Arial"/>
        <family val="2"/>
      </rPr>
      <t>OUTSTANDING</t>
    </r>
    <r>
      <rPr>
        <sz val="8"/>
        <rFont val="Arial"/>
        <family val="2"/>
      </rPr>
      <t xml:space="preserve">
</t>
    </r>
    <r>
      <rPr>
        <sz val="8"/>
        <color rgb="FFFF0000"/>
        <rFont val="Arial"/>
        <family val="2"/>
      </rPr>
      <t xml:space="preserve">Paid ICP to SCRC but not correctly indexed
ICP shortfall CPI + contributions
 REFER Letter 12/2/2013
</t>
    </r>
    <r>
      <rPr>
        <sz val="8"/>
        <color rgb="FF0000FF"/>
        <rFont val="Arial"/>
        <family val="2"/>
      </rPr>
      <t>Paid Noosa in full 31/3/2014</t>
    </r>
  </si>
  <si>
    <r>
      <t xml:space="preserve">Staged payments Approved 2/02/07 
</t>
    </r>
    <r>
      <rPr>
        <i/>
        <sz val="7"/>
        <rFont val="Arial"/>
        <family val="2"/>
      </rPr>
      <t xml:space="preserve">
</t>
    </r>
    <r>
      <rPr>
        <sz val="8"/>
        <color rgb="FF0000FF"/>
        <rFont val="Arial"/>
        <family val="2"/>
      </rPr>
      <t xml:space="preserve">STAGES PAID = 1 to 13 &amp; part 14 (SCC)
Stage Paid Noosa = 
Bal Stg 14
</t>
    </r>
    <r>
      <rPr>
        <sz val="8"/>
        <color rgb="FFFF0000"/>
        <rFont val="Arial"/>
        <family val="2"/>
      </rPr>
      <t>Bal to Pay Noosa = 
15 to 19</t>
    </r>
  </si>
  <si>
    <r>
      <t xml:space="preserve">Country &amp; Coastal Certifiers
Received: 22/6/2010
Permit No: 20080730
</t>
    </r>
    <r>
      <rPr>
        <sz val="8"/>
        <color rgb="FFFF0000"/>
        <rFont val="Arial"/>
        <family val="2"/>
      </rPr>
      <t>INTEREST from 14/03/2014 
PART PAYMENT 1 &amp; 2</t>
    </r>
  </si>
  <si>
    <r>
      <t xml:space="preserve">Suncoast Building Approvals
Permit No: SBA08-1006
(Not tracked to ICAO by Building - picked up on Authority Building Approvals Report)
</t>
    </r>
    <r>
      <rPr>
        <sz val="8"/>
        <color rgb="FF0000FF"/>
        <rFont val="Arial"/>
        <family val="2"/>
      </rPr>
      <t>USE COMNENCED IC OUTSTANDING
Due AUG 2013</t>
    </r>
  </si>
  <si>
    <r>
      <t xml:space="preserve">USE COMMENCED  
Charges OUTSTANDING
DUE AUG 2013
Paid PSPs </t>
    </r>
    <r>
      <rPr>
        <sz val="8"/>
        <color rgb="FFFF0000"/>
        <rFont val="Arial"/>
        <family val="2"/>
      </rPr>
      <t xml:space="preserve">but IC outstanding &amp; paid 31/3/14
</t>
    </r>
  </si>
  <si>
    <r>
      <t xml:space="preserve">USE COMMENCED </t>
    </r>
    <r>
      <rPr>
        <sz val="8"/>
        <rFont val="Arial"/>
        <family val="2"/>
      </rPr>
      <t>PAID CONTRIBUTIONS</t>
    </r>
    <r>
      <rPr>
        <sz val="8"/>
        <color indexed="10"/>
        <rFont val="Arial"/>
        <family val="2"/>
      </rPr>
      <t xml:space="preserve"> IC Outstanding
</t>
    </r>
    <r>
      <rPr>
        <i/>
        <sz val="8"/>
        <color indexed="12"/>
        <rFont val="Arial"/>
        <family val="2"/>
      </rPr>
      <t xml:space="preserve">(Building has commenced  - in hand with Planning - confirm in a few months and chase IC 21/7/2010)
</t>
    </r>
    <r>
      <rPr>
        <i/>
        <sz val="8"/>
        <color rgb="FFFF0000"/>
        <rFont val="Arial"/>
        <family val="2"/>
      </rPr>
      <t>NEW OWNER NOTIFIED ON RATES CERT 
OUTSTANDING</t>
    </r>
  </si>
  <si>
    <r>
      <t xml:space="preserve">BA Group Building Approvals permit 703029 received 12/06/07
</t>
    </r>
    <r>
      <rPr>
        <sz val="8"/>
        <color indexed="10"/>
        <rFont val="Arial"/>
        <family val="2"/>
      </rPr>
      <t xml:space="preserve">INTEREST COMMENCED 2009 PAID </t>
    </r>
  </si>
  <si>
    <r>
      <t xml:space="preserve">No Report Info - 2 months out of date
</t>
    </r>
    <r>
      <rPr>
        <sz val="8"/>
        <color rgb="FF0000FF"/>
        <rFont val="Arial"/>
        <family val="2"/>
      </rPr>
      <t>USE COMMENCED IC 
Due AUG 2013 PAID</t>
    </r>
  </si>
  <si>
    <r>
      <t xml:space="preserve">USE COMMENCED
Charges OUTSTANDING 
</t>
    </r>
    <r>
      <rPr>
        <sz val="8"/>
        <color rgb="FF0000FF"/>
        <rFont val="Arial"/>
        <family val="2"/>
      </rPr>
      <t>COMPOUND INTEREST COMMENCED 31 Jan 2012
IC Paid 4/4/2014</t>
    </r>
    <r>
      <rPr>
        <sz val="8"/>
        <color indexed="10"/>
        <rFont val="Arial"/>
        <family val="2"/>
      </rPr>
      <t xml:space="preserve">
</t>
    </r>
    <r>
      <rPr>
        <sz val="10"/>
        <color indexed="10"/>
        <rFont val="Arial"/>
        <family val="2"/>
      </rPr>
      <t>Outstanding Open Space Contribution Remains</t>
    </r>
  </si>
  <si>
    <r>
      <t>GMA Certification Group Permit No 20085700
Received 03/03/08</t>
    </r>
    <r>
      <rPr>
        <sz val="8"/>
        <color indexed="10"/>
        <rFont val="Arial"/>
        <family val="2"/>
      </rPr>
      <t xml:space="preserve">
INTEREST COMMENCED 2010 Balance paid new owner compound int to 14/0402104</t>
    </r>
  </si>
  <si>
    <r>
      <t xml:space="preserve">Staged payments Approved 2/02/07 
</t>
    </r>
    <r>
      <rPr>
        <i/>
        <sz val="7"/>
        <rFont val="Arial"/>
        <family val="2"/>
      </rPr>
      <t xml:space="preserve">
</t>
    </r>
    <r>
      <rPr>
        <sz val="8"/>
        <color rgb="FF0000FF"/>
        <rFont val="Arial"/>
        <family val="2"/>
      </rPr>
      <t xml:space="preserve">STAGES PAID = 1 to 13 &amp; part 14 (SCC)
Stages Paid Noosa = 
Bal Stg 14, 15
</t>
    </r>
    <r>
      <rPr>
        <sz val="8"/>
        <color rgb="FFFF0000"/>
        <rFont val="Arial"/>
        <family val="2"/>
      </rPr>
      <t>Bal to Pay Noosa = 
16 to 19</t>
    </r>
  </si>
  <si>
    <r>
      <t xml:space="preserve">Country &amp; Coastal Certifiers
Received: 22/6/2010
Permit No: 20080730
</t>
    </r>
    <r>
      <rPr>
        <sz val="8"/>
        <color rgb="FFFF0000"/>
        <rFont val="Arial"/>
        <family val="2"/>
      </rPr>
      <t xml:space="preserve">INTEREST from 14/03/2014 
</t>
    </r>
    <r>
      <rPr>
        <sz val="8"/>
        <color rgb="FF0000FF"/>
        <rFont val="Arial"/>
        <family val="2"/>
      </rPr>
      <t>PART PAYMENT 3</t>
    </r>
  </si>
  <si>
    <r>
      <t xml:space="preserve">reference also to IC 163 regarding CMRN
</t>
    </r>
    <r>
      <rPr>
        <sz val="8"/>
        <color indexed="10"/>
        <rFont val="Arial"/>
        <family val="2"/>
      </rPr>
      <t xml:space="preserve">Letter sent 20-06-08 re O/S pathways contribution
Attribute 95 added to highlight O/S Pathways - Delete when Paid.
SHOW CAUSE Issued 5/11/2010
</t>
    </r>
    <r>
      <rPr>
        <sz val="8"/>
        <color rgb="FFFF0000"/>
        <rFont val="Arial"/>
        <family val="2"/>
      </rPr>
      <t xml:space="preserve">Letter issued 2/04/2014 </t>
    </r>
    <r>
      <rPr>
        <sz val="8"/>
        <color rgb="FF0000FF"/>
        <rFont val="Arial"/>
        <family val="2"/>
      </rPr>
      <t>Finally Paid 7/05/2014</t>
    </r>
  </si>
  <si>
    <r>
      <rPr>
        <sz val="8"/>
        <color rgb="FF0000FF"/>
        <rFont val="Arial"/>
        <family val="2"/>
      </rPr>
      <t>DUE 30/04/2014</t>
    </r>
    <r>
      <rPr>
        <sz val="8"/>
        <rFont val="Arial"/>
        <family val="2"/>
      </rPr>
      <t xml:space="preserve">
</t>
    </r>
    <r>
      <rPr>
        <sz val="8"/>
        <color rgb="FF0000FF"/>
        <rFont val="Arial"/>
        <family val="2"/>
      </rPr>
      <t>Use Commenced advice 28/01/2014
Paid 21/05/2014</t>
    </r>
  </si>
  <si>
    <r>
      <t xml:space="preserve">MAROOCHY SHIRE DEVELOPMENT - Contributions to Noosa re Condition 76 Peregian Beach Foreshore urban improvements, parking &amp; public amenities 
</t>
    </r>
    <r>
      <rPr>
        <sz val="8"/>
        <color rgb="FF0000FF"/>
        <rFont val="Arial"/>
        <family val="2"/>
      </rPr>
      <t xml:space="preserve">
FINAL</t>
    </r>
    <r>
      <rPr>
        <sz val="8"/>
        <rFont val="Arial"/>
        <family val="2"/>
      </rPr>
      <t xml:space="preserve"> </t>
    </r>
    <r>
      <rPr>
        <sz val="8"/>
        <color rgb="FF0000FF"/>
        <rFont val="Arial"/>
        <family val="2"/>
      </rPr>
      <t xml:space="preserve">PAYMENT NO 5 </t>
    </r>
  </si>
  <si>
    <r>
      <t xml:space="preserve">PAID IC only, 
</t>
    </r>
    <r>
      <rPr>
        <sz val="8"/>
        <color rgb="FF0000FF"/>
        <rFont val="Arial"/>
        <family val="2"/>
      </rPr>
      <t>BA = 20051391</t>
    </r>
    <r>
      <rPr>
        <sz val="8"/>
        <rFont val="Arial"/>
        <family val="2"/>
      </rPr>
      <t xml:space="preserve">
</t>
    </r>
    <r>
      <rPr>
        <sz val="8"/>
        <color rgb="FFFF0000"/>
        <rFont val="Arial"/>
        <family val="2"/>
      </rPr>
      <t xml:space="preserve">Outstanding contributions                      
</t>
    </r>
    <r>
      <rPr>
        <i/>
        <sz val="8"/>
        <color rgb="FFFF0000"/>
        <rFont val="Arial"/>
        <family val="2"/>
      </rPr>
      <t xml:space="preserve">LETTER ISSUED 
1 Dec 2009
</t>
    </r>
    <r>
      <rPr>
        <sz val="8"/>
        <color rgb="FFFF0000"/>
        <rFont val="Arial"/>
        <family val="2"/>
      </rPr>
      <t xml:space="preserve">Re-confirmed MC 04/2014
</t>
    </r>
    <r>
      <rPr>
        <sz val="8"/>
        <color rgb="FF0000FF"/>
        <rFont val="Arial"/>
        <family val="2"/>
      </rPr>
      <t>Contribs Paid 26/05/2014</t>
    </r>
  </si>
  <si>
    <r>
      <t xml:space="preserve">Paid Infrastructure Charge </t>
    </r>
    <r>
      <rPr>
        <sz val="8"/>
        <color rgb="FFFF0000"/>
        <rFont val="Arial"/>
        <family val="2"/>
      </rPr>
      <t xml:space="preserve">- Contributions Outstanding
Re-Confirmed MC 04/2014
</t>
    </r>
    <r>
      <rPr>
        <sz val="8"/>
        <color rgb="FF0000FF"/>
        <rFont val="Arial"/>
        <family val="2"/>
      </rPr>
      <t>Paid 27/05/2014</t>
    </r>
  </si>
  <si>
    <r>
      <t xml:space="preserve">Bank Guarantee received 17/02/09 - $250,000 (NAB Ref: 3/24B) from NC Oliver Noosa Pty Ltd holding for payment of  Contributions re: Condition 55 
</t>
    </r>
    <r>
      <rPr>
        <sz val="8"/>
        <color indexed="10"/>
        <rFont val="Arial"/>
        <family val="2"/>
      </rPr>
      <t xml:space="preserve">Use Commenced
Ltr StgA issued 30/4/14 
Ltr StgB issued 9/5/2014
</t>
    </r>
    <r>
      <rPr>
        <sz val="8"/>
        <color rgb="FF0000FF"/>
        <rFont val="Arial"/>
        <family val="2"/>
      </rPr>
      <t>Part Pmt 1 29/5/14</t>
    </r>
    <r>
      <rPr>
        <sz val="8"/>
        <color indexed="10"/>
        <rFont val="Arial"/>
        <family val="2"/>
      </rPr>
      <t xml:space="preserve">
</t>
    </r>
  </si>
  <si>
    <r>
      <t xml:space="preserve">Country &amp; Coastal Certifiers
Received: 22/6/2010
Permit No: 20080730
</t>
    </r>
    <r>
      <rPr>
        <sz val="8"/>
        <color rgb="FFFF0000"/>
        <rFont val="Arial"/>
        <family val="2"/>
      </rPr>
      <t xml:space="preserve">INTEREST from 14/03/2014 
</t>
    </r>
    <r>
      <rPr>
        <sz val="8"/>
        <color rgb="FF0000FF"/>
        <rFont val="Arial"/>
        <family val="2"/>
      </rPr>
      <t>PART PAYMENT 4</t>
    </r>
  </si>
  <si>
    <r>
      <t xml:space="preserve">No Report Info - 2 months out of date
</t>
    </r>
    <r>
      <rPr>
        <sz val="8"/>
        <color rgb="FF0000FF"/>
        <rFont val="Arial"/>
        <family val="2"/>
      </rPr>
      <t xml:space="preserve">USE COMMENCED IC OUTSTANDING
</t>
    </r>
    <r>
      <rPr>
        <sz val="8"/>
        <color rgb="FFFF0000"/>
        <rFont val="Arial"/>
        <family val="2"/>
      </rPr>
      <t>INTEREST from 30 Sept 2013</t>
    </r>
  </si>
  <si>
    <r>
      <t xml:space="preserve">Suncert Building Consultants Permit No 80070
</t>
    </r>
    <r>
      <rPr>
        <sz val="8"/>
        <color rgb="FF0000FF"/>
        <rFont val="Arial"/>
        <family val="2"/>
      </rPr>
      <t xml:space="preserve">USE COMMENCED IC OUTSTANDING
</t>
    </r>
    <r>
      <rPr>
        <sz val="8"/>
        <color rgb="FFFF0000"/>
        <rFont val="Arial"/>
        <family val="2"/>
      </rPr>
      <t>INTEREST from 14 June 2013</t>
    </r>
  </si>
  <si>
    <r>
      <rPr>
        <sz val="8"/>
        <color rgb="FF0000FF"/>
        <rFont val="Arial"/>
        <family val="2"/>
      </rPr>
      <t>USE COMMENCED</t>
    </r>
    <r>
      <rPr>
        <sz val="8"/>
        <color indexed="10"/>
        <rFont val="Arial"/>
        <family val="2"/>
      </rPr>
      <t xml:space="preserve">
SUBJECT TO LEGALS 2010
Interest Commenced 1 January 2011
</t>
    </r>
    <r>
      <rPr>
        <sz val="8"/>
        <color rgb="FF0000FF"/>
        <rFont val="Arial"/>
        <family val="2"/>
      </rPr>
      <t>Paid 17/06/2014</t>
    </r>
  </si>
  <si>
    <r>
      <t xml:space="preserve">Country &amp; Coastal Certifiers
Received: 16/6/2010
Permit No: 2010/BLDA/00651
</t>
    </r>
    <r>
      <rPr>
        <sz val="8"/>
        <color rgb="FFFF0000"/>
        <rFont val="Arial"/>
        <family val="2"/>
      </rPr>
      <t>USE COMMENCED IC OUTSTANDING
Due AUG 2013</t>
    </r>
    <r>
      <rPr>
        <sz val="8"/>
        <color rgb="FF0000FF"/>
        <rFont val="Arial"/>
        <family val="2"/>
      </rPr>
      <t xml:space="preserve">
STAGED PAYMENT AGREEMENT - Paid Stg 3
</t>
    </r>
  </si>
  <si>
    <r>
      <t xml:space="preserve">The Certification Professionals  Pemit No. CP/2006-2690 - received 15/11/06
</t>
    </r>
    <r>
      <rPr>
        <sz val="8"/>
        <color rgb="FF0000FF"/>
        <rFont val="Arial"/>
        <family val="2"/>
      </rPr>
      <t>Final issued 08/08/07 - 
Letter of Agreement for Staged Payments 09/10/07
Letter 09/11/07 Staged Payment Agreement Terminated
PART PAID 
INTEREST COMMENCED 2008
New Owner Interest Balance $1,518 from 30 April 2014 Paid 1/7/14</t>
    </r>
  </si>
  <si>
    <r>
      <rPr>
        <u/>
        <sz val="8"/>
        <color rgb="FF0000FF"/>
        <rFont val="Arial"/>
        <family val="2"/>
      </rPr>
      <t>NOTE:</t>
    </r>
    <r>
      <rPr>
        <sz val="8"/>
        <color rgb="FF0000FF"/>
        <rFont val="Arial"/>
        <family val="2"/>
      </rPr>
      <t xml:space="preserve">
Cheque dated 26 June 2014 for payment all networks inc W&amp;S received in mail on 1 July 2014 &amp; receipted next day </t>
    </r>
  </si>
  <si>
    <r>
      <t xml:space="preserve">Country &amp; Coastal Certifiers
Received: 22/6/2010
Permit No: 20080730
</t>
    </r>
    <r>
      <rPr>
        <sz val="8"/>
        <color rgb="FFFF0000"/>
        <rFont val="Arial"/>
        <family val="2"/>
      </rPr>
      <t xml:space="preserve">COMPOUND INTEREST COMMENCED 14/03/2014 
</t>
    </r>
    <r>
      <rPr>
        <sz val="8"/>
        <color rgb="FF0000FF"/>
        <rFont val="Arial"/>
        <family val="2"/>
      </rPr>
      <t xml:space="preserve">PART PAYMENTs 1,2,3,4,5
</t>
    </r>
    <r>
      <rPr>
        <sz val="8"/>
        <color rgb="FFFF0000"/>
        <rFont val="Arial"/>
        <family val="2"/>
      </rPr>
      <t>BALANCE to PAY $1,020 @ 2 July 2014</t>
    </r>
  </si>
  <si>
    <r>
      <t xml:space="preserve">STAGED PAYMENTS APPROVED
Remaining staged payments to CMRNICP
STAGED PAYMENT AGREEMENT
Stages Paid = 1 to 12 (SCC)
Stage 13 paid Noosa
Stage 14 paid Noosa
</t>
    </r>
    <r>
      <rPr>
        <sz val="8"/>
        <color rgb="FFFF0000"/>
        <rFont val="Arial"/>
        <family val="2"/>
      </rPr>
      <t>Stage 15 to 19 (Final) Paid Noosa</t>
    </r>
  </si>
  <si>
    <r>
      <t xml:space="preserve">Changes Application issued - Refer above to IC 874 - Cancelled 17/12/09
</t>
    </r>
    <r>
      <rPr>
        <sz val="8"/>
        <color rgb="FF0000FF"/>
        <rFont val="Arial"/>
        <family val="2"/>
      </rPr>
      <t xml:space="preserve">STAGED PAYMENT AGREEMENT </t>
    </r>
    <r>
      <rPr>
        <sz val="8"/>
        <color rgb="FFFF0000"/>
        <rFont val="Arial"/>
        <family val="2"/>
      </rPr>
      <t xml:space="preserve">
</t>
    </r>
    <r>
      <rPr>
        <sz val="8"/>
        <color rgb="FF0000FF"/>
        <rFont val="Arial"/>
        <family val="2"/>
      </rPr>
      <t>Stg Pmt 3 = $18,200 Paid NSA</t>
    </r>
  </si>
  <si>
    <r>
      <t xml:space="preserve">Country &amp; Coastal Certifiers
Received: 22/6/2010
Permit No: 20080730
</t>
    </r>
    <r>
      <rPr>
        <sz val="8"/>
        <color rgb="FFFF0000"/>
        <rFont val="Arial"/>
        <family val="2"/>
      </rPr>
      <t xml:space="preserve">COMPOUND INTEREST COMMENCED 14/03/2014 
</t>
    </r>
    <r>
      <rPr>
        <sz val="8"/>
        <color rgb="FF0000FF"/>
        <rFont val="Arial"/>
        <family val="2"/>
      </rPr>
      <t xml:space="preserve">PART PAYMENTs 1,2,3,4,5,6
</t>
    </r>
    <r>
      <rPr>
        <sz val="8"/>
        <color rgb="FFFF0000"/>
        <rFont val="Arial"/>
        <family val="2"/>
      </rPr>
      <t>BALANCE to PAY $541.00 @ 6 August 2014</t>
    </r>
  </si>
  <si>
    <r>
      <t xml:space="preserve">BAGS-3318 
Bank Guarantee received 17/02/09 - $250,000 (NAB Ref: 3/24B) from NC Oliver Noosa Pty Ltd holding for payment of  Contributions re: Condition 55 
</t>
    </r>
    <r>
      <rPr>
        <sz val="8"/>
        <color rgb="FF0000FF"/>
        <rFont val="Arial"/>
        <family val="2"/>
      </rPr>
      <t>Replaced Suncorp BAGS-5425</t>
    </r>
    <r>
      <rPr>
        <sz val="8"/>
        <rFont val="Arial"/>
        <family val="2"/>
      </rPr>
      <t xml:space="preserve">
</t>
    </r>
    <r>
      <rPr>
        <sz val="8"/>
        <color indexed="10"/>
        <rFont val="Arial"/>
        <family val="2"/>
      </rPr>
      <t xml:space="preserve">Use Commenced
Ltr StgA issued 30/4/14 
Ltr StgB issued 9/5/2014
</t>
    </r>
    <r>
      <rPr>
        <sz val="8"/>
        <color rgb="FF0000FF"/>
        <rFont val="Arial"/>
        <family val="2"/>
      </rPr>
      <t>Part Pmt 1 29/05/2014
Bal Pmt2 (W&amp;S) 27/08/2014</t>
    </r>
  </si>
  <si>
    <r>
      <t>Sunline Building Approvals
Permit No DN07 - 381
Received 24/09/2007
Not tracked to ICAO</t>
    </r>
    <r>
      <rPr>
        <b/>
        <sz val="8"/>
        <color indexed="10"/>
        <rFont val="Arial"/>
        <family val="2"/>
      </rPr>
      <t xml:space="preserve">
</t>
    </r>
    <r>
      <rPr>
        <sz val="8"/>
        <color indexed="10"/>
        <rFont val="Arial"/>
        <family val="2"/>
      </rPr>
      <t xml:space="preserve">INTEREST COMMENCED 3/06/2009
</t>
    </r>
    <r>
      <rPr>
        <sz val="8"/>
        <color rgb="FF0000FF"/>
        <rFont val="Arial"/>
        <family val="2"/>
      </rPr>
      <t>Paid NSA 1/9/2014</t>
    </r>
  </si>
  <si>
    <r>
      <t xml:space="preserve">180 Beddington Road DOONAN
</t>
    </r>
    <r>
      <rPr>
        <sz val="8"/>
        <color rgb="FF0000FF"/>
        <rFont val="Arial"/>
        <family val="2"/>
      </rPr>
      <t>Address changed to 230 Beddington Rd</t>
    </r>
  </si>
  <si>
    <t>Interest to 31 Aug 2014</t>
  </si>
  <si>
    <r>
      <t xml:space="preserve">USE COMMENCED COMPOUND INTEREST COMMENCED 30/06/2014
</t>
    </r>
    <r>
      <rPr>
        <sz val="8"/>
        <color rgb="FF0000FF"/>
        <rFont val="Arial"/>
        <family val="2"/>
      </rPr>
      <t>Paid Noosa 1/9/2014</t>
    </r>
  </si>
  <si>
    <r>
      <t xml:space="preserve">Jun-10
</t>
    </r>
    <r>
      <rPr>
        <b/>
        <sz val="8"/>
        <color rgb="FFFF0000"/>
        <rFont val="Arial"/>
        <family val="2"/>
      </rPr>
      <t>COMPOUND INTEREST COMMENCED 30/06/2014</t>
    </r>
  </si>
  <si>
    <t>Paid Nsa</t>
  </si>
  <si>
    <t>September 2014 Total =</t>
  </si>
  <si>
    <t>August  2014
Total =</t>
  </si>
  <si>
    <t>Part Payment 1
Part Payment 2
Part Payment 3
Part Payment 4
Part Payment 5
Part Payment 6
Final Payment 7</t>
  </si>
  <si>
    <t>19/03/2014
31/03/2014
5/5/2014
2/06/2014
2/07/2014
6/8/2014
2/9/2014</t>
  </si>
  <si>
    <t>1145782
1146339
1147596
1148774
1149992
1152257
1154615</t>
  </si>
  <si>
    <r>
      <t xml:space="preserve">Country &amp; Coastal Certifiers
Received: 22/6/2010
Permit No: 20080730
</t>
    </r>
    <r>
      <rPr>
        <sz val="8"/>
        <color rgb="FFFF0000"/>
        <rFont val="Arial"/>
        <family val="2"/>
      </rPr>
      <t xml:space="preserve">COMPOUND INTEREST COMMENCED 14/03/2014 
</t>
    </r>
    <r>
      <rPr>
        <sz val="8"/>
        <color rgb="FF0000FF"/>
        <rFont val="Arial"/>
        <family val="2"/>
      </rPr>
      <t xml:space="preserve">PART PAYMENTs 1,2,3,4,5,6,7
BALANCE to PAY NIL @ 2/9/2014 </t>
    </r>
  </si>
  <si>
    <t>LAPSED confirmed MC 11/08/2014</t>
  </si>
  <si>
    <r>
      <t xml:space="preserve">$500 Pt Pmt 1=19/03/14
$500 Pt Pmt 2=31/03/14
</t>
    </r>
    <r>
      <rPr>
        <sz val="8"/>
        <color rgb="FFFF0000"/>
        <rFont val="Arial"/>
        <family val="2"/>
      </rPr>
      <t xml:space="preserve">Bal @ 31/03/14=$2,476 </t>
    </r>
    <r>
      <rPr>
        <sz val="8"/>
        <color rgb="FF0000FF"/>
        <rFont val="Arial"/>
        <family val="2"/>
      </rPr>
      <t xml:space="preserve">
$500 Pt Pmt 3 = 5/5/14
</t>
    </r>
    <r>
      <rPr>
        <sz val="8"/>
        <color rgb="FFFF0000"/>
        <rFont val="Arial"/>
        <family val="2"/>
      </rPr>
      <t xml:space="preserve">Bal @ 5/5/14 = $1,990
</t>
    </r>
    <r>
      <rPr>
        <sz val="8"/>
        <color rgb="FF0000FF"/>
        <rFont val="Arial"/>
        <family val="2"/>
      </rPr>
      <t>$500 Pt Pmt 4 = 30/5/14</t>
    </r>
    <r>
      <rPr>
        <sz val="8"/>
        <color rgb="FFFF0000"/>
        <rFont val="Arial"/>
        <family val="2"/>
      </rPr>
      <t xml:space="preserve">
Bal @ 30/5/14 = $1,505
</t>
    </r>
    <r>
      <rPr>
        <sz val="8"/>
        <color rgb="FF0000FF"/>
        <rFont val="Arial"/>
        <family val="2"/>
      </rPr>
      <t>$500 Pt Pmt 5 = 30/5/14</t>
    </r>
    <r>
      <rPr>
        <sz val="8"/>
        <color rgb="FFFF0000"/>
        <rFont val="Arial"/>
        <family val="2"/>
      </rPr>
      <t xml:space="preserve">
Bal @ 2/07/14 = $1,020
</t>
    </r>
    <r>
      <rPr>
        <sz val="8"/>
        <color rgb="FF0000FF"/>
        <rFont val="Arial"/>
        <family val="2"/>
      </rPr>
      <t>$500 Pt Pmt 6 = 6/8/14</t>
    </r>
    <r>
      <rPr>
        <sz val="8"/>
        <color rgb="FFFF0000"/>
        <rFont val="Arial"/>
        <family val="2"/>
      </rPr>
      <t xml:space="preserve">
Bal @ 6/08/14 = $541
</t>
    </r>
    <r>
      <rPr>
        <sz val="8"/>
        <color rgb="FF0000FF"/>
        <rFont val="Arial"/>
        <family val="2"/>
      </rPr>
      <t xml:space="preserve">$541 Final Payment = 2/9/2014 ($4 Interest Waived) </t>
    </r>
    <r>
      <rPr>
        <sz val="8"/>
        <color rgb="FFFF0000"/>
        <rFont val="Arial"/>
        <family val="2"/>
      </rPr>
      <t>Bal = NIL</t>
    </r>
  </si>
  <si>
    <r>
      <rPr>
        <strike/>
        <sz val="10"/>
        <rFont val="Arial"/>
        <family val="2"/>
      </rPr>
      <t>24/07/2014</t>
    </r>
    <r>
      <rPr>
        <sz val="10"/>
        <rFont val="Arial"/>
        <family val="2"/>
      </rPr>
      <t xml:space="preserve">
8/08/2014</t>
    </r>
  </si>
  <si>
    <r>
      <rPr>
        <strike/>
        <sz val="10"/>
        <rFont val="Arial"/>
        <family val="2"/>
      </rPr>
      <t>1/8/2014</t>
    </r>
    <r>
      <rPr>
        <sz val="10"/>
        <rFont val="Arial"/>
        <family val="2"/>
      </rPr>
      <t xml:space="preserve">
15/08/2014</t>
    </r>
  </si>
  <si>
    <r>
      <t xml:space="preserve">BA Group Building Approvals permit 705027 received 19/07/07
</t>
    </r>
    <r>
      <rPr>
        <sz val="8"/>
        <color rgb="FF0000FF"/>
        <rFont val="Arial"/>
        <family val="2"/>
      </rPr>
      <t>Certifier Lapsed letter on 19/06/2014</t>
    </r>
  </si>
  <si>
    <r>
      <rPr>
        <sz val="8"/>
        <color indexed="10"/>
        <rFont val="Arial"/>
        <family val="2"/>
      </rPr>
      <t xml:space="preserve">Staged payments Approved 2/02/07 
</t>
    </r>
    <r>
      <rPr>
        <i/>
        <sz val="7"/>
        <rFont val="Arial"/>
        <family val="2"/>
      </rPr>
      <t xml:space="preserve">
</t>
    </r>
    <r>
      <rPr>
        <sz val="8"/>
        <color rgb="FF0000FF"/>
        <rFont val="Arial"/>
        <family val="2"/>
      </rPr>
      <t>STAGES PAID = 1 to 13 &amp; part 14 (SCC)
Stages Paid Noosa = 
Bal 14, 15
Bal Paid Noosa = 
Stgs 16 to 19 on 4/09/2014</t>
    </r>
  </si>
  <si>
    <r>
      <t xml:space="preserve">Pmt 1-14(part) 
PAID SCC
</t>
    </r>
    <r>
      <rPr>
        <b/>
        <u/>
        <sz val="8"/>
        <color rgb="FF0000FF"/>
        <rFont val="Arial"/>
        <family val="2"/>
      </rPr>
      <t>Payment to NOOSA</t>
    </r>
    <r>
      <rPr>
        <sz val="8"/>
        <color rgb="FF0000FF"/>
        <rFont val="Arial"/>
        <family val="2"/>
      </rPr>
      <t xml:space="preserve">
Pmt 14(bal)
Pmt 15 
</t>
    </r>
    <r>
      <rPr>
        <b/>
        <sz val="8"/>
        <color rgb="FF0000FF"/>
        <rFont val="Arial"/>
        <family val="2"/>
      </rPr>
      <t>Pmt 16 to 19 Final</t>
    </r>
    <r>
      <rPr>
        <sz val="8"/>
        <color rgb="FF0000FF"/>
        <rFont val="Arial"/>
        <family val="2"/>
      </rPr>
      <t xml:space="preserve">
</t>
    </r>
  </si>
  <si>
    <r>
      <t xml:space="preserve">
31/03/2014
28/05/2014
</t>
    </r>
    <r>
      <rPr>
        <b/>
        <sz val="8"/>
        <color rgb="FF0000FF"/>
        <rFont val="Arial"/>
        <family val="2"/>
      </rPr>
      <t>04/09/2014</t>
    </r>
  </si>
  <si>
    <r>
      <t xml:space="preserve">
1146332
1147333
</t>
    </r>
    <r>
      <rPr>
        <b/>
        <sz val="8"/>
        <color rgb="FF0000FF"/>
        <rFont val="Arial"/>
        <family val="2"/>
      </rPr>
      <t>1154782</t>
    </r>
  </si>
  <si>
    <r>
      <t>No 1 = Dec 06     
No 2 = Mar 07
No 3 = Sep 07
No 4 = Mar 08
No 5 = Sep 08
No 6. = Mar 09
No 7. = Sep-09
Journal TFR amend = -$9,853
No 8 = Jun-10
No 9 = Sep-10
No 10 = Mar 11
No 11 = Mar 11
No 12 = Mar 12
No 13 = Mar 13
No 14 Part = Mar 13
No 14 bal=$420 Dec13</t>
    </r>
    <r>
      <rPr>
        <sz val="8"/>
        <color rgb="FFFF0000"/>
        <rFont val="Arial"/>
        <family val="2"/>
      </rPr>
      <t xml:space="preserve">
</t>
    </r>
    <r>
      <rPr>
        <sz val="8"/>
        <color rgb="FF0000FF"/>
        <rFont val="Arial"/>
        <family val="2"/>
      </rPr>
      <t xml:space="preserve">No 15 = $3,496 Dec13
</t>
    </r>
    <r>
      <rPr>
        <b/>
        <sz val="8"/>
        <color rgb="FF0000FF"/>
        <rFont val="Arial"/>
        <family val="2"/>
      </rPr>
      <t>No 16-19 Final = $14,144 @ June 2014</t>
    </r>
  </si>
  <si>
    <r>
      <t>No 1 = Dec 06       No 2 = Mar 07
No 3 = Sep 07
No 4 = Mar 08
No 5 = Sep 08
No 6 = Mar 09
No 7. = Sep-09
No 8 = Jun-10
No 9 = Sep-10
No 10 = Mar 11
No 11 = Mar 11
No 12 = Mar 12
No.13 = Mar 13
No.14=$2,768Dec13</t>
    </r>
    <r>
      <rPr>
        <sz val="8"/>
        <color rgb="FFFF0000"/>
        <rFont val="Arial"/>
        <family val="2"/>
      </rPr>
      <t xml:space="preserve">
</t>
    </r>
    <r>
      <rPr>
        <sz val="8"/>
        <color rgb="FF0000FF"/>
        <rFont val="Arial"/>
        <family val="2"/>
      </rPr>
      <t xml:space="preserve">No.15=$2,769Dec13
</t>
    </r>
    <r>
      <rPr>
        <b/>
        <sz val="8"/>
        <color rgb="FF0000FF"/>
        <rFont val="Arial"/>
        <family val="2"/>
      </rPr>
      <t>No 16-19 Final = $11,204 @ June 2014</t>
    </r>
  </si>
  <si>
    <r>
      <t>Bld G on Lot 7</t>
    </r>
    <r>
      <rPr>
        <sz val="8"/>
        <color rgb="FF0000FF"/>
        <rFont val="Arial"/>
        <family val="2"/>
      </rPr>
      <t xml:space="preserve">
PC13/1499 Building permit  issued AICN N1013 for missing stormwater &amp; public transport  
USE Commenced via visual inspection 18/07/2014
Paid 8/09/14</t>
    </r>
  </si>
  <si>
    <t>Paid in Full</t>
  </si>
  <si>
    <t>September  2014
Total =</t>
  </si>
  <si>
    <r>
      <rPr>
        <b/>
        <sz val="10"/>
        <color rgb="FF0000FF"/>
        <rFont val="Arial"/>
        <family val="2"/>
      </rPr>
      <t xml:space="preserve">N </t>
    </r>
    <r>
      <rPr>
        <b/>
        <sz val="10"/>
        <rFont val="Arial"/>
        <family val="2"/>
      </rPr>
      <t xml:space="preserve">1013
</t>
    </r>
    <r>
      <rPr>
        <sz val="10"/>
        <color rgb="FF0000FF"/>
        <rFont val="Arial"/>
        <family val="2"/>
      </rPr>
      <t>Use Commenced via inspection 18/07/2014</t>
    </r>
  </si>
  <si>
    <r>
      <t>Adopted Charge for missing Stormwater &amp; Public Tranpsort</t>
    </r>
    <r>
      <rPr>
        <b/>
        <sz val="10"/>
        <color rgb="FFFF0000"/>
        <rFont val="Arial"/>
        <family val="2"/>
      </rPr>
      <t xml:space="preserve"> 
</t>
    </r>
    <r>
      <rPr>
        <sz val="10"/>
        <color rgb="FF0000FF"/>
        <rFont val="Arial"/>
        <family val="2"/>
      </rPr>
      <t>MCU 2007/1841 &amp; IC 983 applies contribs &amp; IC for other networks</t>
    </r>
  </si>
  <si>
    <t>Apportionment to:
Lots 3, 4, 8, 9, &amp; 10 at 2 Quamby Place, Noosa Heads</t>
  </si>
  <si>
    <t>Apportionment to:
Lot  2 at 2 Quamby Place, Noosa Heads</t>
  </si>
  <si>
    <r>
      <t xml:space="preserve">584 
</t>
    </r>
    <r>
      <rPr>
        <b/>
        <sz val="10"/>
        <color rgb="FF0000FF"/>
        <rFont val="Arial"/>
        <family val="2"/>
      </rPr>
      <t xml:space="preserve">Part </t>
    </r>
    <r>
      <rPr>
        <sz val="10"/>
        <color rgb="FF0000FF"/>
        <rFont val="Arial"/>
        <family val="2"/>
      </rPr>
      <t xml:space="preserve">Applicable </t>
    </r>
    <r>
      <rPr>
        <b/>
        <sz val="10"/>
        <color rgb="FF0000FF"/>
        <rFont val="Arial"/>
        <family val="2"/>
      </rPr>
      <t xml:space="preserve">ONLY to Council </t>
    </r>
    <r>
      <rPr>
        <sz val="10"/>
        <color rgb="FF0000FF"/>
        <rFont val="Arial"/>
        <family val="2"/>
      </rPr>
      <t xml:space="preserve">Networks for:
</t>
    </r>
    <r>
      <rPr>
        <b/>
        <sz val="10"/>
        <color rgb="FF0000FF"/>
        <rFont val="Arial"/>
        <family val="2"/>
      </rPr>
      <t>Lots 3,4,8,9 &amp; 10</t>
    </r>
  </si>
  <si>
    <r>
      <t xml:space="preserve">584
</t>
    </r>
    <r>
      <rPr>
        <b/>
        <sz val="10"/>
        <color rgb="FF0000FF"/>
        <rFont val="Arial"/>
        <family val="2"/>
      </rPr>
      <t xml:space="preserve">Part </t>
    </r>
    <r>
      <rPr>
        <sz val="10"/>
        <color rgb="FF0000FF"/>
        <rFont val="Arial"/>
        <family val="2"/>
      </rPr>
      <t xml:space="preserve">Applicable </t>
    </r>
    <r>
      <rPr>
        <b/>
        <sz val="10"/>
        <color rgb="FF0000FF"/>
        <rFont val="Arial"/>
        <family val="2"/>
      </rPr>
      <t>ONLY to Council</t>
    </r>
    <r>
      <rPr>
        <sz val="10"/>
        <color rgb="FF0000FF"/>
        <rFont val="Arial"/>
        <family val="2"/>
      </rPr>
      <t xml:space="preserve"> Networks to:
</t>
    </r>
    <r>
      <rPr>
        <b/>
        <sz val="10"/>
        <color rgb="FF0000FF"/>
        <rFont val="Arial"/>
        <family val="2"/>
      </rPr>
      <t>Lot 2</t>
    </r>
  </si>
  <si>
    <t>Paid ONLY Council Networks for Lots 3,4,8,9,10</t>
  </si>
  <si>
    <r>
      <t xml:space="preserve">Lot 32 N 21854
</t>
    </r>
    <r>
      <rPr>
        <sz val="10"/>
        <color rgb="FF0000FF"/>
        <rFont val="Arial"/>
        <family val="2"/>
      </rPr>
      <t>RE: Lots: 2,3,4,8,9 &amp;10 on BUP 12000</t>
    </r>
  </si>
  <si>
    <r>
      <t>Park - Sps # Nh10 90 Noosa Pde NOOSA HEADS</t>
    </r>
    <r>
      <rPr>
        <sz val="10"/>
        <color rgb="FF0000FF"/>
        <rFont val="Arial"/>
        <family val="2"/>
      </rPr>
      <t xml:space="preserve"> 
Applies to development on 
</t>
    </r>
    <r>
      <rPr>
        <b/>
        <sz val="10"/>
        <color rgb="FF0000FF"/>
        <rFont val="Arial"/>
        <family val="2"/>
      </rPr>
      <t>2 Quamby Place</t>
    </r>
    <r>
      <rPr>
        <sz val="10"/>
        <color rgb="FF0000FF"/>
        <rFont val="Arial"/>
        <family val="2"/>
      </rPr>
      <t xml:space="preserve"> for: 
Lots 2,3,4,8,9 &amp; 10.</t>
    </r>
  </si>
  <si>
    <r>
      <t xml:space="preserve">Park - Sps # Nh10 90 Noosa Pde NOOSA HEADS 
</t>
    </r>
    <r>
      <rPr>
        <sz val="10"/>
        <color rgb="FF0000FF"/>
        <rFont val="Arial"/>
        <family val="2"/>
      </rPr>
      <t xml:space="preserve">Applies to development on 
</t>
    </r>
    <r>
      <rPr>
        <b/>
        <sz val="10"/>
        <color rgb="FF0000FF"/>
        <rFont val="Arial"/>
        <family val="2"/>
      </rPr>
      <t>2 Quamby Place</t>
    </r>
    <r>
      <rPr>
        <sz val="10"/>
        <color rgb="FF0000FF"/>
        <rFont val="Arial"/>
        <family val="2"/>
      </rPr>
      <t xml:space="preserve"> for: 
Lots 2,3,4,8,9 &amp; 10.</t>
    </r>
  </si>
  <si>
    <r>
      <t xml:space="preserve">Park - Sps # Nh10 90 Noosa Pde NOOSA HEADS
</t>
    </r>
    <r>
      <rPr>
        <sz val="10"/>
        <color rgb="FF0000FF"/>
        <rFont val="Arial"/>
        <family val="2"/>
      </rPr>
      <t xml:space="preserve">Applies to development on 
</t>
    </r>
    <r>
      <rPr>
        <b/>
        <sz val="10"/>
        <color rgb="FF0000FF"/>
        <rFont val="Arial"/>
        <family val="2"/>
      </rPr>
      <t>2 Quamby Place</t>
    </r>
    <r>
      <rPr>
        <sz val="10"/>
        <color rgb="FF0000FF"/>
        <rFont val="Arial"/>
        <family val="2"/>
      </rPr>
      <t xml:space="preserve"> for: 
Lots 2,3,4,8,9 &amp; 10.</t>
    </r>
  </si>
  <si>
    <t>PAID COUNCIL NETWORKS ONLY</t>
  </si>
  <si>
    <t>MCU14/0041</t>
  </si>
  <si>
    <t>VivaHome Kauri Pty Ltd</t>
  </si>
  <si>
    <t>Lot 4 RP 112204</t>
  </si>
  <si>
    <t>7 Myall Street
COOROY QLD 4563</t>
  </si>
  <si>
    <t>Commercial Business Type 2 - Medical  = 164m2 gfa plus additional 60m2 impervious area</t>
  </si>
  <si>
    <t>Commercial Business Type 2 - Medical =129m2 gfa</t>
  </si>
  <si>
    <r>
      <t xml:space="preserve">584
</t>
    </r>
    <r>
      <rPr>
        <b/>
        <sz val="10"/>
        <color rgb="FF0000FF"/>
        <rFont val="Arial"/>
        <family val="2"/>
      </rPr>
      <t xml:space="preserve">Part </t>
    </r>
    <r>
      <rPr>
        <sz val="10"/>
        <color rgb="FF0000FF"/>
        <rFont val="Arial"/>
        <family val="2"/>
      </rPr>
      <t xml:space="preserve">Applicable to </t>
    </r>
    <r>
      <rPr>
        <b/>
        <sz val="10"/>
        <color rgb="FF0000FF"/>
        <rFont val="Arial"/>
        <family val="2"/>
      </rPr>
      <t xml:space="preserve">UNITYWATER </t>
    </r>
    <r>
      <rPr>
        <sz val="10"/>
        <color rgb="FF0000FF"/>
        <rFont val="Arial"/>
        <family val="2"/>
      </rPr>
      <t>Networks
ALL Lots: 
2, 3,4,8,9 &amp; 10</t>
    </r>
  </si>
  <si>
    <t>ISSUED</t>
  </si>
  <si>
    <r>
      <t xml:space="preserve">Issue details exported from SCRC AICR
</t>
    </r>
    <r>
      <rPr>
        <b/>
        <sz val="10"/>
        <color rgb="FF0000FF"/>
        <rFont val="Arial"/>
        <family val="2"/>
      </rPr>
      <t>W&amp;S</t>
    </r>
    <r>
      <rPr>
        <sz val="10"/>
        <rFont val="Arial"/>
        <family val="2"/>
      </rPr>
      <t xml:space="preserve"> </t>
    </r>
    <r>
      <rPr>
        <b/>
        <sz val="10"/>
        <color rgb="FF0000FF"/>
        <rFont val="Arial"/>
        <family val="2"/>
      </rPr>
      <t>PAYMENT TO BE MADE DIRECTLY TO UNITYWATER</t>
    </r>
  </si>
  <si>
    <r>
      <t xml:space="preserve">Issue details exported from SCRC AICR
</t>
    </r>
    <r>
      <rPr>
        <b/>
        <sz val="10"/>
        <color rgb="FF0000FF"/>
        <rFont val="Arial"/>
        <family val="2"/>
      </rPr>
      <t>W&amp;S PAYMENT TO BE MADE DIRECTLY TO UNITYWATER</t>
    </r>
  </si>
  <si>
    <t>Negotiated Decision Notice 
Change to an Existing Approval &amp; Extension to Rel Period</t>
  </si>
  <si>
    <r>
      <rPr>
        <strike/>
        <sz val="8"/>
        <rFont val="Arial"/>
        <family val="2"/>
      </rPr>
      <t>17/05/2010</t>
    </r>
    <r>
      <rPr>
        <sz val="8"/>
        <rFont val="Arial"/>
        <family val="2"/>
      </rPr>
      <t xml:space="preserve">
28/08/2014
</t>
    </r>
  </si>
  <si>
    <r>
      <rPr>
        <strike/>
        <sz val="8"/>
        <rFont val="Arial"/>
        <family val="2"/>
      </rPr>
      <t>12/05/2014</t>
    </r>
    <r>
      <rPr>
        <sz val="8"/>
        <rFont val="Arial"/>
        <family val="2"/>
      </rPr>
      <t xml:space="preserve">
12/09/2014
</t>
    </r>
  </si>
  <si>
    <r>
      <t xml:space="preserve">N/A
</t>
    </r>
    <r>
      <rPr>
        <b/>
        <sz val="8"/>
        <color rgb="FF0000FF"/>
        <rFont val="Arial"/>
        <family val="2"/>
      </rPr>
      <t>+
IA No 39
1/09/2014</t>
    </r>
  </si>
  <si>
    <t>51997.2384.03 (12506 TC)
132009.1102.03</t>
  </si>
  <si>
    <t xml:space="preserve">1270 McKinnon Dr
RINGTAIL CREEK </t>
  </si>
  <si>
    <t xml:space="preserve">Tony Walls
OPG Alpha Pty Ltd
</t>
  </si>
  <si>
    <t xml:space="preserve">Level 37
100 Miller Street
NORTH SYDNEY  NSW  2060
</t>
  </si>
  <si>
    <r>
      <t>N/A</t>
    </r>
    <r>
      <rPr>
        <b/>
        <sz val="8"/>
        <color rgb="FF0000FF"/>
        <rFont val="Arial"/>
        <family val="2"/>
      </rPr>
      <t xml:space="preserve">
IA No.40       1/09/2014</t>
    </r>
    <r>
      <rPr>
        <b/>
        <sz val="8"/>
        <rFont val="Arial"/>
        <family val="2"/>
      </rPr>
      <t xml:space="preserve">
</t>
    </r>
  </si>
  <si>
    <t>Additional Outdoor Dining Areas</t>
  </si>
  <si>
    <r>
      <t xml:space="preserve">MCU
</t>
    </r>
    <r>
      <rPr>
        <b/>
        <sz val="8"/>
        <color rgb="FF0000FF"/>
        <rFont val="Arial"/>
        <family val="2"/>
      </rPr>
      <t>Change to Existing Approvals</t>
    </r>
  </si>
  <si>
    <r>
      <t xml:space="preserve">Suncoast Building Approvals Permit No. SBA06-1456 - Received 28/8/06
</t>
    </r>
    <r>
      <rPr>
        <sz val="8"/>
        <color rgb="FFFF0000"/>
        <rFont val="Arial"/>
        <family val="2"/>
      </rPr>
      <t xml:space="preserve">COMPOUND </t>
    </r>
    <r>
      <rPr>
        <sz val="8"/>
        <color indexed="10"/>
        <rFont val="Arial"/>
        <family val="2"/>
      </rPr>
      <t xml:space="preserve">INTEREST COMMENCED 1/3/2008
</t>
    </r>
    <r>
      <rPr>
        <sz val="8"/>
        <color rgb="FF0000FF"/>
        <rFont val="Arial"/>
        <family val="2"/>
      </rPr>
      <t>Part Paymnent 1 24/03/2014
Balance Paid 16/09/2014</t>
    </r>
  </si>
  <si>
    <t xml:space="preserve">Part pmt 1 = $3,639 24/03/2014
Bal Pmt 2 = 1,354
</t>
  </si>
  <si>
    <t>Part Payment 1
Bal Payment 2</t>
  </si>
  <si>
    <t>24/03/2014
16/09/2014</t>
  </si>
  <si>
    <t>Pmt 1 = 1146009
Pmt 2 = 1155269</t>
  </si>
  <si>
    <t>Paid Council Networks only</t>
  </si>
  <si>
    <t>Infrastructure Agreement 39</t>
  </si>
  <si>
    <t>MR JOACHIM FRANZ &amp; MRS DONNA FRANZ</t>
  </si>
  <si>
    <t xml:space="preserve">PO Box 236 TEWANTIN  QLD  4565 </t>
  </si>
  <si>
    <t>2 Res Lots</t>
  </si>
  <si>
    <t>1 Res Lot</t>
  </si>
  <si>
    <t>IA for missing Networks 
Stormwater &amp; Public Transport</t>
  </si>
  <si>
    <t xml:space="preserve">Extn IA for Missing:
- Stormwater = $1,792
- Public Transport = $50
Paid &amp; Receipted under Adopted Charge </t>
  </si>
  <si>
    <t xml:space="preserve">$1,792 Mar-14
IA Adopted Stormwater
</t>
  </si>
  <si>
    <t>$50 Mar-14
IA Adopted Public Transport</t>
  </si>
  <si>
    <t>PAID Counil Networks only</t>
  </si>
  <si>
    <t xml:space="preserve">Additional 246 m2 gfa retail to existing Garden Centre + 120m2 gfa "Flexi Space". No additional impervious area.
</t>
  </si>
  <si>
    <r>
      <t>Issue details exported from SCRC AICR</t>
    </r>
    <r>
      <rPr>
        <b/>
        <sz val="10"/>
        <color rgb="FFFF0000"/>
        <rFont val="Arial"/>
        <family val="2"/>
      </rPr>
      <t xml:space="preserve">
</t>
    </r>
    <r>
      <rPr>
        <b/>
        <sz val="10"/>
        <color rgb="FF0000FF"/>
        <rFont val="Arial"/>
        <family val="2"/>
      </rPr>
      <t>Pending Cert of Classification to finalise BnB reduction IA No. 17</t>
    </r>
  </si>
  <si>
    <r>
      <rPr>
        <sz val="10"/>
        <rFont val="Arial"/>
        <family val="2"/>
      </rPr>
      <t>Issued Transport = $43,013
Issued Park = $7,591
@ Jun-2013</t>
    </r>
    <r>
      <rPr>
        <sz val="10"/>
        <color rgb="FFFF0000"/>
        <rFont val="Arial"/>
        <family val="2"/>
      </rPr>
      <t xml:space="preserve">
SCRC Build &amp; Benefit dated 23/08/2013 applies subject to conditions being met
Transport= -$26,814
Parks = -$4,732
@ Mar-2013</t>
    </r>
  </si>
  <si>
    <r>
      <t xml:space="preserve">IC 389
</t>
    </r>
    <r>
      <rPr>
        <b/>
        <sz val="8"/>
        <color rgb="FF0000FF"/>
        <rFont val="Arial"/>
        <family val="2"/>
      </rPr>
      <t>+
IA No.41     23/09/2014</t>
    </r>
  </si>
  <si>
    <t>MCU14/0051</t>
  </si>
  <si>
    <t>Tu Projects</t>
  </si>
  <si>
    <t>Lot 1 RP 153307</t>
  </si>
  <si>
    <t>28 Nannygai St, NOOSAVILLE  QLD  4566</t>
  </si>
  <si>
    <t>Multiple housing Type 4 Conventional = 4 x 3 bedroom Units</t>
  </si>
  <si>
    <t>Industrial Business Type 2 (Linen Hire) = 
320 m2 gfa + 580 m2 impervious area</t>
  </si>
  <si>
    <t>REC14/0002</t>
  </si>
  <si>
    <t>Mr G Huba</t>
  </si>
  <si>
    <t>Lot 2 SP 155477</t>
  </si>
  <si>
    <t xml:space="preserve">22 Edward St, COORAN, QLD 4568 </t>
  </si>
  <si>
    <t>2 x Residential Lots</t>
  </si>
  <si>
    <t>1 x Residential Lot</t>
  </si>
  <si>
    <r>
      <rPr>
        <strike/>
        <sz val="10"/>
        <rFont val="Arial"/>
        <family val="2"/>
      </rPr>
      <t>9/01/2014</t>
    </r>
    <r>
      <rPr>
        <sz val="10"/>
        <rFont val="Arial"/>
        <family val="2"/>
      </rPr>
      <t xml:space="preserve">
25/09/2014</t>
    </r>
  </si>
  <si>
    <r>
      <rPr>
        <strike/>
        <sz val="10"/>
        <rFont val="Arial"/>
        <family val="2"/>
      </rPr>
      <t>4/07/2018</t>
    </r>
    <r>
      <rPr>
        <sz val="10"/>
        <rFont val="Arial"/>
        <family val="2"/>
      </rPr>
      <t xml:space="preserve">
25/09/2014</t>
    </r>
  </si>
  <si>
    <t>LAPSED 1/10/2014
Confirmed by MC</t>
  </si>
  <si>
    <t>October 2014
Total =</t>
  </si>
  <si>
    <r>
      <t xml:space="preserve">Issue details exported from SCRC AICR
</t>
    </r>
    <r>
      <rPr>
        <sz val="10"/>
        <color rgb="FF0000FF"/>
        <rFont val="Arial"/>
        <family val="2"/>
      </rPr>
      <t>Paid Noosa Council Networks Only
W&amp;S directed to Unitywater</t>
    </r>
  </si>
  <si>
    <t>MCU14/0066</t>
  </si>
  <si>
    <t xml:space="preserve">Javaka Pty Ltd
</t>
  </si>
  <si>
    <t>C/- KHA Development Managers
PO Box 6380
MAROOCHYDORE BC QLD 4558</t>
  </si>
  <si>
    <t>2 RP 112875</t>
  </si>
  <si>
    <t>33 Edward St
NOOSAVILLE QLD 4566</t>
  </si>
  <si>
    <t xml:space="preserve">Multiple Housing Type 2 - Duplex </t>
  </si>
  <si>
    <t>October 2014 Total =</t>
  </si>
  <si>
    <r>
      <t xml:space="preserve">Changes Application issued - Refer above to IC 874 - Cancelled 17/12/09
</t>
    </r>
    <r>
      <rPr>
        <b/>
        <sz val="8"/>
        <color rgb="FF0000FF"/>
        <rFont val="Arial"/>
        <family val="2"/>
      </rPr>
      <t xml:space="preserve">STAGED PAYMENT AGREEMENT 
</t>
    </r>
    <r>
      <rPr>
        <sz val="8"/>
        <color rgb="FF0000FF"/>
        <rFont val="Arial"/>
        <family val="2"/>
      </rPr>
      <t>Pmt 1 = $22,000 Paid SCC</t>
    </r>
    <r>
      <rPr>
        <b/>
        <sz val="8"/>
        <color rgb="FF0000FF"/>
        <rFont val="Arial"/>
        <family val="2"/>
      </rPr>
      <t xml:space="preserve">
</t>
    </r>
    <r>
      <rPr>
        <b/>
        <sz val="9"/>
        <color rgb="FFFF0000"/>
        <rFont val="Arial"/>
        <family val="2"/>
      </rPr>
      <t>Pmt 2 = $18,409 Paid DD to SCC &amp; transferred to NSC</t>
    </r>
  </si>
  <si>
    <r>
      <t xml:space="preserve">Country &amp; Coastal Certifiers
Received: 16/6/2010
Permit No: 2010/BLDA/00651
</t>
    </r>
    <r>
      <rPr>
        <sz val="8"/>
        <color rgb="FFFF0000"/>
        <rFont val="Arial"/>
        <family val="2"/>
      </rPr>
      <t>USE COMMENCED IC OUTSTANDING Due Aug 2013</t>
    </r>
    <r>
      <rPr>
        <b/>
        <sz val="8"/>
        <color rgb="FF0000FF"/>
        <rFont val="Arial"/>
        <family val="2"/>
      </rPr>
      <t xml:space="preserve">
STAGED PAYMENT AGREEMENT
</t>
    </r>
    <r>
      <rPr>
        <sz val="8"/>
        <color rgb="FF0000FF"/>
        <rFont val="Arial"/>
        <family val="2"/>
      </rPr>
      <t xml:space="preserve">Pmt 1 = $815 Paid SCC
</t>
    </r>
    <r>
      <rPr>
        <b/>
        <sz val="9"/>
        <color rgb="FFFF0000"/>
        <rFont val="Arial"/>
        <family val="2"/>
      </rPr>
      <t>Pmt 2 = $657 Paid DD to SCC &amp; transferred to NSC</t>
    </r>
  </si>
  <si>
    <r>
      <t xml:space="preserve">$3,699 @Sep 09
</t>
    </r>
    <r>
      <rPr>
        <sz val="8"/>
        <color rgb="FF0000FF"/>
        <rFont val="Arial"/>
        <family val="2"/>
      </rPr>
      <t xml:space="preserve">Staged Payments = $4,253 (incl 7% int &amp; not cpi)
Pmt1=$1,003 Paid SCC
</t>
    </r>
    <r>
      <rPr>
        <sz val="8"/>
        <color rgb="FFFF0000"/>
        <rFont val="Arial"/>
        <family val="2"/>
      </rPr>
      <t>Pmt2=$839 Paid SCC (to tfr Noosa)</t>
    </r>
  </si>
  <si>
    <r>
      <t xml:space="preserve">$31,508 @Sep 09
</t>
    </r>
    <r>
      <rPr>
        <sz val="8"/>
        <color rgb="FF0000FF"/>
        <rFont val="Arial"/>
        <family val="2"/>
      </rPr>
      <t xml:space="preserve">Staged Payments = $36,225 (incl 7% int &amp; not cpi)
Pmt1=$8,542 Paid SCC
</t>
    </r>
    <r>
      <rPr>
        <sz val="8"/>
        <color rgb="FFFF0000"/>
        <rFont val="Arial"/>
        <family val="2"/>
      </rPr>
      <t>Pmt2=$7,148 Paid SCC (Tfr Noosa)</t>
    </r>
  </si>
  <si>
    <r>
      <t xml:space="preserve">$16,455 @Sep 09
</t>
    </r>
    <r>
      <rPr>
        <sz val="8"/>
        <color rgb="FF0000FF"/>
        <rFont val="Arial"/>
        <family val="2"/>
      </rPr>
      <t xml:space="preserve">Staged Payments = $18,920 (incl 7% int &amp; not cpi)
Pmt1=$4,461 Paid SCC
</t>
    </r>
    <r>
      <rPr>
        <sz val="8"/>
        <color rgb="FFFF0000"/>
        <rFont val="Arial"/>
        <family val="2"/>
      </rPr>
      <t>Pmt2=$3,733 Paid SCC (Tfr Noosa)</t>
    </r>
    <r>
      <rPr>
        <b/>
        <sz val="8"/>
        <color rgb="FFFF0000"/>
        <rFont val="Arial"/>
        <family val="2"/>
      </rPr>
      <t/>
    </r>
  </si>
  <si>
    <r>
      <t xml:space="preserve">$10,511 @Sep 09
</t>
    </r>
    <r>
      <rPr>
        <sz val="8"/>
        <color rgb="FF0000FF"/>
        <rFont val="Arial"/>
        <family val="2"/>
      </rPr>
      <t xml:space="preserve">Staged Payments = $12,084 (incl 7% int &amp; not cpi)
Pmt1=$2,850 Paid SCC
</t>
    </r>
    <r>
      <rPr>
        <sz val="8"/>
        <color rgb="FFFF0000"/>
        <rFont val="Arial"/>
        <family val="2"/>
      </rPr>
      <t>Pmt2=$2,385 Paid SCC (Tfr Noosa)</t>
    </r>
  </si>
  <si>
    <r>
      <t xml:space="preserve">$18,973 @Sep 09
</t>
    </r>
    <r>
      <rPr>
        <sz val="8"/>
        <color rgb="FF0000FF"/>
        <rFont val="Arial"/>
        <family val="2"/>
      </rPr>
      <t xml:space="preserve">Staged Payments = $21,814 (incl 7% int &amp; not cpi)
Pmt1=$5,144 Paid SCC
</t>
    </r>
    <r>
      <rPr>
        <sz val="8"/>
        <color rgb="FFFF0000"/>
        <rFont val="Arial"/>
        <family val="2"/>
      </rPr>
      <t>Pmt2=$4,304 Paid SCC (Tfr Noosa)</t>
    </r>
  </si>
  <si>
    <t>07/2228
132007.2228</t>
  </si>
  <si>
    <t>UNITYWATER TO CHASE OVERDUE AMOUNT</t>
  </si>
  <si>
    <r>
      <rPr>
        <b/>
        <sz val="8"/>
        <color rgb="FFFF0000"/>
        <rFont val="Arial"/>
        <family val="2"/>
      </rPr>
      <t xml:space="preserve"> Use commenced &amp; request for payment &amp; Invoice sent 3/08/2011
</t>
    </r>
    <r>
      <rPr>
        <sz val="8"/>
        <color rgb="FFFF0000"/>
        <rFont val="Arial"/>
        <family val="2"/>
      </rPr>
      <t xml:space="preserve">Re-confirmed MC 04/2014
</t>
    </r>
    <r>
      <rPr>
        <b/>
        <sz val="8"/>
        <color rgb="FFFF0000"/>
        <rFont val="Arial"/>
        <family val="2"/>
      </rPr>
      <t>Request for Payment 28/4/2014</t>
    </r>
    <r>
      <rPr>
        <sz val="8"/>
        <color rgb="FF0000FF"/>
        <rFont val="Arial"/>
        <family val="2"/>
      </rPr>
      <t xml:space="preserve">
</t>
    </r>
    <r>
      <rPr>
        <b/>
        <sz val="9"/>
        <color rgb="FF0000FF"/>
        <rFont val="Arial"/>
        <family val="2"/>
      </rPr>
      <t>W&amp;S Contribs Only
UNITYWATER to RECOVER</t>
    </r>
  </si>
  <si>
    <r>
      <t xml:space="preserve">Use commenced
Letter issued 9 May 2013 &amp; email 29 July 2013
</t>
    </r>
    <r>
      <rPr>
        <b/>
        <sz val="9"/>
        <color rgb="FF0000FF"/>
        <rFont val="Arial"/>
        <family val="2"/>
      </rPr>
      <t>W&amp;S Contribs Only
UNITYWATER to RECOVER</t>
    </r>
  </si>
  <si>
    <t xml:space="preserve">IC notice issued &amp; Paid on 2009 1628 BA
Building Completed 
</t>
  </si>
  <si>
    <t>23616 DA
132003.221132.8
(Stage C1)</t>
  </si>
  <si>
    <t>23616 DA
132003.221132.8
(Stage C2)</t>
  </si>
  <si>
    <t>23616 DA
132003.221132.8
(Stage C3)</t>
  </si>
  <si>
    <t>MCU14/0012</t>
  </si>
  <si>
    <t xml:space="preserve">PO Box 1425
BRISBANE QLD 4001
</t>
  </si>
  <si>
    <t>2 SP 237573</t>
  </si>
  <si>
    <t>Middle Creek Rd
FEDERAL</t>
  </si>
  <si>
    <t>Emergency Services Type 2 - Shed</t>
  </si>
  <si>
    <t>Vacant Lot (non-residential)</t>
  </si>
  <si>
    <r>
      <rPr>
        <b/>
        <sz val="10"/>
        <color rgb="FF0000FF"/>
        <rFont val="Arial"/>
        <family val="2"/>
      </rPr>
      <t xml:space="preserve">N </t>
    </r>
    <r>
      <rPr>
        <b/>
        <sz val="10"/>
        <rFont val="Arial"/>
        <family val="2"/>
      </rPr>
      <t>1044</t>
    </r>
    <r>
      <rPr>
        <sz val="11"/>
        <color theme="1"/>
        <rFont val="Calibri"/>
        <family val="2"/>
        <scheme val="minor"/>
      </rPr>
      <t/>
    </r>
  </si>
  <si>
    <t>Hydrox Nominees Pty Ltd  
(ACN 139 262 123)</t>
  </si>
  <si>
    <t>2-18 &amp; 20 Hofmann Dr, Noosaville, QLD 4562</t>
  </si>
  <si>
    <t>Lot 4 SP 246584 
Lot 1 SP 222982</t>
  </si>
  <si>
    <t>Lot 1 SP 222982</t>
  </si>
  <si>
    <t>2-18 Hofmann Dr, Noosaville, QLD 4562</t>
  </si>
  <si>
    <t>Court Order 1505 of 2013</t>
  </si>
  <si>
    <t>Trunk Pathway constructed under Lot Reconfiguration approval 2006/1594
Infrastructure Agreement Noosa Shire Business Centre dated 3 October 2003 applying to development of Lot 4 SP 246584</t>
  </si>
  <si>
    <t>Stage 1 Credit 
Apply same existing development as per previous development approval on Lot 1 SP 222982 RE: 2007/1273 DA &amp; IC 802 (CMRNICP) i.e.
- Community Use - Education Type 1 Child Care = 700m2 (75 students) and 
- Skill Share - Community Use - Education Type 3 Adult = 360m2 (36 students). 
- Impervious Area = 1,600m2  estimate from aerial mapping</t>
  </si>
  <si>
    <t>Nil 
All credits used up under Stage 1</t>
  </si>
  <si>
    <r>
      <rPr>
        <b/>
        <sz val="10"/>
        <rFont val="Arial"/>
        <family val="2"/>
      </rPr>
      <t>STAGE 1</t>
    </r>
    <r>
      <rPr>
        <sz val="10"/>
        <rFont val="Arial"/>
        <family val="2"/>
      </rPr>
      <t xml:space="preserve"> (Masters Home Improvement Store) = Undefined Use
9,277m2 gfa @ Commercial Bulk Goods rate
</t>
    </r>
    <r>
      <rPr>
        <i/>
        <sz val="10"/>
        <rFont val="Arial"/>
        <family val="2"/>
      </rPr>
      <t>(Note: Outdoor Display area 545 m2 uncovered use area excluded as not classed as gfa)</t>
    </r>
    <r>
      <rPr>
        <sz val="10"/>
        <rFont val="Arial"/>
        <family val="2"/>
      </rPr>
      <t xml:space="preserve">
+
IMPERVIOUS AREA = 23,474m2</t>
    </r>
  </si>
  <si>
    <r>
      <rPr>
        <b/>
        <sz val="10"/>
        <rFont val="Arial"/>
        <family val="2"/>
      </rPr>
      <t xml:space="preserve">Stage 2 </t>
    </r>
    <r>
      <rPr>
        <sz val="10"/>
        <rFont val="Arial"/>
        <family val="2"/>
      </rPr>
      <t xml:space="preserve">
Tenancy Showroom = 1,737m2 gfa
Impervious Area = 5,575m2 </t>
    </r>
  </si>
  <si>
    <r>
      <t xml:space="preserve">MCU12/0051 - Court Order 
</t>
    </r>
    <r>
      <rPr>
        <b/>
        <sz val="10"/>
        <rFont val="Arial"/>
        <family val="2"/>
      </rPr>
      <t xml:space="preserve">(Stage 1) </t>
    </r>
  </si>
  <si>
    <r>
      <t xml:space="preserve">MCU12/0051 - Court Order 
</t>
    </r>
    <r>
      <rPr>
        <b/>
        <sz val="10"/>
        <rFont val="Arial"/>
        <family val="2"/>
      </rPr>
      <t xml:space="preserve">(Stage 2) </t>
    </r>
  </si>
  <si>
    <r>
      <rPr>
        <strike/>
        <sz val="10"/>
        <rFont val="Arial"/>
        <family val="2"/>
      </rPr>
      <t>8/10/2014</t>
    </r>
    <r>
      <rPr>
        <sz val="10"/>
        <rFont val="Arial"/>
        <family val="2"/>
      </rPr>
      <t xml:space="preserve">
14/10/2014</t>
    </r>
  </si>
  <si>
    <t>Paid NSA</t>
  </si>
  <si>
    <t>PC14/0154</t>
  </si>
  <si>
    <t>Noosa Domain Pty Ltd</t>
  </si>
  <si>
    <t>632 Sturt St
BALLARAT VIC 3350</t>
  </si>
  <si>
    <t>35 Walter Hay Dr
NOOSAVILLE</t>
  </si>
  <si>
    <t>PC14/0843</t>
  </si>
  <si>
    <t>11 Retirement Village Units 
(3 x 3 BR Units + 8 x 2 BR Units)</t>
  </si>
  <si>
    <t>11 Retirement Village Units 
(2 x 3 BR Units +  x 9 BR Units)</t>
  </si>
  <si>
    <t>Paid Lot 7</t>
  </si>
  <si>
    <t>IA Carparking Contribution in Lieu
- Paid Lot 7 on 13/10/2014</t>
  </si>
  <si>
    <t>IA Carparking Contribution in Lieu
- Paid Lot 1 on 28/10/2014</t>
  </si>
  <si>
    <r>
      <t xml:space="preserve">Common Property:
SP 120366 relating to:
</t>
    </r>
    <r>
      <rPr>
        <sz val="8"/>
        <color rgb="FFFF0000"/>
        <rFont val="Arial"/>
        <family val="2"/>
      </rPr>
      <t>1 SP 120366
6 SP 120366</t>
    </r>
    <r>
      <rPr>
        <sz val="8"/>
        <rFont val="Arial"/>
        <family val="2"/>
      </rPr>
      <t xml:space="preserve">
</t>
    </r>
    <r>
      <rPr>
        <b/>
        <sz val="8"/>
        <color rgb="FF0000FF"/>
        <rFont val="Arial"/>
        <family val="2"/>
      </rPr>
      <t>7 SP 120366</t>
    </r>
  </si>
  <si>
    <r>
      <t xml:space="preserve">Common Property: 
32 Hastings St 
NOOSA HEADS relating to:
</t>
    </r>
    <r>
      <rPr>
        <sz val="8"/>
        <color rgb="FFFF0000"/>
        <rFont val="Arial"/>
        <family val="2"/>
      </rPr>
      <t>1/32 Hastings St
6/32 Hastings St</t>
    </r>
    <r>
      <rPr>
        <sz val="8"/>
        <rFont val="Arial"/>
        <family val="2"/>
      </rPr>
      <t xml:space="preserve">
</t>
    </r>
    <r>
      <rPr>
        <b/>
        <sz val="8"/>
        <color rgb="FF0000FF"/>
        <rFont val="Arial"/>
        <family val="2"/>
      </rPr>
      <t>7/32 Hastings St</t>
    </r>
  </si>
  <si>
    <r>
      <t xml:space="preserve">Common Property:
SP 120366 relating to:
</t>
    </r>
    <r>
      <rPr>
        <b/>
        <sz val="8"/>
        <color rgb="FF0000FF"/>
        <rFont val="Arial"/>
        <family val="2"/>
      </rPr>
      <t>1 SP 120366</t>
    </r>
    <r>
      <rPr>
        <sz val="8"/>
        <color rgb="FFFF0000"/>
        <rFont val="Arial"/>
        <family val="2"/>
      </rPr>
      <t xml:space="preserve">
6 SP 120366</t>
    </r>
    <r>
      <rPr>
        <sz val="8"/>
        <rFont val="Arial"/>
        <family val="2"/>
      </rPr>
      <t xml:space="preserve">
7 SP 120366</t>
    </r>
  </si>
  <si>
    <r>
      <t xml:space="preserve">Common Property: 
32 Hastings St 
NOOSA HEADS relating to:
</t>
    </r>
    <r>
      <rPr>
        <b/>
        <sz val="8"/>
        <color rgb="FF0000FF"/>
        <rFont val="Arial"/>
        <family val="2"/>
      </rPr>
      <t>1/32 Hastings St</t>
    </r>
    <r>
      <rPr>
        <sz val="8"/>
        <color rgb="FFFF0000"/>
        <rFont val="Arial"/>
        <family val="2"/>
      </rPr>
      <t xml:space="preserve">
6/32 Hastings St</t>
    </r>
    <r>
      <rPr>
        <sz val="8"/>
        <rFont val="Arial"/>
        <family val="2"/>
      </rPr>
      <t xml:space="preserve">
7/32 Hastings St</t>
    </r>
  </si>
  <si>
    <t>Paid Lot 1</t>
  </si>
  <si>
    <t xml:space="preserve">June 2014
</t>
  </si>
  <si>
    <t xml:space="preserve">Sep 2014
</t>
  </si>
  <si>
    <r>
      <t>14/10/2004 16/12/2004</t>
    </r>
    <r>
      <rPr>
        <sz val="8"/>
        <rFont val="Arial"/>
        <family val="2"/>
      </rPr>
      <t xml:space="preserve">
</t>
    </r>
    <r>
      <rPr>
        <strike/>
        <sz val="8"/>
        <rFont val="Arial"/>
        <family val="2"/>
      </rPr>
      <t>9/12/08</t>
    </r>
    <r>
      <rPr>
        <sz val="8"/>
        <rFont val="Arial"/>
        <family val="2"/>
      </rPr>
      <t xml:space="preserve">
</t>
    </r>
    <r>
      <rPr>
        <strike/>
        <sz val="8"/>
        <rFont val="Arial"/>
        <family val="2"/>
      </rPr>
      <t>9/8/2010</t>
    </r>
    <r>
      <rPr>
        <sz val="8"/>
        <rFont val="Arial"/>
        <family val="2"/>
      </rPr>
      <t xml:space="preserve">
</t>
    </r>
    <r>
      <rPr>
        <strike/>
        <sz val="8"/>
        <rFont val="Arial"/>
        <family val="2"/>
      </rPr>
      <t>14/8/2012</t>
    </r>
    <r>
      <rPr>
        <sz val="8"/>
        <rFont val="Arial"/>
        <family val="2"/>
      </rPr>
      <t xml:space="preserve">
17/10/2014</t>
    </r>
  </si>
  <si>
    <r>
      <t>14/10/2008 16/12/2008</t>
    </r>
    <r>
      <rPr>
        <sz val="8"/>
        <rFont val="Arial"/>
        <family val="2"/>
      </rPr>
      <t xml:space="preserve">
</t>
    </r>
    <r>
      <rPr>
        <strike/>
        <sz val="8"/>
        <rFont val="Arial"/>
        <family val="2"/>
      </rPr>
      <t>9/12/2010</t>
    </r>
    <r>
      <rPr>
        <sz val="8"/>
        <rFont val="Arial"/>
        <family val="2"/>
      </rPr>
      <t xml:space="preserve">
</t>
    </r>
    <r>
      <rPr>
        <strike/>
        <sz val="8"/>
        <rFont val="Arial"/>
        <family val="2"/>
      </rPr>
      <t>16/12/2012</t>
    </r>
    <r>
      <rPr>
        <sz val="8"/>
        <rFont val="Arial"/>
        <family val="2"/>
      </rPr>
      <t xml:space="preserve">
</t>
    </r>
    <r>
      <rPr>
        <strike/>
        <sz val="8"/>
        <rFont val="Arial"/>
        <family val="2"/>
      </rPr>
      <t>16/12/2014</t>
    </r>
    <r>
      <rPr>
        <sz val="8"/>
        <rFont val="Arial"/>
        <family val="2"/>
      </rPr>
      <t xml:space="preserve">
16/12/2018
</t>
    </r>
  </si>
  <si>
    <t>LAPSED 16/10/2014
As per Event confirming from T1
Confirmed MC 21/10/2014</t>
  </si>
  <si>
    <t>Jun 2014
IA Public Transport</t>
  </si>
  <si>
    <t xml:space="preserve">Jun 14
IA Stormwater </t>
  </si>
  <si>
    <r>
      <t>20/09/2006</t>
    </r>
    <r>
      <rPr>
        <sz val="8"/>
        <rFont val="Arial"/>
        <family val="2"/>
      </rPr>
      <t xml:space="preserve">
</t>
    </r>
    <r>
      <rPr>
        <strike/>
        <sz val="8"/>
        <rFont val="Arial"/>
        <family val="2"/>
      </rPr>
      <t>6/4/2010</t>
    </r>
    <r>
      <rPr>
        <sz val="8"/>
        <rFont val="Arial"/>
        <family val="2"/>
      </rPr>
      <t xml:space="preserve">
23/10/2014</t>
    </r>
  </si>
  <si>
    <r>
      <t>20/09/2010</t>
    </r>
    <r>
      <rPr>
        <sz val="8"/>
        <rFont val="Arial"/>
        <family val="2"/>
      </rPr>
      <t xml:space="preserve">
</t>
    </r>
    <r>
      <rPr>
        <strike/>
        <sz val="8"/>
        <rFont val="Arial"/>
        <family val="2"/>
      </rPr>
      <t>20/9/2012</t>
    </r>
    <r>
      <rPr>
        <sz val="8"/>
        <rFont val="Arial"/>
        <family val="2"/>
      </rPr>
      <t xml:space="preserve">
</t>
    </r>
    <r>
      <rPr>
        <strike/>
        <sz val="8"/>
        <rFont val="Arial"/>
        <family val="2"/>
      </rPr>
      <t>20/9/2014</t>
    </r>
    <r>
      <rPr>
        <sz val="8"/>
        <rFont val="Arial"/>
        <family val="2"/>
      </rPr>
      <t xml:space="preserve">
20/09/2016</t>
    </r>
  </si>
  <si>
    <t>Jun-14
IA Missing Stormwater</t>
  </si>
  <si>
    <t xml:space="preserve">Jun-14
IA Adopted Stormwater
</t>
  </si>
  <si>
    <t xml:space="preserve">Jun-14
IA Adopted Public Transport
</t>
  </si>
  <si>
    <r>
      <rPr>
        <strike/>
        <sz val="8"/>
        <rFont val="Arial"/>
        <family val="2"/>
      </rPr>
      <t>3/11/2010</t>
    </r>
    <r>
      <rPr>
        <sz val="8"/>
        <rFont val="Arial"/>
        <family val="2"/>
      </rPr>
      <t xml:space="preserve">
17/09/2014</t>
    </r>
  </si>
  <si>
    <r>
      <rPr>
        <strike/>
        <sz val="8"/>
        <rFont val="Arial"/>
        <family val="2"/>
      </rPr>
      <t>3/11/2014</t>
    </r>
    <r>
      <rPr>
        <sz val="8"/>
        <rFont val="Arial"/>
        <family val="2"/>
      </rPr>
      <t xml:space="preserve">
3/11/2016</t>
    </r>
  </si>
  <si>
    <r>
      <rPr>
        <strike/>
        <sz val="8"/>
        <rFont val="Arial"/>
        <family val="2"/>
      </rPr>
      <t>24/02/2006</t>
    </r>
    <r>
      <rPr>
        <sz val="8"/>
        <rFont val="Arial"/>
        <family val="2"/>
      </rPr>
      <t xml:space="preserve">
11/09/2014</t>
    </r>
  </si>
  <si>
    <r>
      <t xml:space="preserve">23657 DA
132003.221172
</t>
    </r>
    <r>
      <rPr>
        <sz val="8"/>
        <color rgb="FF0000FF"/>
        <rFont val="Arial"/>
        <family val="2"/>
      </rPr>
      <t>(extn: 132003.221172.5)</t>
    </r>
    <r>
      <rPr>
        <b/>
        <sz val="8"/>
        <rFont val="Arial"/>
        <family val="2"/>
      </rPr>
      <t xml:space="preserve">
</t>
    </r>
  </si>
  <si>
    <r>
      <t xml:space="preserve">05/1514 DA
132005.1514
</t>
    </r>
    <r>
      <rPr>
        <sz val="8"/>
        <color rgb="FF0000FF"/>
        <rFont val="Arial"/>
        <family val="2"/>
      </rPr>
      <t xml:space="preserve">(Ext: 132005.1514.03)
</t>
    </r>
  </si>
  <si>
    <r>
      <t xml:space="preserve">05/1516 DA
132005.1516
</t>
    </r>
    <r>
      <rPr>
        <sz val="8"/>
        <color rgb="FF0000FF"/>
        <rFont val="Arial"/>
        <family val="2"/>
      </rPr>
      <t xml:space="preserve">(Ext: 132005.1516.02)
</t>
    </r>
  </si>
  <si>
    <r>
      <t xml:space="preserve"> 23686 DA 152004.240011
</t>
    </r>
    <r>
      <rPr>
        <sz val="8"/>
        <rFont val="Arial"/>
        <family val="2"/>
      </rPr>
      <t>(Ext:</t>
    </r>
    <r>
      <rPr>
        <b/>
        <sz val="8"/>
        <rFont val="Arial"/>
        <family val="2"/>
      </rPr>
      <t xml:space="preserve"> </t>
    </r>
    <r>
      <rPr>
        <sz val="8"/>
        <color rgb="FF0000FF"/>
        <rFont val="Arial"/>
        <family val="2"/>
      </rPr>
      <t>152004.240011.1)</t>
    </r>
  </si>
  <si>
    <r>
      <t xml:space="preserve">23689 DA
</t>
    </r>
    <r>
      <rPr>
        <b/>
        <sz val="8"/>
        <color rgb="FF0000FF"/>
        <rFont val="Arial"/>
        <family val="2"/>
      </rPr>
      <t>(132004.240018.5)</t>
    </r>
  </si>
  <si>
    <r>
      <t xml:space="preserve">05/2123 (DA)
132005.2123
</t>
    </r>
    <r>
      <rPr>
        <sz val="8"/>
        <color rgb="FF0000FF"/>
        <rFont val="Arial"/>
        <family val="2"/>
      </rPr>
      <t>(Ext: 132005.2123.04)</t>
    </r>
  </si>
  <si>
    <r>
      <t xml:space="preserve">06/2243
152006.2243
</t>
    </r>
    <r>
      <rPr>
        <sz val="8"/>
        <color rgb="FF0000FF"/>
        <rFont val="Arial"/>
        <family val="2"/>
      </rPr>
      <t>(Ext: 152006.2243.02)</t>
    </r>
  </si>
  <si>
    <r>
      <t xml:space="preserve">07/2559
152007.2559
</t>
    </r>
    <r>
      <rPr>
        <sz val="8"/>
        <color rgb="FF0000FF"/>
        <rFont val="Arial"/>
        <family val="2"/>
      </rPr>
      <t>(Ext: 152007.2559.05)</t>
    </r>
  </si>
  <si>
    <r>
      <t xml:space="preserve">06/1382 (DA)
132006.1382
</t>
    </r>
    <r>
      <rPr>
        <sz val="8"/>
        <color rgb="FF0000FF"/>
        <rFont val="Arial"/>
        <family val="2"/>
      </rPr>
      <t>(Ext: 132006.1382.01)</t>
    </r>
  </si>
  <si>
    <r>
      <t xml:space="preserve">08/1170 (DA)
</t>
    </r>
    <r>
      <rPr>
        <sz val="8"/>
        <color rgb="FF0000FF"/>
        <rFont val="Arial"/>
        <family val="2"/>
      </rPr>
      <t xml:space="preserve">(Ext: 152008.1170.01)
</t>
    </r>
  </si>
  <si>
    <r>
      <t xml:space="preserve">10/0811 (DA)
132010.811
</t>
    </r>
    <r>
      <rPr>
        <sz val="8"/>
        <color rgb="FF0000FF"/>
        <rFont val="Arial"/>
        <family val="2"/>
      </rPr>
      <t xml:space="preserve">(Ext: 132010.811.02)
</t>
    </r>
  </si>
  <si>
    <r>
      <t xml:space="preserve">10/0812 (DA)
132010.812
</t>
    </r>
    <r>
      <rPr>
        <sz val="8"/>
        <color rgb="FF0000FF"/>
        <rFont val="Arial"/>
        <family val="2"/>
      </rPr>
      <t>(Ext:</t>
    </r>
    <r>
      <rPr>
        <b/>
        <sz val="8"/>
        <rFont val="Arial"/>
        <family val="2"/>
      </rPr>
      <t xml:space="preserve"> 
</t>
    </r>
    <r>
      <rPr>
        <sz val="8"/>
        <color rgb="FF0000FF"/>
        <rFont val="Arial"/>
        <family val="2"/>
      </rPr>
      <t xml:space="preserve">132010.812.02)
</t>
    </r>
  </si>
  <si>
    <r>
      <t xml:space="preserve">10/0659 (DA)
132010.659
</t>
    </r>
    <r>
      <rPr>
        <sz val="8"/>
        <rFont val="Arial"/>
        <family val="2"/>
      </rPr>
      <t>(</t>
    </r>
    <r>
      <rPr>
        <sz val="8"/>
        <color rgb="FF0000FF"/>
        <rFont val="Arial"/>
        <family val="2"/>
      </rPr>
      <t>Extn: 132010.659.02)</t>
    </r>
  </si>
  <si>
    <r>
      <t xml:space="preserve">09/1460 DA
132009.1460
</t>
    </r>
    <r>
      <rPr>
        <sz val="8"/>
        <color rgb="FF0000FF"/>
        <rFont val="Arial"/>
        <family val="2"/>
      </rPr>
      <t>(Ext: 132009.1460.01)</t>
    </r>
  </si>
  <si>
    <t>Dec-13
IA Missing 
Public Transport</t>
  </si>
  <si>
    <t>Jun-14
IA Missing 
Public Transport</t>
  </si>
  <si>
    <t>MCU14/0074</t>
  </si>
  <si>
    <t>21 SP 226613</t>
  </si>
  <si>
    <t>Sweetapple Cumpston Family Trust
C/- Noosa Town Planning</t>
  </si>
  <si>
    <t>42 Gympie Street
TEWANTIN QLD 4565</t>
  </si>
  <si>
    <t>Visitor Accommodation Type 3 - Rural - 6 x 1 Bedroom Cabins</t>
  </si>
  <si>
    <t>1 x Vacant Residential Lot 
NOTE: no credit given as the cabin development are in additional to a house that can also be built as of right</t>
  </si>
  <si>
    <t>AICN.N1019 issued on BA PC14/0422 for missing Stormwater &amp; PT networks</t>
  </si>
  <si>
    <t>AICN.N1018 issued on BA PC14/0421 for missing Stormwater &amp; PT networks</t>
  </si>
  <si>
    <r>
      <t xml:space="preserve">1 Kauri Street  COOROY  4563
</t>
    </r>
    <r>
      <rPr>
        <sz val="8"/>
        <color rgb="FF0000FF"/>
        <rFont val="Arial"/>
        <family val="2"/>
      </rPr>
      <t>(Now 3C Kauri St)</t>
    </r>
  </si>
  <si>
    <r>
      <t xml:space="preserve">1 Kauri Street  COOROY  4563
</t>
    </r>
    <r>
      <rPr>
        <sz val="8"/>
        <color rgb="FF0000FF"/>
        <rFont val="Arial"/>
        <family val="2"/>
      </rPr>
      <t>(Now 3D Kauri St)</t>
    </r>
  </si>
  <si>
    <r>
      <t xml:space="preserve">16/09/2014
</t>
    </r>
    <r>
      <rPr>
        <sz val="8"/>
        <color rgb="FF0000FF"/>
        <rFont val="Arial"/>
        <family val="2"/>
      </rPr>
      <t>(will not lapse)</t>
    </r>
  </si>
  <si>
    <t>MCU14/0069</t>
  </si>
  <si>
    <t>JHC Group
C/- Max Watterson &amp; Associates</t>
  </si>
  <si>
    <t xml:space="preserve">PO Box 639
COOROY QLD 4563
</t>
  </si>
  <si>
    <t>902 C 56011</t>
  </si>
  <si>
    <t>17 Garnet Street
COOROY</t>
  </si>
  <si>
    <t>Multiple Housing Type 4 (3 Units - 2 x 2 BR + 1 x 3 BR)</t>
  </si>
  <si>
    <r>
      <t xml:space="preserve">Staged Payment
</t>
    </r>
    <r>
      <rPr>
        <sz val="8"/>
        <color rgb="FF0000FF"/>
        <rFont val="Arial"/>
        <family val="2"/>
      </rPr>
      <t xml:space="preserve">No. 1 (SCC)
</t>
    </r>
    <r>
      <rPr>
        <b/>
        <sz val="9"/>
        <color rgb="FFFF0000"/>
        <rFont val="Arial"/>
        <family val="2"/>
      </rPr>
      <t>No 2 Paid DD to SCC &amp; transferred to Noosa</t>
    </r>
  </si>
  <si>
    <r>
      <rPr>
        <b/>
        <sz val="8"/>
        <color rgb="FF0000FF"/>
        <rFont val="Arial"/>
        <family val="2"/>
      </rPr>
      <t>Staged Payment</t>
    </r>
    <r>
      <rPr>
        <sz val="8"/>
        <color rgb="FF0000FF"/>
        <rFont val="Arial"/>
        <family val="2"/>
      </rPr>
      <t xml:space="preserve">
Pmt 1 (SCC)
</t>
    </r>
    <r>
      <rPr>
        <b/>
        <sz val="9"/>
        <color rgb="FFFF0000"/>
        <rFont val="Arial"/>
        <family val="2"/>
      </rPr>
      <t>No 2 Paid DD to SCC &amp; transferred to Noosa</t>
    </r>
  </si>
  <si>
    <r>
      <t xml:space="preserve">
1105531 = $22,000
</t>
    </r>
    <r>
      <rPr>
        <sz val="8"/>
        <color rgb="FFFF0000"/>
        <rFont val="Arial"/>
        <family val="2"/>
      </rPr>
      <t xml:space="preserve">DD to SCRC = $18,409
</t>
    </r>
    <r>
      <rPr>
        <b/>
        <sz val="8"/>
        <color rgb="FFFF0000"/>
        <rFont val="Arial"/>
        <family val="2"/>
      </rPr>
      <t>1156455 Tfr to Nsa</t>
    </r>
    <r>
      <rPr>
        <sz val="8"/>
        <color rgb="FF0000FF"/>
        <rFont val="Arial"/>
        <family val="2"/>
      </rPr>
      <t xml:space="preserve">
</t>
    </r>
  </si>
  <si>
    <r>
      <t xml:space="preserve">
31/07/2013
</t>
    </r>
    <r>
      <rPr>
        <sz val="8"/>
        <color rgb="FFFF0000"/>
        <rFont val="Arial"/>
        <family val="2"/>
      </rPr>
      <t xml:space="preserve">9/01/2014
</t>
    </r>
    <r>
      <rPr>
        <b/>
        <sz val="8"/>
        <color rgb="FFFF0000"/>
        <rFont val="Arial"/>
        <family val="2"/>
      </rPr>
      <t>8/10/2014</t>
    </r>
    <r>
      <rPr>
        <sz val="8"/>
        <color rgb="FFFF0000"/>
        <rFont val="Arial"/>
        <family val="2"/>
      </rPr>
      <t xml:space="preserve">
</t>
    </r>
    <r>
      <rPr>
        <sz val="8"/>
        <color rgb="FF0000FF"/>
        <rFont val="Arial"/>
        <family val="2"/>
      </rPr>
      <t xml:space="preserve">
</t>
    </r>
  </si>
  <si>
    <r>
      <t xml:space="preserve">
2/09/2013
</t>
    </r>
    <r>
      <rPr>
        <sz val="8"/>
        <color rgb="FFFF0000"/>
        <rFont val="Arial"/>
        <family val="2"/>
      </rPr>
      <t xml:space="preserve">9/01/2014
</t>
    </r>
    <r>
      <rPr>
        <b/>
        <sz val="8"/>
        <color rgb="FFFF0000"/>
        <rFont val="Arial"/>
        <family val="2"/>
      </rPr>
      <t>8/10/2014</t>
    </r>
  </si>
  <si>
    <r>
      <t xml:space="preserve">
1119517 = $815
</t>
    </r>
    <r>
      <rPr>
        <sz val="8"/>
        <color rgb="FFFF0000"/>
        <rFont val="Arial"/>
        <family val="2"/>
      </rPr>
      <t xml:space="preserve">DD to SCC = $657
</t>
    </r>
    <r>
      <rPr>
        <b/>
        <sz val="8"/>
        <color rgb="FFFF0000"/>
        <rFont val="Arial"/>
        <family val="2"/>
      </rPr>
      <t>1156456 Tfr to Nsa</t>
    </r>
  </si>
  <si>
    <t>November 2014
Total =</t>
  </si>
  <si>
    <r>
      <t xml:space="preserve">Part Paymt 1 </t>
    </r>
    <r>
      <rPr>
        <sz val="10"/>
        <color rgb="FF0000FF"/>
        <rFont val="Arial"/>
        <family val="2"/>
      </rPr>
      <t xml:space="preserve">$5,000 Trans
</t>
    </r>
    <r>
      <rPr>
        <b/>
        <sz val="10"/>
        <color rgb="FF0000FF"/>
        <rFont val="Arial"/>
        <family val="2"/>
      </rPr>
      <t>Bal Paymt 2</t>
    </r>
    <r>
      <rPr>
        <sz val="10"/>
        <color rgb="FF0000FF"/>
        <rFont val="Arial"/>
        <family val="2"/>
      </rPr>
      <t xml:space="preserve">
$12,498 </t>
    </r>
  </si>
  <si>
    <t xml:space="preserve">7/11/2014
12/11/2014
</t>
  </si>
  <si>
    <t>1157730
1157862</t>
  </si>
  <si>
    <r>
      <t xml:space="preserve">Issue details exported from SCRC AICR
</t>
    </r>
    <r>
      <rPr>
        <sz val="10"/>
        <color rgb="FFFF0000"/>
        <rFont val="Arial"/>
        <family val="2"/>
      </rPr>
      <t>Part Payment 1 = $5,000 to Transport  
Bal Payment 2 = $12,498 to remaining.</t>
    </r>
  </si>
  <si>
    <r>
      <t xml:space="preserve">10
</t>
    </r>
    <r>
      <rPr>
        <sz val="10"/>
        <color rgb="FF0000FF"/>
        <rFont val="Arial"/>
        <family val="2"/>
      </rPr>
      <t>Part Payment 1
Part Payment 2 Final</t>
    </r>
  </si>
  <si>
    <t>November 2014 Total =</t>
  </si>
  <si>
    <t>Int to 14/11/2014</t>
  </si>
  <si>
    <t>20/11/20014</t>
  </si>
  <si>
    <t>MCU14/0067</t>
  </si>
  <si>
    <t xml:space="preserve">Logan Superannuation Fund
C/- KHA Development Managers
</t>
  </si>
  <si>
    <t xml:space="preserve">PO Box  6380
MAROOCHYDORE BC  QLD  4558
</t>
  </si>
  <si>
    <t>2 SP 244573</t>
  </si>
  <si>
    <t>77 Rene Street
NOOSAVILLE</t>
  </si>
  <si>
    <t>Industry - 1 x Vacant Lot
Stormwater not charged on lot reconfig</t>
  </si>
  <si>
    <t>MCU14/0049</t>
  </si>
  <si>
    <t xml:space="preserve">Sharpe Enterprises Pty Ltd TTE
</t>
  </si>
  <si>
    <t>64-66 Rene Street
NOOSAVILLE QLD 4566</t>
  </si>
  <si>
    <t>280 SP 104321</t>
  </si>
  <si>
    <t>64-66 Rene Street 
NOOSAVILLE</t>
  </si>
  <si>
    <t>Industry Type 1 – Warehouse (Self Storage Facility) = 3,463m2 gfa
+ 3,550 m2 Impervious</t>
  </si>
  <si>
    <t>Warehouse / Timber Yard = 1,455m2 gfa
+ 2,800 m2 Impervious area</t>
  </si>
  <si>
    <r>
      <t xml:space="preserve">315
</t>
    </r>
    <r>
      <rPr>
        <sz val="10"/>
        <color rgb="FFFF0000"/>
        <rFont val="Arial"/>
        <family val="2"/>
      </rPr>
      <t>COMPOUND INTEREST commenced 31/05/2014</t>
    </r>
  </si>
  <si>
    <r>
      <t xml:space="preserve">Issue details exported from SCRC AICR
</t>
    </r>
    <r>
      <rPr>
        <sz val="10"/>
        <color rgb="FFFF0000"/>
        <rFont val="Arial"/>
        <family val="2"/>
      </rPr>
      <t>Inc Interest @ 14/11/2014</t>
    </r>
  </si>
  <si>
    <r>
      <t xml:space="preserve">Bld I on Lot 9
</t>
    </r>
    <r>
      <rPr>
        <sz val="8"/>
        <color rgb="FF0000FF"/>
        <rFont val="Arial"/>
        <family val="2"/>
      </rPr>
      <t>PC12/2025 = AICN 315 for missing Stormwater issued also due</t>
    </r>
    <r>
      <rPr>
        <sz val="8"/>
        <rFont val="Arial"/>
        <family val="2"/>
      </rPr>
      <t xml:space="preserve">
</t>
    </r>
    <r>
      <rPr>
        <sz val="8"/>
        <color rgb="FFFF0000"/>
        <rFont val="Arial"/>
        <family val="2"/>
      </rPr>
      <t>USE Commenced via visual inspection 30/10/2013
COMPOUND INTEREST COMMENCED 31/05/14</t>
    </r>
  </si>
  <si>
    <t>MCU14/0082</t>
  </si>
  <si>
    <t xml:space="preserve">Noosa Men's Shed
</t>
  </si>
  <si>
    <t xml:space="preserve">PO Box 964
TEWANTIN QLD 4565
</t>
  </si>
  <si>
    <t>17 SP 239726</t>
  </si>
  <si>
    <t xml:space="preserve">Sewerage Treatment Plant Wallum Lane NOOSA HEADS  </t>
  </si>
  <si>
    <t>Wellbeing Type 2 Social (Noosa Men’s Shed) = total of 210 m2 GFA + 130 m2 impervious</t>
  </si>
  <si>
    <t>Service &amp; Utility – Type 4 Treatment, Recycling &amp; Disposal = total of 80 m2</t>
  </si>
  <si>
    <r>
      <t>Kawana Building Approvals 
Permit No: 09-260
Received: 27/7/09</t>
    </r>
    <r>
      <rPr>
        <sz val="8"/>
        <rFont val="Arial"/>
        <family val="2"/>
      </rPr>
      <t xml:space="preserve">
</t>
    </r>
    <r>
      <rPr>
        <b/>
        <sz val="8"/>
        <color rgb="FFFF0000"/>
        <rFont val="Arial"/>
        <family val="2"/>
      </rPr>
      <t xml:space="preserve">USE COMMENCED COMPOUND INTEREST COMMENCED 15/06/2013 </t>
    </r>
  </si>
  <si>
    <t>Interest to 31 Dec 2014</t>
  </si>
  <si>
    <t>December 2014 Total =</t>
  </si>
  <si>
    <t>MCU13/0153.01</t>
  </si>
  <si>
    <t>Additional 1,770 m2 Impervious Area
(No change to GFA Use)</t>
  </si>
  <si>
    <t>Not applicable as additional area only considered</t>
  </si>
  <si>
    <t>Lot 1 RP 222164</t>
  </si>
  <si>
    <t>148 Eumundi Noosa Rd NOOSAVILLE</t>
  </si>
  <si>
    <t>GP &amp; LP Propoerties Pty Ltd</t>
  </si>
  <si>
    <r>
      <t xml:space="preserve">08/0176 (DA)
</t>
    </r>
    <r>
      <rPr>
        <sz val="8"/>
        <rFont val="Arial"/>
        <family val="2"/>
      </rPr>
      <t>132008.176.02</t>
    </r>
  </si>
  <si>
    <r>
      <t xml:space="preserve">Paid Noosa
</t>
    </r>
    <r>
      <rPr>
        <sz val="8"/>
        <color rgb="FF0000FF"/>
        <rFont val="Arial"/>
        <family val="2"/>
      </rPr>
      <t>Koala Offset Contribution only</t>
    </r>
  </si>
  <si>
    <r>
      <rPr>
        <sz val="8"/>
        <rFont val="Arial"/>
        <family val="2"/>
      </rPr>
      <t>Appeal No 190/2013 
re additional Condition 106. 
Court Judgement approved 6/12/2013</t>
    </r>
    <r>
      <rPr>
        <sz val="8"/>
        <color rgb="FFFF0000"/>
        <rFont val="Arial"/>
        <family val="2"/>
      </rPr>
      <t xml:space="preserve">
</t>
    </r>
    <r>
      <rPr>
        <b/>
        <sz val="8"/>
        <color rgb="FFFF0000"/>
        <rFont val="Arial"/>
        <family val="2"/>
      </rPr>
      <t xml:space="preserve">
</t>
    </r>
    <r>
      <rPr>
        <b/>
        <sz val="8"/>
        <color rgb="FF0000FF"/>
        <rFont val="Arial"/>
        <family val="2"/>
      </rPr>
      <t>PAYMENT OF Koala Offest Contribution Only</t>
    </r>
  </si>
  <si>
    <r>
      <t xml:space="preserve">06/0268 (DA)
</t>
    </r>
    <r>
      <rPr>
        <sz val="8"/>
        <rFont val="Arial"/>
        <family val="2"/>
      </rPr>
      <t>132006.268.02</t>
    </r>
  </si>
  <si>
    <t>c/- Martoo Consulting Pty Ltd
PO Box 1684
Noosa Heads, QLD 4567</t>
  </si>
  <si>
    <t>Lot 73, 74 &amp; 83 RP 71151</t>
  </si>
  <si>
    <t xml:space="preserve">75, 77 &amp; 73 Eumundi Noosa Rd NOOSAVILLE </t>
  </si>
  <si>
    <t>When Council approves the plan of subdivision for the reconfiguration</t>
  </si>
  <si>
    <t>REC14/0015</t>
  </si>
  <si>
    <t>4 x Residential House Lots</t>
  </si>
  <si>
    <t>3 x Residential House Lots</t>
  </si>
  <si>
    <t>December 2014
Total =</t>
  </si>
  <si>
    <t>MCU14/0095</t>
  </si>
  <si>
    <t>PO Box 141
TEWANTIN QLD 4565</t>
  </si>
  <si>
    <t>268 SP 132627</t>
  </si>
  <si>
    <t>14 Earl Street 
TEWANTIN</t>
  </si>
  <si>
    <t>Wellbeing – Type 2 Social (154m2 GFA), Impervious Area = 365m2</t>
  </si>
  <si>
    <r>
      <rPr>
        <b/>
        <strike/>
        <sz val="10"/>
        <rFont val="Arial"/>
        <family val="2"/>
      </rPr>
      <t>0</t>
    </r>
    <r>
      <rPr>
        <b/>
        <sz val="10"/>
        <rFont val="Arial"/>
        <family val="2"/>
      </rPr>
      <t xml:space="preserve">
1</t>
    </r>
  </si>
  <si>
    <r>
      <rPr>
        <strike/>
        <sz val="10"/>
        <rFont val="Arial"/>
        <family val="2"/>
      </rPr>
      <t>21/11/2014</t>
    </r>
    <r>
      <rPr>
        <sz val="10"/>
        <rFont val="Arial"/>
        <family val="2"/>
      </rPr>
      <t xml:space="preserve">
17/12/2014</t>
    </r>
  </si>
  <si>
    <r>
      <t xml:space="preserve">Industrial Business - Type 1 - Warehouse (Self Storage) - 3,770m2
Non-Res Stormwater = 3,640m2 + 500m2 (not included in lot reconfig) = </t>
    </r>
    <r>
      <rPr>
        <strike/>
        <sz val="10"/>
        <rFont val="Arial"/>
        <family val="2"/>
      </rPr>
      <t>4,140</t>
    </r>
    <r>
      <rPr>
        <sz val="10"/>
        <rFont val="Arial"/>
        <family val="2"/>
      </rPr>
      <t xml:space="preserve"> 3,601 m2 impervious area</t>
    </r>
  </si>
  <si>
    <t>2 SP 218728</t>
  </si>
  <si>
    <t>1/13 Garnet Street  COOROY  QLD  4564</t>
  </si>
  <si>
    <t>3 SP 218728</t>
  </si>
  <si>
    <t>1/13 Garnet Street  COOROY  QLD  4565</t>
  </si>
  <si>
    <t>4 SP 218728</t>
  </si>
  <si>
    <t>1/13 Garnet Street  COOROY  QLD  4566</t>
  </si>
  <si>
    <t>CARE Martoo Consulting Pty Ltd PO Box 1684 NOOSA HEADS  QLD  4571</t>
  </si>
  <si>
    <t>5 SP 218728</t>
  </si>
  <si>
    <t>1/13 Garnet Street  COOROY  QLD  4567</t>
  </si>
  <si>
    <t>Paid NSA 
Stg Pmt 1</t>
  </si>
  <si>
    <t>Sept 2014
Stg Pmt 1</t>
  </si>
  <si>
    <t>Sept 2014
Completed 100%</t>
  </si>
  <si>
    <r>
      <t xml:space="preserve">08/1972 (DA)
</t>
    </r>
    <r>
      <rPr>
        <b/>
        <sz val="8"/>
        <color rgb="FF0000FF"/>
        <rFont val="Arial"/>
        <family val="2"/>
      </rPr>
      <t>132008.1972</t>
    </r>
  </si>
  <si>
    <t>Stg Pmt 1 Sept-14
(Total = $5,540  Sept-08)</t>
  </si>
  <si>
    <t xml:space="preserve">Dr Thomas Klein
</t>
  </si>
  <si>
    <r>
      <rPr>
        <b/>
        <sz val="8"/>
        <color rgb="FF0000FF"/>
        <rFont val="Arial"/>
        <family val="2"/>
      </rPr>
      <t xml:space="preserve">Use Commenced </t>
    </r>
    <r>
      <rPr>
        <sz val="8"/>
        <color rgb="FF0000FF"/>
        <rFont val="Arial"/>
        <family val="2"/>
      </rPr>
      <t xml:space="preserve">Outstanding Ltr Issued
Staged Payment Agreement
</t>
    </r>
    <r>
      <rPr>
        <b/>
        <sz val="10"/>
        <color rgb="FF0000FF"/>
        <rFont val="Arial"/>
        <family val="2"/>
      </rPr>
      <t>Stage Payment No. 1</t>
    </r>
  </si>
  <si>
    <r>
      <t xml:space="preserve">N/A
</t>
    </r>
    <r>
      <rPr>
        <b/>
        <sz val="8"/>
        <color rgb="FF0000FF"/>
        <rFont val="Arial"/>
        <family val="2"/>
      </rPr>
      <t>IA No. 48
 6/12/2015</t>
    </r>
    <r>
      <rPr>
        <sz val="11"/>
        <color theme="1"/>
        <rFont val="Calibri"/>
        <family val="2"/>
        <scheme val="minor"/>
      </rPr>
      <t/>
    </r>
  </si>
  <si>
    <r>
      <t xml:space="preserve">N/A
</t>
    </r>
    <r>
      <rPr>
        <b/>
        <sz val="8"/>
        <color rgb="FF0000FF"/>
        <rFont val="Arial"/>
        <family val="2"/>
      </rPr>
      <t>IA No. 48
 6/12/2014</t>
    </r>
  </si>
  <si>
    <r>
      <rPr>
        <b/>
        <sz val="8"/>
        <color rgb="FF0000FF"/>
        <rFont val="Arial"/>
        <family val="2"/>
      </rPr>
      <t xml:space="preserve">Use Commenced </t>
    </r>
    <r>
      <rPr>
        <sz val="8"/>
        <color rgb="FF0000FF"/>
        <rFont val="Arial"/>
        <family val="2"/>
      </rPr>
      <t xml:space="preserve">Outstanding Ltr Issued
Staged Payment Agreement
</t>
    </r>
    <r>
      <rPr>
        <b/>
        <sz val="10"/>
        <color rgb="FFFF0000"/>
        <rFont val="Arial"/>
        <family val="2"/>
      </rPr>
      <t>Stage Payment No. 3
Due Dec 2015</t>
    </r>
  </si>
  <si>
    <r>
      <rPr>
        <b/>
        <sz val="8"/>
        <color rgb="FF0000FF"/>
        <rFont val="Arial"/>
        <family val="2"/>
      </rPr>
      <t xml:space="preserve">Use Commenced </t>
    </r>
    <r>
      <rPr>
        <sz val="8"/>
        <color rgb="FF0000FF"/>
        <rFont val="Arial"/>
        <family val="2"/>
      </rPr>
      <t xml:space="preserve">Outstanding Ltr Issued
Staged Payment Agreement
</t>
    </r>
    <r>
      <rPr>
        <b/>
        <sz val="10"/>
        <color rgb="FFFF0000"/>
        <rFont val="Arial"/>
        <family val="2"/>
      </rPr>
      <t>Stage Payment No. 4
Due June 2016</t>
    </r>
  </si>
  <si>
    <t>135 MCH 978</t>
  </si>
  <si>
    <t>Pearsons Road 
COOROY</t>
  </si>
  <si>
    <t>25 x New Residential Lots</t>
  </si>
  <si>
    <t>1 existing Non-Residential Community Services Lot = No lot credit available as no existing development on site &amp; no previous payments made to infrastructure</t>
  </si>
  <si>
    <t>5 x New Residential Lots + 1 Balance Residential Lot 10 = 6 Residential Lots</t>
  </si>
  <si>
    <t>1 existing Residential Lot = Balance Lot 16 of REC13/0146</t>
  </si>
  <si>
    <r>
      <t xml:space="preserve">$3,036 @ Mar 2010
</t>
    </r>
    <r>
      <rPr>
        <b/>
        <sz val="8"/>
        <color rgb="FF0000FF"/>
        <rFont val="Arial"/>
        <family val="2"/>
      </rPr>
      <t xml:space="preserve">Staged Payments = $3,440 (incl 7% int &amp; not cpi)
</t>
    </r>
    <r>
      <rPr>
        <sz val="8"/>
        <color rgb="FF0000FF"/>
        <rFont val="Arial"/>
        <family val="2"/>
      </rPr>
      <t xml:space="preserve">Pmt1=$815 Paid SCC
Pmt2=$657 Paid SCC </t>
    </r>
    <r>
      <rPr>
        <sz val="8"/>
        <color rgb="FFFF0000"/>
        <rFont val="Arial"/>
        <family val="2"/>
      </rPr>
      <t>(To tfr Noosa)</t>
    </r>
    <r>
      <rPr>
        <sz val="8"/>
        <color rgb="FF0000FF"/>
        <rFont val="Arial"/>
        <family val="2"/>
      </rPr>
      <t xml:space="preserve">
Pmt3=$664 Paid Noosa
Pmt4=$633 Paid Noosa
</t>
    </r>
    <r>
      <rPr>
        <b/>
        <sz val="8"/>
        <color rgb="FFFF0000"/>
        <rFont val="Arial"/>
        <family val="2"/>
      </rPr>
      <t>Balance To Pay</t>
    </r>
    <r>
      <rPr>
        <sz val="8"/>
        <color rgb="FFFF0000"/>
        <rFont val="Arial"/>
        <family val="2"/>
      </rPr>
      <t xml:space="preserve">
Pmt5=$671</t>
    </r>
  </si>
  <si>
    <r>
      <rPr>
        <b/>
        <sz val="8"/>
        <color rgb="FF0000FF"/>
        <rFont val="Arial"/>
        <family val="2"/>
      </rPr>
      <t>Staged Payment</t>
    </r>
    <r>
      <rPr>
        <sz val="8"/>
        <color rgb="FF0000FF"/>
        <rFont val="Arial"/>
        <family val="2"/>
      </rPr>
      <t xml:space="preserve">
Pmt 1 (SCC)
No 2 Paid DD to SCC &amp; transferred to Noosa July 2014
Pmt 3 Noosa
</t>
    </r>
    <r>
      <rPr>
        <b/>
        <sz val="8"/>
        <color rgb="FF0000FF"/>
        <rFont val="Arial"/>
        <family val="2"/>
      </rPr>
      <t>PMT 4 Noosa</t>
    </r>
  </si>
  <si>
    <t>Staged Pmt Agmt
Pmt 4 = $633</t>
  </si>
  <si>
    <r>
      <t xml:space="preserve">
2/09/2013
9/01/2014
8/10/2014
30/06/2014
</t>
    </r>
    <r>
      <rPr>
        <b/>
        <sz val="8"/>
        <color rgb="FF0000FF"/>
        <rFont val="Arial"/>
        <family val="2"/>
      </rPr>
      <t>22/12/2014</t>
    </r>
  </si>
  <si>
    <r>
      <t xml:space="preserve">
1119517 = $815
DD to SCC = $657
1156456 Tfr to Nsa
1149895
</t>
    </r>
    <r>
      <rPr>
        <b/>
        <sz val="8"/>
        <color rgb="FF0000FF"/>
        <rFont val="Arial"/>
        <family val="2"/>
      </rPr>
      <t xml:space="preserve">1159108  </t>
    </r>
  </si>
  <si>
    <r>
      <t xml:space="preserve">$3,036 @ Mar 2010
</t>
    </r>
    <r>
      <rPr>
        <b/>
        <sz val="8"/>
        <color rgb="FF0000FF"/>
        <rFont val="Arial"/>
        <family val="2"/>
      </rPr>
      <t xml:space="preserve">Staged Payments = $3,440 (incl 7% int &amp; not cpi)
</t>
    </r>
    <r>
      <rPr>
        <sz val="8"/>
        <color rgb="FF0000FF"/>
        <rFont val="Arial"/>
        <family val="2"/>
      </rPr>
      <t xml:space="preserve">Pmt1=$815 Paid SCC
Pmt2=$657 Paid SCC </t>
    </r>
    <r>
      <rPr>
        <sz val="8"/>
        <color rgb="FFFF0000"/>
        <rFont val="Arial"/>
        <family val="2"/>
      </rPr>
      <t>(To tfr Noosa)</t>
    </r>
    <r>
      <rPr>
        <sz val="8"/>
        <color rgb="FF0000FF"/>
        <rFont val="Arial"/>
        <family val="2"/>
      </rPr>
      <t xml:space="preserve">
Pmt3=$664 Paid Noosa
</t>
    </r>
    <r>
      <rPr>
        <b/>
        <sz val="8"/>
        <color rgb="FF0000FF"/>
        <rFont val="Arial"/>
        <family val="2"/>
      </rPr>
      <t>Pmt4=$633 Paid Noosa</t>
    </r>
    <r>
      <rPr>
        <sz val="8"/>
        <color rgb="FF0000FF"/>
        <rFont val="Arial"/>
        <family val="2"/>
      </rPr>
      <t xml:space="preserve">
</t>
    </r>
    <r>
      <rPr>
        <b/>
        <sz val="8"/>
        <color rgb="FFFF0000"/>
        <rFont val="Arial"/>
        <family val="2"/>
      </rPr>
      <t/>
    </r>
  </si>
  <si>
    <r>
      <t xml:space="preserve">Country &amp; Coastal Certifiers
Received: 16/6/2010
Permit No: 2010/BLDA/00651
</t>
    </r>
    <r>
      <rPr>
        <sz val="8"/>
        <color rgb="FFFF0000"/>
        <rFont val="Arial"/>
        <family val="2"/>
      </rPr>
      <t>USE COMMENCED IC OUTSTANDING Due Aug 2013</t>
    </r>
    <r>
      <rPr>
        <b/>
        <sz val="8"/>
        <color rgb="FF0000FF"/>
        <rFont val="Arial"/>
        <family val="2"/>
      </rPr>
      <t xml:space="preserve">
STAGED PAYMENT AGREEMENT
</t>
    </r>
    <r>
      <rPr>
        <sz val="8"/>
        <color rgb="FF0000FF"/>
        <rFont val="Arial"/>
        <family val="2"/>
      </rPr>
      <t xml:space="preserve">Pmt 1 = $815 Paid SCC
Pmt 2 = $657 Paid DD to SCC &amp; transferred to NSC
Pmt 3 = $664 Paid Noosa
</t>
    </r>
    <r>
      <rPr>
        <b/>
        <sz val="8"/>
        <color rgb="FF0000FF"/>
        <rFont val="Arial"/>
        <family val="2"/>
      </rPr>
      <t xml:space="preserve">Pmt 4 = $633 Paid Noosa
</t>
    </r>
  </si>
  <si>
    <r>
      <t xml:space="preserve">20100451 BA
112010.451
</t>
    </r>
    <r>
      <rPr>
        <b/>
        <sz val="8"/>
        <color rgb="FF0000FF"/>
        <rFont val="Arial"/>
        <family val="2"/>
      </rPr>
      <t>STG PMT 4</t>
    </r>
  </si>
  <si>
    <t xml:space="preserve">Staged Pmt Agmt
Pmt 5 = </t>
  </si>
  <si>
    <t>STAGE 2</t>
  </si>
  <si>
    <t>STAGE 3</t>
  </si>
  <si>
    <r>
      <t xml:space="preserve">05/0220 (DA)
</t>
    </r>
    <r>
      <rPr>
        <b/>
        <sz val="8"/>
        <color rgb="FF0000FF"/>
        <rFont val="Arial"/>
        <family val="2"/>
      </rPr>
      <t>132005.220.04</t>
    </r>
  </si>
  <si>
    <r>
      <rPr>
        <strike/>
        <sz val="8"/>
        <rFont val="Arial"/>
        <family val="2"/>
      </rPr>
      <t>Sunshine Coast Regional Council - Tewantin Office</t>
    </r>
    <r>
      <rPr>
        <sz val="8"/>
        <rFont val="Arial"/>
        <family val="2"/>
      </rPr>
      <t xml:space="preserve">
</t>
    </r>
    <r>
      <rPr>
        <sz val="8"/>
        <color rgb="FF0000FF"/>
        <rFont val="Arial"/>
        <family val="2"/>
      </rPr>
      <t>Noosa Council</t>
    </r>
  </si>
  <si>
    <r>
      <rPr>
        <strike/>
        <sz val="8"/>
        <rFont val="Arial"/>
        <family val="2"/>
      </rPr>
      <t>CARE Murray &amp; Associates (Qld) Pty Ltd                  PO Box 246 NAMBOUR  QLD  4560</t>
    </r>
    <r>
      <rPr>
        <sz val="8"/>
        <rFont val="Arial"/>
        <family val="2"/>
      </rPr>
      <t xml:space="preserve">
</t>
    </r>
    <r>
      <rPr>
        <sz val="8"/>
        <color rgb="FF0000FF"/>
        <rFont val="Arial"/>
        <family val="2"/>
      </rPr>
      <t>PO Box 141
TEWANTIN  QLD  4565</t>
    </r>
    <r>
      <rPr>
        <sz val="8"/>
        <rFont val="Arial"/>
        <family val="2"/>
      </rPr>
      <t xml:space="preserve">
</t>
    </r>
  </si>
  <si>
    <r>
      <t>8/10/2009</t>
    </r>
    <r>
      <rPr>
        <sz val="8"/>
        <rFont val="Arial"/>
        <family val="2"/>
      </rPr>
      <t xml:space="preserve">
</t>
    </r>
    <r>
      <rPr>
        <strike/>
        <sz val="8"/>
        <rFont val="Arial"/>
        <family val="2"/>
      </rPr>
      <t>18/1/2010</t>
    </r>
    <r>
      <rPr>
        <sz val="8"/>
        <rFont val="Arial"/>
        <family val="2"/>
      </rPr>
      <t xml:space="preserve">
</t>
    </r>
    <r>
      <rPr>
        <strike/>
        <sz val="8"/>
        <rFont val="Arial"/>
        <family val="2"/>
      </rPr>
      <t>8/10/2013</t>
    </r>
    <r>
      <rPr>
        <sz val="8"/>
        <rFont val="Arial"/>
        <family val="2"/>
      </rPr>
      <t xml:space="preserve">
22/12/2014</t>
    </r>
  </si>
  <si>
    <r>
      <t xml:space="preserve">MCU &amp; REC
</t>
    </r>
    <r>
      <rPr>
        <b/>
        <sz val="8"/>
        <color rgb="FF0000FF"/>
        <rFont val="Arial"/>
        <family val="2"/>
      </rPr>
      <t>(STAGE 1)</t>
    </r>
  </si>
  <si>
    <r>
      <t xml:space="preserve">MCU &amp; REC
</t>
    </r>
    <r>
      <rPr>
        <b/>
        <sz val="8"/>
        <color rgb="FF0000FF"/>
        <rFont val="Arial"/>
        <family val="2"/>
      </rPr>
      <t>(STAGE 3)</t>
    </r>
  </si>
  <si>
    <r>
      <t xml:space="preserve">MCU &amp; REC
</t>
    </r>
    <r>
      <rPr>
        <b/>
        <sz val="8"/>
        <color rgb="FF0000FF"/>
        <rFont val="Arial"/>
        <family val="2"/>
      </rPr>
      <t>(STAGE 2)</t>
    </r>
  </si>
  <si>
    <r>
      <rPr>
        <b/>
        <sz val="8"/>
        <color rgb="FF0000FF"/>
        <rFont val="Arial"/>
        <family val="2"/>
      </rPr>
      <t>STAGE 1 = 3 x Industrial Lots</t>
    </r>
    <r>
      <rPr>
        <sz val="8"/>
        <rFont val="Arial"/>
        <family val="2"/>
      </rPr>
      <t xml:space="preserve">
W&amp;S Headworks Contributions based on Lot area of </t>
    </r>
    <r>
      <rPr>
        <sz val="8"/>
        <color rgb="FF0000FF"/>
        <rFont val="Arial"/>
        <family val="2"/>
      </rPr>
      <t>5,069</t>
    </r>
    <r>
      <rPr>
        <sz val="8"/>
        <rFont val="Arial"/>
        <family val="2"/>
      </rPr>
      <t xml:space="preserve"> m2 Open Space, Pathway &amp; Roads Contributions based on 40% Site Cover = </t>
    </r>
    <r>
      <rPr>
        <sz val="8"/>
        <color rgb="FF0000FF"/>
        <rFont val="Arial"/>
        <family val="2"/>
      </rPr>
      <t xml:space="preserve">2,028 </t>
    </r>
    <r>
      <rPr>
        <sz val="8"/>
        <rFont val="Arial"/>
        <family val="2"/>
      </rPr>
      <t>m2 gfa</t>
    </r>
  </si>
  <si>
    <t xml:space="preserve">1 Wilgee Court
COOROY </t>
  </si>
  <si>
    <t>4 x New Residential Lots</t>
  </si>
  <si>
    <t>1 existing Residential Lot = Balance Lot 10 of REC14/0008</t>
  </si>
  <si>
    <t>Part-Payment 1</t>
  </si>
  <si>
    <t>$4,421 Sep-08
Not Paid</t>
  </si>
  <si>
    <t>$2,326 Sep-08
Not Paid</t>
  </si>
  <si>
    <t xml:space="preserve">Int to 31/12/2014 
Part-Paid
Balance Remaining $2,454 </t>
  </si>
  <si>
    <t>$197 @ Sep-08
Paid 23/12/2014</t>
  </si>
  <si>
    <t>$199 @ Sep-08
Paid 23/12/2014</t>
  </si>
  <si>
    <t>$227 @ Sep-08 
Paid 23/12/2014</t>
  </si>
  <si>
    <t>$229 @ Sep-08 
Paid 23/12/2014</t>
  </si>
  <si>
    <t>23/12/2014
30/12/2014</t>
  </si>
  <si>
    <t>1159138
1159200</t>
  </si>
  <si>
    <r>
      <rPr>
        <sz val="8"/>
        <color rgb="FFFF0000"/>
        <rFont val="Arial"/>
        <family val="2"/>
      </rPr>
      <t>USE COMMENCED</t>
    </r>
    <r>
      <rPr>
        <sz val="10"/>
        <color rgb="FF0000FF"/>
        <rFont val="Arial"/>
        <family val="2"/>
      </rPr>
      <t xml:space="preserve">
</t>
    </r>
    <r>
      <rPr>
        <sz val="8"/>
        <color rgb="FFFF0000"/>
        <rFont val="Arial"/>
        <family val="2"/>
      </rPr>
      <t xml:space="preserve">COMPOUND INTEREST COMMENCED 30/09/2013
</t>
    </r>
    <r>
      <rPr>
        <sz val="8"/>
        <color rgb="FF0000FF"/>
        <rFont val="Arial"/>
        <family val="2"/>
      </rPr>
      <t>Part-Payment 1 = 23/12/2014</t>
    </r>
    <r>
      <rPr>
        <b/>
        <sz val="8"/>
        <color rgb="FF0000FF"/>
        <rFont val="Arial"/>
        <family val="2"/>
      </rPr>
      <t xml:space="preserve">
Final Payment 2 = 30/12/2014</t>
    </r>
  </si>
  <si>
    <r>
      <rPr>
        <sz val="8"/>
        <color rgb="FFFF0000"/>
        <rFont val="Arial"/>
        <family val="2"/>
      </rPr>
      <t>USE COMMENCED</t>
    </r>
    <r>
      <rPr>
        <sz val="10"/>
        <color rgb="FF0000FF"/>
        <rFont val="Arial"/>
        <family val="2"/>
      </rPr>
      <t xml:space="preserve">
</t>
    </r>
    <r>
      <rPr>
        <sz val="8"/>
        <color rgb="FFFF0000"/>
        <rFont val="Arial"/>
        <family val="2"/>
      </rPr>
      <t xml:space="preserve">COMPOUND INTEREST COMMENCED 30/09/2013
</t>
    </r>
    <r>
      <rPr>
        <sz val="8"/>
        <color rgb="FF0000FF"/>
        <rFont val="Arial"/>
        <family val="2"/>
      </rPr>
      <t>Part-Payment 1 = 23/12/2014</t>
    </r>
  </si>
  <si>
    <r>
      <rPr>
        <sz val="8"/>
        <color rgb="FF0000FF"/>
        <rFont val="Arial"/>
        <family val="2"/>
      </rPr>
      <t>Part-Payment 1</t>
    </r>
    <r>
      <rPr>
        <b/>
        <sz val="8"/>
        <color rgb="FF0000FF"/>
        <rFont val="Arial"/>
        <family val="2"/>
      </rPr>
      <t xml:space="preserve">
Final Payment 2</t>
    </r>
  </si>
  <si>
    <t>$19,544 Int to 31/12/2014  
Paid 23/12/2014
$2,454 Bal = Paid 30/12/2014</t>
  </si>
  <si>
    <r>
      <rPr>
        <sz val="8"/>
        <rFont val="Arial"/>
        <family val="2"/>
      </rPr>
      <t xml:space="preserve">$17,359   Sep-08
</t>
    </r>
    <r>
      <rPr>
        <sz val="8"/>
        <color rgb="FFFF0000"/>
        <rFont val="Arial"/>
        <family val="2"/>
      </rPr>
      <t xml:space="preserve">COMPOUND INTEREST COMMENCED 30/09/2013
</t>
    </r>
    <r>
      <rPr>
        <sz val="8"/>
        <color rgb="FF0000FF"/>
        <rFont val="Arial"/>
        <family val="2"/>
      </rPr>
      <t xml:space="preserve">Part Paid 1 23/12/2014
</t>
    </r>
    <r>
      <rPr>
        <b/>
        <sz val="8"/>
        <color rgb="FF0000FF"/>
        <rFont val="Arial"/>
        <family val="2"/>
      </rPr>
      <t>Bal = $2,454 @ 31/12/2014</t>
    </r>
  </si>
  <si>
    <r>
      <t xml:space="preserve">$10,511 @Sep 09
</t>
    </r>
    <r>
      <rPr>
        <sz val="8"/>
        <color rgb="FF0000FF"/>
        <rFont val="Arial"/>
        <family val="2"/>
      </rPr>
      <t xml:space="preserve">Staged Payments = $12,084 (incl 7% int &amp; not cpi)
Pmt1=$2,850 Paid SCC
Pmt2=$2,385 Paid SCC </t>
    </r>
    <r>
      <rPr>
        <sz val="8"/>
        <color rgb="FFFF0000"/>
        <rFont val="Arial"/>
        <family val="2"/>
      </rPr>
      <t>(To tfr Noosa)</t>
    </r>
    <r>
      <rPr>
        <sz val="8"/>
        <color rgb="FF0000FF"/>
        <rFont val="Arial"/>
        <family val="2"/>
      </rPr>
      <t xml:space="preserve">
Pmt3=$2,357 Paid NSA
Pmt4=$2,283 Paid NSA
</t>
    </r>
    <r>
      <rPr>
        <b/>
        <sz val="8"/>
        <color rgb="FFFF0000"/>
        <rFont val="Arial"/>
        <family val="2"/>
      </rPr>
      <t>Balance To Pay</t>
    </r>
    <r>
      <rPr>
        <sz val="8"/>
        <color rgb="FFFF0000"/>
        <rFont val="Arial"/>
        <family val="2"/>
      </rPr>
      <t xml:space="preserve">
Pmt5=$2,209</t>
    </r>
  </si>
  <si>
    <r>
      <t xml:space="preserve">$16,455 @Sep 09
</t>
    </r>
    <r>
      <rPr>
        <sz val="8"/>
        <color rgb="FF0000FF"/>
        <rFont val="Arial"/>
        <family val="2"/>
      </rPr>
      <t xml:space="preserve">Staged Payments = $18,920 (incl 7% int &amp; not cpi)
Pmt1=$4,461 Paid SCC
Pmt2=$3,733 Paid SCC </t>
    </r>
    <r>
      <rPr>
        <sz val="8"/>
        <color rgb="FFFF0000"/>
        <rFont val="Arial"/>
        <family val="2"/>
      </rPr>
      <t>(To tfr Noosa)</t>
    </r>
    <r>
      <rPr>
        <sz val="8"/>
        <color rgb="FF0000FF"/>
        <rFont val="Arial"/>
        <family val="2"/>
      </rPr>
      <t xml:space="preserve">
Pmt3=$3,691 Paid NSA
Pmt4=$3,576 Paid NSA
</t>
    </r>
    <r>
      <rPr>
        <b/>
        <sz val="8"/>
        <color rgb="FFFF0000"/>
        <rFont val="Arial"/>
        <family val="2"/>
      </rPr>
      <t>Balance To Pay</t>
    </r>
    <r>
      <rPr>
        <sz val="8"/>
        <color rgb="FFFF0000"/>
        <rFont val="Arial"/>
        <family val="2"/>
      </rPr>
      <t xml:space="preserve">
Pmt5=$3,459</t>
    </r>
  </si>
  <si>
    <t>Stg Pmt Agmt
no.4 = $804.00</t>
  </si>
  <si>
    <t>Stg Pmt Agmt
no.4 = $2,283</t>
  </si>
  <si>
    <t>Stg Pmt Agmt
no.4 = $3,576.00</t>
  </si>
  <si>
    <t>Stg Pmt Agmt
no.4 = $4,123.00</t>
  </si>
  <si>
    <r>
      <t>(</t>
    </r>
    <r>
      <rPr>
        <sz val="8"/>
        <color rgb="FF0000FF"/>
        <rFont val="Arial"/>
        <family val="2"/>
      </rPr>
      <t>Contribs Paid 7/11/2008 - IC Paid 6/1/2015)</t>
    </r>
    <r>
      <rPr>
        <sz val="8"/>
        <rFont val="Arial"/>
        <family val="2"/>
      </rPr>
      <t xml:space="preserve">
Noosa Building Certifiers
Permit No: 20081457</t>
    </r>
  </si>
  <si>
    <t>Part-Paid Contrs
Paid IC 817</t>
  </si>
  <si>
    <t>7/11/2008
6/1/2015</t>
  </si>
  <si>
    <t>458047
1159288</t>
  </si>
  <si>
    <t xml:space="preserve">Stg Pmt Agmt
no.4 = $6,846.00
</t>
  </si>
  <si>
    <t xml:space="preserve">Prospect Place Qld Pty Ltd
C/- Max Watterson &amp; Associates
</t>
  </si>
  <si>
    <t>Lot 2 RP 148139 &amp; 498 MCH 591</t>
  </si>
  <si>
    <t>18 Lots &amp; Park</t>
  </si>
  <si>
    <t>2 x Vacant Residential Lots</t>
  </si>
  <si>
    <t>Denant Pty Ltd &amp; Totally Raw Pty Ltd</t>
  </si>
  <si>
    <t>PO Box 190
NOOSAVILLE QLD 4566</t>
  </si>
  <si>
    <t>Lot 27 RP 63879</t>
  </si>
  <si>
    <t>Lot 8 SP 266743</t>
  </si>
  <si>
    <t>6 Nannygai Street NOOSAVILLE</t>
  </si>
  <si>
    <t>Multiple Housing Type 2 – Duplex (2 x 3 BR Units)</t>
  </si>
  <si>
    <t>1 x Vacant Residential Lot</t>
  </si>
  <si>
    <r>
      <rPr>
        <b/>
        <sz val="10"/>
        <color rgb="FF0000FF"/>
        <rFont val="Arial"/>
        <family val="2"/>
      </rPr>
      <t xml:space="preserve">N </t>
    </r>
    <r>
      <rPr>
        <b/>
        <sz val="10"/>
        <rFont val="Arial"/>
        <family val="2"/>
      </rPr>
      <t>1053</t>
    </r>
    <r>
      <rPr>
        <sz val="11"/>
        <color theme="1"/>
        <rFont val="Calibri"/>
        <family val="2"/>
        <scheme val="minor"/>
      </rPr>
      <t/>
    </r>
  </si>
  <si>
    <r>
      <rPr>
        <b/>
        <sz val="10"/>
        <color rgb="FF0000FF"/>
        <rFont val="Arial"/>
        <family val="2"/>
      </rPr>
      <t xml:space="preserve">N </t>
    </r>
    <r>
      <rPr>
        <b/>
        <sz val="10"/>
        <rFont val="Arial"/>
        <family val="2"/>
      </rPr>
      <t>1055</t>
    </r>
    <r>
      <rPr>
        <sz val="11"/>
        <color theme="1"/>
        <rFont val="Calibri"/>
        <family val="2"/>
        <scheme val="minor"/>
      </rPr>
      <t/>
    </r>
  </si>
  <si>
    <r>
      <rPr>
        <b/>
        <sz val="10"/>
        <color rgb="FF0000FF"/>
        <rFont val="Arial"/>
        <family val="2"/>
      </rPr>
      <t xml:space="preserve">N </t>
    </r>
    <r>
      <rPr>
        <b/>
        <sz val="10"/>
        <rFont val="Arial"/>
        <family val="2"/>
      </rPr>
      <t>1056</t>
    </r>
    <r>
      <rPr>
        <sz val="11"/>
        <color theme="1"/>
        <rFont val="Calibri"/>
        <family val="2"/>
        <scheme val="minor"/>
      </rPr>
      <t/>
    </r>
  </si>
  <si>
    <r>
      <rPr>
        <b/>
        <sz val="10"/>
        <color rgb="FF0000FF"/>
        <rFont val="Arial"/>
        <family val="2"/>
      </rPr>
      <t xml:space="preserve">N </t>
    </r>
    <r>
      <rPr>
        <b/>
        <sz val="10"/>
        <rFont val="Arial"/>
        <family val="2"/>
      </rPr>
      <t>1058</t>
    </r>
    <r>
      <rPr>
        <sz val="11"/>
        <color theme="1"/>
        <rFont val="Calibri"/>
        <family val="2"/>
        <scheme val="minor"/>
      </rPr>
      <t/>
    </r>
  </si>
  <si>
    <r>
      <rPr>
        <b/>
        <sz val="10"/>
        <color rgb="FF0000FF"/>
        <rFont val="Arial"/>
        <family val="2"/>
      </rPr>
      <t xml:space="preserve">N </t>
    </r>
    <r>
      <rPr>
        <b/>
        <sz val="10"/>
        <rFont val="Arial"/>
        <family val="2"/>
      </rPr>
      <t>1059</t>
    </r>
    <r>
      <rPr>
        <sz val="11"/>
        <color theme="1"/>
        <rFont val="Calibri"/>
        <family val="2"/>
        <scheme val="minor"/>
      </rPr>
      <t/>
    </r>
  </si>
  <si>
    <r>
      <t xml:space="preserve">152009.1586.3
</t>
    </r>
    <r>
      <rPr>
        <sz val="10"/>
        <color rgb="FF0000FF"/>
        <rFont val="Arial"/>
        <family val="2"/>
      </rPr>
      <t>(extention to relevant period)</t>
    </r>
  </si>
  <si>
    <r>
      <t xml:space="preserve">Changes Application issued - Refer above to IC 874 - Cancelled 17/12/09
</t>
    </r>
    <r>
      <rPr>
        <b/>
        <sz val="8"/>
        <color rgb="FF0000FF"/>
        <rFont val="Arial"/>
        <family val="2"/>
      </rPr>
      <t xml:space="preserve">STAGED PAYMENT AGREEMENT 
</t>
    </r>
    <r>
      <rPr>
        <sz val="8"/>
        <color rgb="FF0000FF"/>
        <rFont val="Arial"/>
        <family val="2"/>
      </rPr>
      <t>Stg Pmt 1 = $22,000 Paid SCC
Pmt 2 = $18,409 Paid DD to SCC &amp; transferred to NSC</t>
    </r>
    <r>
      <rPr>
        <sz val="8"/>
        <color rgb="FFFF0000"/>
        <rFont val="Arial"/>
        <family val="2"/>
      </rPr>
      <t xml:space="preserve">
</t>
    </r>
    <r>
      <rPr>
        <sz val="8"/>
        <color rgb="FF0000FF"/>
        <rFont val="Arial"/>
        <family val="2"/>
      </rPr>
      <t xml:space="preserve">Stg Pmt 3 = $18,200 Paid NSA
</t>
    </r>
    <r>
      <rPr>
        <b/>
        <sz val="8"/>
        <color rgb="FF0000FF"/>
        <rFont val="Arial"/>
        <family val="2"/>
      </rPr>
      <t>Stg Pmt 4 = $17,632 (Letter amount incorrect - Paid $17,362 RN: 1159254 5/1/14 
O/S $270 Paid 7/1/2015 RN: 1159334</t>
    </r>
    <r>
      <rPr>
        <b/>
        <sz val="8"/>
        <color rgb="FFFF0000"/>
        <rFont val="Arial"/>
        <family val="2"/>
      </rPr>
      <t/>
    </r>
  </si>
  <si>
    <r>
      <t xml:space="preserve">$18,973 @Sep 09
</t>
    </r>
    <r>
      <rPr>
        <sz val="8"/>
        <color rgb="FF0000FF"/>
        <rFont val="Arial"/>
        <family val="2"/>
      </rPr>
      <t xml:space="preserve">Staged Payments = $21,814 (incl 7% int &amp; not cpi)
Pmt1=$5,144 Paid SCC
Pmt2=$4,304 Paid SCC (To tfr Noosa)
Pmt3=$4,255 Paid NSA
</t>
    </r>
    <r>
      <rPr>
        <b/>
        <sz val="8"/>
        <color rgb="FF0000FF"/>
        <rFont val="Arial"/>
        <family val="2"/>
      </rPr>
      <t>Pmt4=$4,123 Paid NSA</t>
    </r>
    <r>
      <rPr>
        <sz val="8"/>
        <color rgb="FF0000FF"/>
        <rFont val="Arial"/>
        <family val="2"/>
      </rPr>
      <t xml:space="preserve">
</t>
    </r>
    <r>
      <rPr>
        <b/>
        <sz val="8"/>
        <color rgb="FFFF0000"/>
        <rFont val="Arial"/>
        <family val="2"/>
      </rPr>
      <t/>
    </r>
  </si>
  <si>
    <r>
      <t xml:space="preserve">$31,508 @Sep 09
</t>
    </r>
    <r>
      <rPr>
        <sz val="8"/>
        <color rgb="FF0000FF"/>
        <rFont val="Arial"/>
        <family val="2"/>
      </rPr>
      <t xml:space="preserve">Staged Payments = $36,225 (incl 7% int &amp; not cpi)
Pmt1=$8,542 Paid SCC
Pmt2=$7,148 Paid SCC </t>
    </r>
    <r>
      <rPr>
        <sz val="8"/>
        <color rgb="FFFF0000"/>
        <rFont val="Arial"/>
        <family val="2"/>
      </rPr>
      <t>(To tfr Noosa)</t>
    </r>
    <r>
      <rPr>
        <sz val="8"/>
        <color rgb="FF0000FF"/>
        <rFont val="Arial"/>
        <family val="2"/>
      </rPr>
      <t xml:space="preserve">
Pmt3=$7,067 Paid NSA
</t>
    </r>
    <r>
      <rPr>
        <b/>
        <sz val="8"/>
        <color rgb="FF0000FF"/>
        <rFont val="Arial"/>
        <family val="2"/>
      </rPr>
      <t>Pmt4=$6,576 Paid NSA
O/S $270 Paid NSA</t>
    </r>
    <r>
      <rPr>
        <sz val="8"/>
        <color rgb="FF0000FF"/>
        <rFont val="Arial"/>
        <family val="2"/>
      </rPr>
      <t xml:space="preserve"> 
</t>
    </r>
    <r>
      <rPr>
        <b/>
        <sz val="8"/>
        <color rgb="FFFF0000"/>
        <rFont val="Arial"/>
        <family val="2"/>
      </rPr>
      <t/>
    </r>
  </si>
  <si>
    <r>
      <t xml:space="preserve">$16,455 @Sep 09
</t>
    </r>
    <r>
      <rPr>
        <sz val="8"/>
        <color rgb="FF0000FF"/>
        <rFont val="Arial"/>
        <family val="2"/>
      </rPr>
      <t xml:space="preserve">Staged Payments = $18,920 (incl 7% int &amp; not cpi)
Pmt1=$4,461 Paid SCC
Pmt2=$3,733 Paid SCC </t>
    </r>
    <r>
      <rPr>
        <sz val="8"/>
        <color rgb="FFFF0000"/>
        <rFont val="Arial"/>
        <family val="2"/>
      </rPr>
      <t>(To tfr Noosa)</t>
    </r>
    <r>
      <rPr>
        <sz val="8"/>
        <color rgb="FF0000FF"/>
        <rFont val="Arial"/>
        <family val="2"/>
      </rPr>
      <t xml:space="preserve">
Pmt3=$3,691 Paid NSA
</t>
    </r>
    <r>
      <rPr>
        <b/>
        <sz val="8"/>
        <color rgb="FF0000FF"/>
        <rFont val="Arial"/>
        <family val="2"/>
      </rPr>
      <t>Pmt4=$3,576 Paid NSA</t>
    </r>
    <r>
      <rPr>
        <sz val="8"/>
        <color rgb="FF0000FF"/>
        <rFont val="Arial"/>
        <family val="2"/>
      </rPr>
      <t xml:space="preserve">
</t>
    </r>
    <r>
      <rPr>
        <b/>
        <sz val="8"/>
        <color rgb="FFFF0000"/>
        <rFont val="Arial"/>
        <family val="2"/>
      </rPr>
      <t/>
    </r>
  </si>
  <si>
    <r>
      <t xml:space="preserve">$10,511 @Sep 09
</t>
    </r>
    <r>
      <rPr>
        <sz val="8"/>
        <color rgb="FF0000FF"/>
        <rFont val="Arial"/>
        <family val="2"/>
      </rPr>
      <t xml:space="preserve">Staged Payments = $12,084 (incl 7% int &amp; not cpi)
Pmt1=$2,850 Paid SCC
Pmt2=$2,385 Paid SCC </t>
    </r>
    <r>
      <rPr>
        <sz val="8"/>
        <color rgb="FFFF0000"/>
        <rFont val="Arial"/>
        <family val="2"/>
      </rPr>
      <t>(To tfr Noosa)</t>
    </r>
    <r>
      <rPr>
        <sz val="8"/>
        <color rgb="FF0000FF"/>
        <rFont val="Arial"/>
        <family val="2"/>
      </rPr>
      <t xml:space="preserve">
Pmt3=$2,357 Paid NSA
</t>
    </r>
    <r>
      <rPr>
        <b/>
        <sz val="8"/>
        <color rgb="FF0000FF"/>
        <rFont val="Arial"/>
        <family val="2"/>
      </rPr>
      <t>Pmt4=$2,283 Paid NSA</t>
    </r>
    <r>
      <rPr>
        <sz val="8"/>
        <color rgb="FF0000FF"/>
        <rFont val="Arial"/>
        <family val="2"/>
      </rPr>
      <t xml:space="preserve">
</t>
    </r>
    <r>
      <rPr>
        <b/>
        <sz val="8"/>
        <color rgb="FFFF0000"/>
        <rFont val="Arial"/>
        <family val="2"/>
      </rPr>
      <t/>
    </r>
  </si>
  <si>
    <r>
      <t xml:space="preserve">$3,699 @Sep 09
</t>
    </r>
    <r>
      <rPr>
        <sz val="8"/>
        <color rgb="FF0000FF"/>
        <rFont val="Arial"/>
        <family val="2"/>
      </rPr>
      <t xml:space="preserve">Staged Payments = $4,253 (incl 7% int &amp; not cpi)
Pmt1=$1,003 Paid SCC
Pmt2=$839 Paid SCC </t>
    </r>
    <r>
      <rPr>
        <sz val="8"/>
        <color rgb="FFFF0000"/>
        <rFont val="Arial"/>
        <family val="2"/>
      </rPr>
      <t>(to tfr Noosa)</t>
    </r>
    <r>
      <rPr>
        <sz val="8"/>
        <color rgb="FF0000FF"/>
        <rFont val="Arial"/>
        <family val="2"/>
      </rPr>
      <t xml:space="preserve">
Pmt3=$830 Paid NSA
</t>
    </r>
    <r>
      <rPr>
        <b/>
        <sz val="8"/>
        <color rgb="FF0000FF"/>
        <rFont val="Arial"/>
        <family val="2"/>
      </rPr>
      <t>Pmt4=$804 Paid NSA</t>
    </r>
    <r>
      <rPr>
        <sz val="8"/>
        <color rgb="FF0000FF"/>
        <rFont val="Arial"/>
        <family val="2"/>
      </rPr>
      <t xml:space="preserve">
</t>
    </r>
    <r>
      <rPr>
        <b/>
        <sz val="8"/>
        <color rgb="FFFF0000"/>
        <rFont val="Arial"/>
        <family val="2"/>
      </rPr>
      <t/>
    </r>
  </si>
  <si>
    <r>
      <t xml:space="preserve">Staged Payment
</t>
    </r>
    <r>
      <rPr>
        <sz val="8"/>
        <color rgb="FF0000FF"/>
        <rFont val="Arial"/>
        <family val="2"/>
      </rPr>
      <t>No. 1 (SCC)
No 2 Paid DD to SCC &amp; transferred to Noosa July 2014</t>
    </r>
    <r>
      <rPr>
        <sz val="8"/>
        <color rgb="FFFF0000"/>
        <rFont val="Arial"/>
        <family val="2"/>
      </rPr>
      <t xml:space="preserve">
</t>
    </r>
    <r>
      <rPr>
        <sz val="8"/>
        <color rgb="FF0000FF"/>
        <rFont val="Arial"/>
        <family val="2"/>
      </rPr>
      <t xml:space="preserve">No. 3 NSA
</t>
    </r>
    <r>
      <rPr>
        <b/>
        <sz val="8"/>
        <color rgb="FF0000FF"/>
        <rFont val="Arial"/>
        <family val="2"/>
      </rPr>
      <t>No.4 NSA
No.4 NSA (O/S $270)</t>
    </r>
    <r>
      <rPr>
        <sz val="8"/>
        <color rgb="FF0000FF"/>
        <rFont val="Arial"/>
        <family val="2"/>
      </rPr>
      <t xml:space="preserve">
</t>
    </r>
  </si>
  <si>
    <r>
      <t xml:space="preserve">
31/07/2013
9/01/2014
8/10/2014
29/07/2014
</t>
    </r>
    <r>
      <rPr>
        <b/>
        <sz val="8"/>
        <color rgb="FF0000FF"/>
        <rFont val="Arial"/>
        <family val="2"/>
      </rPr>
      <t>5/1/2015
7/1/2015</t>
    </r>
    <r>
      <rPr>
        <sz val="8"/>
        <color rgb="FF0000FF"/>
        <rFont val="Arial"/>
        <family val="2"/>
      </rPr>
      <t xml:space="preserve">
</t>
    </r>
  </si>
  <si>
    <r>
      <t xml:space="preserve">
1105531 = $22,000
DD to SCRC = $18,409 1156455 Tfr to Nsa
1151566
</t>
    </r>
    <r>
      <rPr>
        <b/>
        <sz val="8"/>
        <color rgb="FF0000FF"/>
        <rFont val="Arial"/>
        <family val="2"/>
      </rPr>
      <t>1159254
1159334</t>
    </r>
  </si>
  <si>
    <t>January 2015 Total =</t>
  </si>
  <si>
    <r>
      <t>15/12/2009</t>
    </r>
    <r>
      <rPr>
        <sz val="8"/>
        <rFont val="Arial"/>
        <family val="2"/>
      </rPr>
      <t xml:space="preserve">
</t>
    </r>
    <r>
      <rPr>
        <strike/>
        <sz val="8"/>
        <rFont val="Arial"/>
        <family val="2"/>
      </rPr>
      <t>19/12/2010</t>
    </r>
    <r>
      <rPr>
        <sz val="8"/>
        <rFont val="Arial"/>
        <family val="2"/>
      </rPr>
      <t xml:space="preserve">
</t>
    </r>
    <r>
      <rPr>
        <strike/>
        <sz val="8"/>
        <rFont val="Arial"/>
        <family val="2"/>
      </rPr>
      <t>19/12/2012</t>
    </r>
    <r>
      <rPr>
        <sz val="8"/>
        <rFont val="Arial"/>
        <family val="2"/>
      </rPr>
      <t xml:space="preserve">
</t>
    </r>
    <r>
      <rPr>
        <strike/>
        <sz val="8"/>
        <rFont val="Arial"/>
        <family val="2"/>
      </rPr>
      <t>19/12/2014</t>
    </r>
    <r>
      <rPr>
        <sz val="8"/>
        <rFont val="Arial"/>
        <family val="2"/>
      </rPr>
      <t xml:space="preserve">
19/12/2016</t>
    </r>
  </si>
  <si>
    <r>
      <t>15/12/2005</t>
    </r>
    <r>
      <rPr>
        <sz val="8"/>
        <rFont val="Arial"/>
        <family val="2"/>
      </rPr>
      <t xml:space="preserve">
</t>
    </r>
    <r>
      <rPr>
        <strike/>
        <sz val="8"/>
        <rFont val="Arial"/>
        <family val="2"/>
      </rPr>
      <t>19/12/2006</t>
    </r>
    <r>
      <rPr>
        <sz val="8"/>
        <rFont val="Arial"/>
        <family val="2"/>
      </rPr>
      <t xml:space="preserve">
</t>
    </r>
    <r>
      <rPr>
        <strike/>
        <sz val="8"/>
        <rFont val="Arial"/>
        <family val="2"/>
      </rPr>
      <t>14/2/2011</t>
    </r>
    <r>
      <rPr>
        <sz val="8"/>
        <rFont val="Arial"/>
        <family val="2"/>
      </rPr>
      <t xml:space="preserve">
</t>
    </r>
    <r>
      <rPr>
        <strike/>
        <sz val="8"/>
        <rFont val="Arial"/>
        <family val="2"/>
      </rPr>
      <t>5/02/2013</t>
    </r>
    <r>
      <rPr>
        <sz val="8"/>
        <rFont val="Arial"/>
        <family val="2"/>
      </rPr>
      <t xml:space="preserve">
13/01/2015
</t>
    </r>
  </si>
  <si>
    <r>
      <rPr>
        <strike/>
        <sz val="8"/>
        <rFont val="Arial"/>
        <family val="2"/>
      </rPr>
      <t>1/11/2011</t>
    </r>
    <r>
      <rPr>
        <sz val="8"/>
        <rFont val="Arial"/>
        <family val="2"/>
      </rPr>
      <t xml:space="preserve">
1/11/2015</t>
    </r>
  </si>
  <si>
    <r>
      <rPr>
        <strike/>
        <sz val="8"/>
        <rFont val="Arial"/>
        <family val="2"/>
      </rPr>
      <t>1/11/2007</t>
    </r>
    <r>
      <rPr>
        <sz val="8"/>
        <rFont val="Arial"/>
        <family val="2"/>
      </rPr>
      <t xml:space="preserve">
8/06/2011
</t>
    </r>
  </si>
  <si>
    <t>0 BUP 105741</t>
  </si>
  <si>
    <t>Mary Gibson 2 / 1 Gibson Rd Noosaville</t>
  </si>
  <si>
    <t>MCU14/0077</t>
  </si>
  <si>
    <t>Elaroo Pty Ltd</t>
  </si>
  <si>
    <t>PO Box 2090
NOOSA HEADS QLD 4567</t>
  </si>
  <si>
    <t>Lot 10 SP 230643</t>
  </si>
  <si>
    <t>Noosa Metro Innovation Park 10/100 Rene St NOOSAVILLE QLD 4566</t>
  </si>
  <si>
    <t>Nil - Vacant Industrial lot - 
Contributions only paid for W&amp;S on Lot reconfiguration
No contributions previously paid for Council networks</t>
  </si>
  <si>
    <t>January 2015
Total =</t>
  </si>
  <si>
    <t>REC15/0001</t>
  </si>
  <si>
    <t>Victor G Maggs</t>
  </si>
  <si>
    <t>C/- Bennett &amp; Bennett
PO Box 2020
KELVIN GROVE QLD 4059</t>
  </si>
  <si>
    <t>Lot 1 RP 164425</t>
  </si>
  <si>
    <t>2 Cedar Place Tewantin Qld 4565</t>
  </si>
  <si>
    <t>1 residential lot = 1 Detached House lot credit</t>
  </si>
  <si>
    <t>2 residential house lots</t>
  </si>
  <si>
    <t>Extn granted when resolution applied $50,000 threshold for IC assessment</t>
  </si>
  <si>
    <t>February 2015 Total =</t>
  </si>
  <si>
    <r>
      <t xml:space="preserve">Gymnasium - 1133m2 gfa (estimated 879m2 gfa court area)
Impervious area - 3000m2
</t>
    </r>
    <r>
      <rPr>
        <b/>
        <sz val="10"/>
        <color rgb="FFFF0000"/>
        <rFont val="Arial"/>
        <family val="2"/>
      </rPr>
      <t/>
    </r>
  </si>
  <si>
    <r>
      <t xml:space="preserve">Nil
</t>
    </r>
    <r>
      <rPr>
        <b/>
        <sz val="10"/>
        <color rgb="FFFF0000"/>
        <rFont val="Arial"/>
        <family val="2"/>
      </rPr>
      <t>NO INDEXATION APPLIES already at MAX amount</t>
    </r>
  </si>
  <si>
    <t>NO INDEXATION APPLIES already at MAX amount</t>
  </si>
  <si>
    <t xml:space="preserve">16 M2 GFA ADDITION TO MEZZANINE
</t>
  </si>
  <si>
    <r>
      <rPr>
        <b/>
        <sz val="10"/>
        <color rgb="FFFF0000"/>
        <rFont val="Arial"/>
        <family val="2"/>
      </rPr>
      <t xml:space="preserve">NO INDEXATION APPLIES already at MAX amount
</t>
    </r>
    <r>
      <rPr>
        <sz val="10"/>
        <color rgb="FFFF0000"/>
        <rFont val="Arial"/>
        <family val="2"/>
      </rPr>
      <t xml:space="preserve">Commenced building works
</t>
    </r>
  </si>
  <si>
    <r>
      <rPr>
        <sz val="8"/>
        <color rgb="FF0000FF"/>
        <rFont val="Arial"/>
        <family val="2"/>
      </rPr>
      <t xml:space="preserve">USE COMMENCED  
</t>
    </r>
    <r>
      <rPr>
        <sz val="8"/>
        <color rgb="FFFF0000"/>
        <rFont val="Arial"/>
        <family val="2"/>
      </rPr>
      <t>COMPOUND INTEREST COMMENCED 15/05/2013</t>
    </r>
    <r>
      <rPr>
        <b/>
        <sz val="8"/>
        <color rgb="FFFF0000"/>
        <rFont val="Arial"/>
        <family val="2"/>
      </rPr>
      <t xml:space="preserve">
</t>
    </r>
    <r>
      <rPr>
        <b/>
        <sz val="8"/>
        <color rgb="FF0000FF"/>
        <rFont val="Arial"/>
        <family val="2"/>
      </rPr>
      <t>Paid in Full 6/2/2015</t>
    </r>
  </si>
  <si>
    <r>
      <rPr>
        <strike/>
        <sz val="8"/>
        <rFont val="Arial"/>
        <family val="2"/>
      </rPr>
      <t>CARE Daly InternationalLevel 3, Suite 3.02, 131 Leichhardt Street SPRING HILL  QLD  4000</t>
    </r>
    <r>
      <rPr>
        <sz val="8"/>
        <rFont val="Arial"/>
        <family val="2"/>
      </rPr>
      <t xml:space="preserve">
</t>
    </r>
    <r>
      <rPr>
        <sz val="8"/>
        <color rgb="FF0000FF"/>
        <rFont val="Arial"/>
        <family val="2"/>
      </rPr>
      <t>c/- Jones Lang Lasalle
PO Box 805
Sth Melbourne, VIC 3205</t>
    </r>
  </si>
  <si>
    <r>
      <t xml:space="preserve">$2,354   Jun-08
</t>
    </r>
    <r>
      <rPr>
        <sz val="8"/>
        <color rgb="FFFF0000"/>
        <rFont val="Arial"/>
        <family val="2"/>
      </rPr>
      <t>COMPOUND INTEREST COMMENCED 15/05/2013</t>
    </r>
  </si>
  <si>
    <t>Interest to 31/01/2015</t>
  </si>
  <si>
    <r>
      <t xml:space="preserve">51997.2244.01
</t>
    </r>
    <r>
      <rPr>
        <sz val="10"/>
        <color rgb="FF0000FF"/>
        <rFont val="Arial"/>
        <family val="2"/>
      </rPr>
      <t>(Change to Existing Approval 11037 TP)</t>
    </r>
  </si>
  <si>
    <t xml:space="preserve">Garry Crick Auto Group Pty Ltd
</t>
  </si>
  <si>
    <t>8 Lionel Donovan Dr
NOOSAVILLE QLD 4566</t>
  </si>
  <si>
    <t>Lot 4 RP 908662</t>
  </si>
  <si>
    <t>Industrial business - Type 2 Production, alteration, repackaging and repairing (Vehicle Sales Premises and Light Industry – Motor Vehicle Repairs) = additional to existing = 43 m2 gfa + 30 m2 impervious area</t>
  </si>
  <si>
    <t xml:space="preserve"> N/A only additional to existing applied</t>
  </si>
  <si>
    <r>
      <t xml:space="preserve">471
</t>
    </r>
    <r>
      <rPr>
        <b/>
        <sz val="10"/>
        <color rgb="FF0000FF"/>
        <rFont val="Arial"/>
        <family val="2"/>
      </rPr>
      <t>+
IA No.17 SCRC BnB 23/08/2013</t>
    </r>
    <r>
      <rPr>
        <b/>
        <sz val="10"/>
        <color rgb="FFFF0000"/>
        <rFont val="Arial"/>
        <family val="2"/>
      </rPr>
      <t xml:space="preserve">
Certificate of Classification PC13/5712  dated 23/1/2015</t>
    </r>
  </si>
  <si>
    <r>
      <rPr>
        <sz val="10"/>
        <color rgb="FF0000FF"/>
        <rFont val="Arial"/>
        <family val="2"/>
      </rPr>
      <t>Remaining AICN Balance BnB reduction @ June 2014
Transport = $27,677
Park = $4,884</t>
    </r>
    <r>
      <rPr>
        <sz val="10"/>
        <color rgb="FFFF0000"/>
        <rFont val="Arial"/>
        <family val="2"/>
      </rPr>
      <t xml:space="preserve">
</t>
    </r>
    <r>
      <rPr>
        <b/>
        <sz val="10"/>
        <color rgb="FFFF0000"/>
        <rFont val="Arial"/>
        <family val="2"/>
      </rPr>
      <t>Certificate of Classification PC13/5712 completed 23/1/2015 = BnB requirment for reductions are satisfied.</t>
    </r>
  </si>
  <si>
    <t>Certificate of Classification PC13/5712  dated 23/1/2015</t>
  </si>
  <si>
    <t>February 2015
Total =</t>
  </si>
  <si>
    <r>
      <t>Issue details exported from SCRC AICR</t>
    </r>
    <r>
      <rPr>
        <b/>
        <sz val="10"/>
        <color rgb="FFFF0000"/>
        <rFont val="Arial"/>
        <family val="2"/>
      </rPr>
      <t xml:space="preserve">
</t>
    </r>
    <r>
      <rPr>
        <b/>
        <sz val="10"/>
        <color rgb="FF0000FF"/>
        <rFont val="Arial"/>
        <family val="2"/>
      </rPr>
      <t>Cert of Classification has finalised BnB reduction IA No. 17</t>
    </r>
  </si>
  <si>
    <t>MCU14/0105</t>
  </si>
  <si>
    <t>Alexandre Vanselow</t>
  </si>
  <si>
    <t>32 Mossman Court 
NOOSA HEADS QLD 4567</t>
  </si>
  <si>
    <t>Lot 2 RP 66483</t>
  </si>
  <si>
    <t>7 Elizabeth Street N
NOOSAVILLE</t>
  </si>
  <si>
    <t xml:space="preserve">8 Lionel Donovan Dr
NOOSAVILLE </t>
  </si>
  <si>
    <t>Multiple Housing Type 2 – Duplex (2 x 3 B/R Units)</t>
  </si>
  <si>
    <r>
      <t xml:space="preserve">Changes Application issued - Refer above to IC 874 - Cancelled 17/12/09
</t>
    </r>
    <r>
      <rPr>
        <b/>
        <sz val="8"/>
        <color rgb="FF0000FF"/>
        <rFont val="Arial"/>
        <family val="2"/>
      </rPr>
      <t xml:space="preserve">STAGED PAYMENT AGREEMENT 
</t>
    </r>
    <r>
      <rPr>
        <sz val="8"/>
        <color rgb="FF0000FF"/>
        <rFont val="Arial"/>
        <family val="2"/>
      </rPr>
      <t>Stg Pmt 1 = $22,000 Paid SCC
Pmt 2 = $18,409 Paid DD to SCC &amp; transferred to NSC</t>
    </r>
    <r>
      <rPr>
        <sz val="8"/>
        <color rgb="FFFF0000"/>
        <rFont val="Arial"/>
        <family val="2"/>
      </rPr>
      <t xml:space="preserve">
</t>
    </r>
    <r>
      <rPr>
        <sz val="8"/>
        <color rgb="FF0000FF"/>
        <rFont val="Arial"/>
        <family val="2"/>
      </rPr>
      <t xml:space="preserve">Stg Pmt 3 = $18,200 Paid NSA
Stg Pmt 4 = $17,632 (Letter amount incorrect - Paid $17,362 RN: 1159254 5/1/14 
O/S $270 Paid 7/1/2015 RN: 1159334
</t>
    </r>
    <r>
      <rPr>
        <b/>
        <sz val="8"/>
        <color rgb="FFFF0000"/>
        <rFont val="Arial"/>
        <family val="2"/>
      </rPr>
      <t>BALANCE to PAY
Stg Pmt 5 Part Pmt 1 = $7,055</t>
    </r>
  </si>
  <si>
    <r>
      <t xml:space="preserve">20100451 BA
112010.451
</t>
    </r>
    <r>
      <rPr>
        <b/>
        <sz val="8"/>
        <color rgb="FFFF0000"/>
        <rFont val="Arial"/>
        <family val="2"/>
      </rPr>
      <t>STG PMT 5</t>
    </r>
  </si>
  <si>
    <r>
      <t xml:space="preserve">$3,699 @Sep 09
</t>
    </r>
    <r>
      <rPr>
        <sz val="8"/>
        <color rgb="FF0000FF"/>
        <rFont val="Arial"/>
        <family val="2"/>
      </rPr>
      <t xml:space="preserve">Staged Payments = $4,253 (incl 7% int &amp; not cpi)
Pmt1=$1,003 Paid SCC
Pmt2=$839 Paid SCC </t>
    </r>
    <r>
      <rPr>
        <sz val="8"/>
        <color rgb="FFFF0000"/>
        <rFont val="Arial"/>
        <family val="2"/>
      </rPr>
      <t>(to tfr Noosa)</t>
    </r>
    <r>
      <rPr>
        <sz val="8"/>
        <color rgb="FF0000FF"/>
        <rFont val="Arial"/>
        <family val="2"/>
      </rPr>
      <t xml:space="preserve">
Pmt3=$830 Paid NSA
Pmt4=$804 Paid NSA
Pmt 5.1=$777 Paid NSA</t>
    </r>
    <r>
      <rPr>
        <b/>
        <sz val="8"/>
        <color rgb="FFFF0000"/>
        <rFont val="Arial"/>
        <family val="2"/>
      </rPr>
      <t/>
    </r>
  </si>
  <si>
    <r>
      <t xml:space="preserve">$3,699 @Sep 09
</t>
    </r>
    <r>
      <rPr>
        <sz val="8"/>
        <color rgb="FF0000FF"/>
        <rFont val="Arial"/>
        <family val="2"/>
      </rPr>
      <t xml:space="preserve">Staged Payments = $4,253 (incl 7% int &amp; not cpi)
Pmt1=$1,003 Paid SCC
Pmt2=$839 Paid SCC </t>
    </r>
    <r>
      <rPr>
        <sz val="8"/>
        <color rgb="FFFF0000"/>
        <rFont val="Arial"/>
        <family val="2"/>
      </rPr>
      <t>(to tfr Noosa)</t>
    </r>
    <r>
      <rPr>
        <sz val="8"/>
        <color rgb="FF0000FF"/>
        <rFont val="Arial"/>
        <family val="2"/>
      </rPr>
      <t xml:space="preserve">
Pmt3=$830 Paid NSA
Pmt4=$804 Paid NSA
</t>
    </r>
    <r>
      <rPr>
        <b/>
        <sz val="8"/>
        <color rgb="FFFF0000"/>
        <rFont val="Arial"/>
        <family val="2"/>
      </rPr>
      <t xml:space="preserve">Balance To Pay
</t>
    </r>
    <r>
      <rPr>
        <sz val="8"/>
        <color rgb="FFFF0000"/>
        <rFont val="Arial"/>
        <family val="2"/>
      </rPr>
      <t>Pmt 5.1 = $777</t>
    </r>
  </si>
  <si>
    <r>
      <t xml:space="preserve">$10,511 @Sep 09
</t>
    </r>
    <r>
      <rPr>
        <sz val="8"/>
        <color rgb="FF0000FF"/>
        <rFont val="Arial"/>
        <family val="2"/>
      </rPr>
      <t xml:space="preserve">Staged Payments = $12,084 (incl 7% int &amp; not cpi)
Pmt1=$2,850 Paid SCC
Pmt2=$2,385 Paid SCC </t>
    </r>
    <r>
      <rPr>
        <sz val="8"/>
        <color rgb="FFFF0000"/>
        <rFont val="Arial"/>
        <family val="2"/>
      </rPr>
      <t>(To tfr Noosa)</t>
    </r>
    <r>
      <rPr>
        <sz val="8"/>
        <color rgb="FF0000FF"/>
        <rFont val="Arial"/>
        <family val="2"/>
      </rPr>
      <t xml:space="preserve">
Pmt3=$2,357 Paid NSA
Pmt4=$2,283 Paid NSA
Pmt 5.1=$2,209 Paid NSA</t>
    </r>
    <r>
      <rPr>
        <b/>
        <sz val="8"/>
        <color rgb="FFFF0000"/>
        <rFont val="Arial"/>
        <family val="2"/>
      </rPr>
      <t/>
    </r>
  </si>
  <si>
    <r>
      <t xml:space="preserve">$16,455 @Sep 09
</t>
    </r>
    <r>
      <rPr>
        <sz val="8"/>
        <color rgb="FF0000FF"/>
        <rFont val="Arial"/>
        <family val="2"/>
      </rPr>
      <t xml:space="preserve">Staged Payments = $18,920 (incl 7% int &amp; not cpi)
Pmt1=$4,461 Paid SCC
Pmt2=$3,733 Paid SCC </t>
    </r>
    <r>
      <rPr>
        <sz val="8"/>
        <color rgb="FFFF0000"/>
        <rFont val="Arial"/>
        <family val="2"/>
      </rPr>
      <t>(To tfr Noosa)</t>
    </r>
    <r>
      <rPr>
        <sz val="8"/>
        <color rgb="FF0000FF"/>
        <rFont val="Arial"/>
        <family val="2"/>
      </rPr>
      <t xml:space="preserve">
Pmt3=$3,691 Paid NSA
Pmt4=$3,576 Paid NSA
Pmt 5.1=$3459 Paid NSA</t>
    </r>
  </si>
  <si>
    <r>
      <t xml:space="preserve">$31,508 @Sep 09
</t>
    </r>
    <r>
      <rPr>
        <sz val="8"/>
        <color rgb="FF0000FF"/>
        <rFont val="Arial"/>
        <family val="2"/>
      </rPr>
      <t xml:space="preserve">Staged Payments = $36,225 (incl 7% int &amp; not cpi)
Pmt1=$8,542 Paid SCC
Pmt2=$7,148 Paid SCC </t>
    </r>
    <r>
      <rPr>
        <sz val="8"/>
        <color rgb="FFFF0000"/>
        <rFont val="Arial"/>
        <family val="2"/>
      </rPr>
      <t>(To tfr Noosa)</t>
    </r>
    <r>
      <rPr>
        <sz val="8"/>
        <color rgb="FF0000FF"/>
        <rFont val="Arial"/>
        <family val="2"/>
      </rPr>
      <t xml:space="preserve">
Pmt3=$7,067 Paid NSA
Pmt4=$6,576 Paid NSA
O/S $270 Paid NSA 
</t>
    </r>
    <r>
      <rPr>
        <b/>
        <sz val="8"/>
        <color rgb="FFFF0000"/>
        <rFont val="Arial"/>
        <family val="2"/>
      </rPr>
      <t>Balance To Pay</t>
    </r>
    <r>
      <rPr>
        <sz val="8"/>
        <color rgb="FFFF0000"/>
        <rFont val="Arial"/>
        <family val="2"/>
      </rPr>
      <t xml:space="preserve">
Pmt 5.1=$610 Balance to pay in Pmt 5.2</t>
    </r>
  </si>
  <si>
    <r>
      <t xml:space="preserve">$18,973 @Sep 09
</t>
    </r>
    <r>
      <rPr>
        <sz val="8"/>
        <color rgb="FF0000FF"/>
        <rFont val="Arial"/>
        <family val="2"/>
      </rPr>
      <t xml:space="preserve">Staged Payments = $21,814 (incl 7% int &amp; not cpi)
Pmt1=$5,144 Paid SCC
Pmt2=$4,304 Paid SCC (To tfr Noosa)
Pmt3=$4,255 Paid NSA
Pmt4=$4,123 Paid NSA
</t>
    </r>
    <r>
      <rPr>
        <b/>
        <sz val="8"/>
        <color rgb="FFFF0000"/>
        <rFont val="Arial"/>
        <family val="2"/>
      </rPr>
      <t>Balance To Pay</t>
    </r>
    <r>
      <rPr>
        <sz val="8"/>
        <color rgb="FFFF0000"/>
        <rFont val="Arial"/>
        <family val="2"/>
      </rPr>
      <t xml:space="preserve">
Pmt 5.1=$0 
Balance to pay in Pmt 5.2</t>
    </r>
  </si>
  <si>
    <r>
      <t xml:space="preserve">$18,973 @Sep 09
</t>
    </r>
    <r>
      <rPr>
        <sz val="8"/>
        <color rgb="FF0000FF"/>
        <rFont val="Arial"/>
        <family val="2"/>
      </rPr>
      <t xml:space="preserve">Staged Payments = $21,814 (incl 7% int &amp; not cpi)
Pmt1=$5,144 Paid SCC
Pmt2=$4,304 Paid SCC (To tfr Noosa)
Pmt3=$4,255 Paid NSA
Pmt4=$4,123 Paid NSA
</t>
    </r>
    <r>
      <rPr>
        <b/>
        <sz val="8"/>
        <color rgb="FFFF0000"/>
        <rFont val="Arial"/>
        <family val="2"/>
      </rPr>
      <t>Balance To Pay</t>
    </r>
    <r>
      <rPr>
        <sz val="8"/>
        <color rgb="FFFF0000"/>
        <rFont val="Arial"/>
        <family val="2"/>
      </rPr>
      <t xml:space="preserve">
Pmt 5.2=$3,988</t>
    </r>
  </si>
  <si>
    <r>
      <t xml:space="preserve">$31,508 @Sep 09
</t>
    </r>
    <r>
      <rPr>
        <sz val="8"/>
        <color rgb="FF0000FF"/>
        <rFont val="Arial"/>
        <family val="2"/>
      </rPr>
      <t xml:space="preserve">Staged Payments = $36,225 (incl 7% int &amp; not cpi)
Pmt1=$8,542 Paid SCC
Pmt2=$7,148 Paid SCC </t>
    </r>
    <r>
      <rPr>
        <sz val="8"/>
        <color rgb="FFFF0000"/>
        <rFont val="Arial"/>
        <family val="2"/>
      </rPr>
      <t>(To tfr Noosa)</t>
    </r>
    <r>
      <rPr>
        <sz val="8"/>
        <color rgb="FF0000FF"/>
        <rFont val="Arial"/>
        <family val="2"/>
      </rPr>
      <t xml:space="preserve">
Pmt3=$7,067 Paid NSA
Pmt4=$6,576 Paid NSA
O/S $270 Paid NSA 
</t>
    </r>
    <r>
      <rPr>
        <b/>
        <sz val="8"/>
        <color rgb="FFFF0000"/>
        <rFont val="Arial"/>
        <family val="2"/>
      </rPr>
      <t>Balance To Pay</t>
    </r>
    <r>
      <rPr>
        <sz val="8"/>
        <color rgb="FFFF0000"/>
        <rFont val="Arial"/>
        <family val="2"/>
      </rPr>
      <t xml:space="preserve">
Pmt 5.2= $6,012</t>
    </r>
  </si>
  <si>
    <t>Stg Pmt Agmt
no.5.2 Final</t>
  </si>
  <si>
    <t>Stg Pmt Agmt
no.5.1 Final</t>
  </si>
  <si>
    <t>Stg Pmt Agmt
no. 5.1 Final</t>
  </si>
  <si>
    <t>Stg Pmt Agmt
no.5.1 Part</t>
  </si>
  <si>
    <r>
      <t xml:space="preserve">07/2062 (DA)
132007.2062
</t>
    </r>
    <r>
      <rPr>
        <sz val="8"/>
        <color rgb="FF0000FF"/>
        <rFont val="Arial"/>
        <family val="2"/>
      </rPr>
      <t>(Ext:  132007.2062.02)</t>
    </r>
  </si>
  <si>
    <r>
      <t>6/03/2008</t>
    </r>
    <r>
      <rPr>
        <sz val="8"/>
        <rFont val="Arial"/>
        <family val="2"/>
      </rPr>
      <t xml:space="preserve">
</t>
    </r>
    <r>
      <rPr>
        <strike/>
        <sz val="8"/>
        <rFont val="Arial"/>
        <family val="2"/>
      </rPr>
      <t>11/11/08</t>
    </r>
    <r>
      <rPr>
        <sz val="8"/>
        <rFont val="Arial"/>
        <family val="2"/>
      </rPr>
      <t xml:space="preserve">
</t>
    </r>
    <r>
      <rPr>
        <strike/>
        <sz val="8"/>
        <rFont val="Arial"/>
        <family val="2"/>
      </rPr>
      <t>2/08/2010</t>
    </r>
    <r>
      <rPr>
        <sz val="8"/>
        <rFont val="Arial"/>
        <family val="2"/>
      </rPr>
      <t xml:space="preserve">
23/01/2015</t>
    </r>
  </si>
  <si>
    <r>
      <t>Decision Notice</t>
    </r>
    <r>
      <rPr>
        <sz val="8"/>
        <rFont val="Arial"/>
        <family val="2"/>
      </rPr>
      <t xml:space="preserve">
</t>
    </r>
    <r>
      <rPr>
        <strike/>
        <sz val="8"/>
        <rFont val="Arial"/>
        <family val="2"/>
      </rPr>
      <t>Negotiated Decision Notice</t>
    </r>
    <r>
      <rPr>
        <sz val="8"/>
        <rFont val="Arial"/>
        <family val="2"/>
      </rPr>
      <t xml:space="preserve">
</t>
    </r>
    <r>
      <rPr>
        <strike/>
        <sz val="8"/>
        <rFont val="Arial"/>
        <family val="2"/>
      </rPr>
      <t>Court Order 314of2008</t>
    </r>
    <r>
      <rPr>
        <sz val="8"/>
        <rFont val="Arial"/>
        <family val="2"/>
      </rPr>
      <t xml:space="preserve">
Court Order 488of2014</t>
    </r>
  </si>
  <si>
    <t>Lot 13 RP 72829</t>
  </si>
  <si>
    <t>36 Mary Street
NOOSAVILLE</t>
  </si>
  <si>
    <t xml:space="preserve">Commercial Business - Type 1 - Office 44m2 gfa additional to existing = additional 41m2 impervious area     </t>
  </si>
  <si>
    <t>N/A only applying additional area</t>
  </si>
  <si>
    <r>
      <rPr>
        <strike/>
        <sz val="10"/>
        <rFont val="Arial"/>
        <family val="2"/>
      </rPr>
      <t>26/06/2018</t>
    </r>
    <r>
      <rPr>
        <sz val="10"/>
        <rFont val="Arial"/>
        <family val="2"/>
      </rPr>
      <t xml:space="preserve">
</t>
    </r>
    <r>
      <rPr>
        <sz val="10"/>
        <color rgb="FF0000FF"/>
        <rFont val="Arial"/>
        <family val="2"/>
      </rPr>
      <t>6/02/2019</t>
    </r>
  </si>
  <si>
    <t xml:space="preserve">Refer previous approval 132006.2552 since lapsed &amp;  2005/1917 completed where previous existing development use credits were applied &amp; used up.
</t>
  </si>
  <si>
    <r>
      <t xml:space="preserve">Material Change of Use
</t>
    </r>
    <r>
      <rPr>
        <sz val="10"/>
        <color rgb="FF0000FF"/>
        <rFont val="Arial"/>
        <family val="2"/>
      </rPr>
      <t>Appeal 2985of 2014 Court Judgement approved 6/02/2015</t>
    </r>
  </si>
  <si>
    <r>
      <t xml:space="preserve">USE COMMENCED
</t>
    </r>
    <r>
      <rPr>
        <sz val="8"/>
        <color rgb="FF0000FF"/>
        <rFont val="Arial"/>
        <family val="2"/>
      </rPr>
      <t xml:space="preserve">COMPOUND INTEREST COMMENCED 31 Jan 2012
</t>
    </r>
    <r>
      <rPr>
        <b/>
        <sz val="8"/>
        <color rgb="FF0000FF"/>
        <rFont val="Arial"/>
        <family val="2"/>
      </rPr>
      <t>IC Paid 4/4/2014</t>
    </r>
    <r>
      <rPr>
        <b/>
        <sz val="8"/>
        <color indexed="10"/>
        <rFont val="Arial"/>
        <family val="2"/>
      </rPr>
      <t xml:space="preserve">
</t>
    </r>
    <r>
      <rPr>
        <b/>
        <sz val="8"/>
        <color rgb="FF0000FF"/>
        <rFont val="Arial"/>
        <family val="2"/>
      </rPr>
      <t>Outstanding Open Space Paid 18/02/2015</t>
    </r>
  </si>
  <si>
    <t xml:space="preserve"> 07/1841 DA applies IC 985 &amp; contributions for other networks</t>
  </si>
  <si>
    <r>
      <t xml:space="preserve">132002.20333.1
</t>
    </r>
    <r>
      <rPr>
        <sz val="10"/>
        <color rgb="FF0000FF"/>
        <rFont val="Arial"/>
        <family val="2"/>
      </rPr>
      <t>(Amended Change to Existing Approval 22877 DA)</t>
    </r>
  </si>
  <si>
    <r>
      <rPr>
        <strike/>
        <sz val="10"/>
        <rFont val="Arial"/>
        <family val="2"/>
      </rPr>
      <t>Michael Gowland</t>
    </r>
    <r>
      <rPr>
        <sz val="10"/>
        <rFont val="Arial"/>
        <family val="2"/>
      </rPr>
      <t xml:space="preserve">
Windrim Contructions Pty Ltd</t>
    </r>
  </si>
  <si>
    <r>
      <t xml:space="preserve">3B-326 (PA)
</t>
    </r>
    <r>
      <rPr>
        <sz val="8"/>
        <color rgb="FF0000FF"/>
        <rFont val="Arial"/>
        <family val="2"/>
      </rPr>
      <t>Change to Existing
51993.1022.02</t>
    </r>
    <r>
      <rPr>
        <b/>
        <sz val="8"/>
        <rFont val="Arial"/>
        <family val="2"/>
      </rPr>
      <t xml:space="preserve">
</t>
    </r>
  </si>
  <si>
    <r>
      <t>361</t>
    </r>
    <r>
      <rPr>
        <sz val="10"/>
        <color rgb="FFFF0000"/>
        <rFont val="Arial"/>
        <family val="2"/>
      </rPr>
      <t xml:space="preserve">
</t>
    </r>
    <r>
      <rPr>
        <sz val="10"/>
        <color rgb="FF0000FF"/>
        <rFont val="Arial"/>
        <family val="2"/>
      </rPr>
      <t>Certificate of Classification issued</t>
    </r>
  </si>
  <si>
    <t>Industry Type 2 - Production, alteration, repackaging and repairing - 2040m² gfa (industry) estimated from plans
Impervious Area - 3380m² (this includes the unconstructed internal access road)</t>
  </si>
  <si>
    <r>
      <rPr>
        <b/>
        <sz val="10"/>
        <color rgb="FF0000FF"/>
        <rFont val="Arial"/>
        <family val="2"/>
      </rPr>
      <t xml:space="preserve">N </t>
    </r>
    <r>
      <rPr>
        <b/>
        <sz val="10"/>
        <rFont val="Arial"/>
        <family val="2"/>
      </rPr>
      <t xml:space="preserve">1011
</t>
    </r>
    <r>
      <rPr>
        <sz val="10"/>
        <color rgb="FF0000FF"/>
        <rFont val="Arial"/>
        <family val="2"/>
      </rPr>
      <t>Certificate of Classification Issued</t>
    </r>
  </si>
  <si>
    <r>
      <t xml:space="preserve">42 Hofmann Dr NOOSAVILLE
</t>
    </r>
    <r>
      <rPr>
        <sz val="10"/>
        <color rgb="FF0000FF"/>
        <rFont val="Arial"/>
        <family val="2"/>
      </rPr>
      <t>Proposed Future Lot 3
Now 81 Rene St</t>
    </r>
  </si>
  <si>
    <r>
      <rPr>
        <b/>
        <sz val="10"/>
        <color rgb="FF0000FF"/>
        <rFont val="Arial"/>
        <family val="2"/>
      </rPr>
      <t xml:space="preserve">N </t>
    </r>
    <r>
      <rPr>
        <b/>
        <sz val="10"/>
        <rFont val="Arial"/>
        <family val="2"/>
      </rPr>
      <t xml:space="preserve">1040
</t>
    </r>
    <r>
      <rPr>
        <sz val="10"/>
        <color rgb="FF0000FF"/>
        <rFont val="Arial"/>
        <family val="2"/>
      </rPr>
      <t xml:space="preserve">Building Approval </t>
    </r>
    <r>
      <rPr>
        <b/>
        <sz val="10"/>
        <color rgb="FF0000FF"/>
        <rFont val="Arial"/>
        <family val="2"/>
      </rPr>
      <t xml:space="preserve">PC15/0072 </t>
    </r>
    <r>
      <rPr>
        <sz val="10"/>
        <color rgb="FF0000FF"/>
        <rFont val="Arial"/>
        <family val="2"/>
      </rPr>
      <t>30/01/2015</t>
    </r>
  </si>
  <si>
    <r>
      <t xml:space="preserve">525
</t>
    </r>
    <r>
      <rPr>
        <sz val="10"/>
        <color rgb="FFFF0000"/>
        <rFont val="Arial"/>
        <family val="2"/>
      </rPr>
      <t xml:space="preserve"> </t>
    </r>
    <r>
      <rPr>
        <sz val="10"/>
        <color rgb="FF0000FF"/>
        <rFont val="Arial"/>
        <family val="2"/>
      </rPr>
      <t xml:space="preserve">Building App PC14/0532
Plumb Approval
PL14/0329 
OPW14/0209 completed
</t>
    </r>
    <r>
      <rPr>
        <b/>
        <sz val="10"/>
        <color rgb="FFFF0000"/>
        <rFont val="Arial"/>
        <family val="2"/>
      </rPr>
      <t>Use Commenced</t>
    </r>
  </si>
  <si>
    <t>REC14/0014</t>
  </si>
  <si>
    <t>Mr MJ Iriondo</t>
  </si>
  <si>
    <t>C/- Max Watterson &amp; Associates
PO Box 639
COOROY  QLD  4563</t>
  </si>
  <si>
    <t>Lot 5 SP 143428</t>
  </si>
  <si>
    <t>89 Garnet St COOROY  QLD  4563</t>
  </si>
  <si>
    <t>4 Residential Lots</t>
  </si>
  <si>
    <t>1 residential Lot with house</t>
  </si>
  <si>
    <r>
      <rPr>
        <b/>
        <sz val="10"/>
        <color rgb="FF0000FF"/>
        <rFont val="Arial"/>
        <family val="2"/>
      </rPr>
      <t xml:space="preserve">N </t>
    </r>
    <r>
      <rPr>
        <b/>
        <sz val="10"/>
        <rFont val="Arial"/>
        <family val="2"/>
      </rPr>
      <t>1064</t>
    </r>
    <r>
      <rPr>
        <sz val="11"/>
        <color theme="1"/>
        <rFont val="Calibri"/>
        <family val="2"/>
        <scheme val="minor"/>
      </rPr>
      <t/>
    </r>
  </si>
  <si>
    <r>
      <rPr>
        <b/>
        <sz val="10"/>
        <color rgb="FF0000FF"/>
        <rFont val="Arial"/>
        <family val="2"/>
      </rPr>
      <t xml:space="preserve">N </t>
    </r>
    <r>
      <rPr>
        <b/>
        <sz val="10"/>
        <rFont val="Arial"/>
        <family val="2"/>
      </rPr>
      <t>1067</t>
    </r>
    <r>
      <rPr>
        <sz val="11"/>
        <color theme="1"/>
        <rFont val="Calibri"/>
        <family val="2"/>
        <scheme val="minor"/>
      </rPr>
      <t/>
    </r>
  </si>
  <si>
    <r>
      <rPr>
        <b/>
        <sz val="10"/>
        <color rgb="FF0000FF"/>
        <rFont val="Arial"/>
        <family val="2"/>
      </rPr>
      <t xml:space="preserve">N </t>
    </r>
    <r>
      <rPr>
        <b/>
        <sz val="10"/>
        <rFont val="Arial"/>
        <family val="2"/>
      </rPr>
      <t>1069</t>
    </r>
    <r>
      <rPr>
        <sz val="11"/>
        <color theme="1"/>
        <rFont val="Calibri"/>
        <family val="2"/>
        <scheme val="minor"/>
      </rPr>
      <t/>
    </r>
  </si>
  <si>
    <r>
      <rPr>
        <b/>
        <sz val="10"/>
        <color rgb="FF0000FF"/>
        <rFont val="Arial"/>
        <family val="2"/>
      </rPr>
      <t xml:space="preserve">N </t>
    </r>
    <r>
      <rPr>
        <b/>
        <sz val="10"/>
        <rFont val="Arial"/>
        <family val="2"/>
      </rPr>
      <t>1070</t>
    </r>
    <r>
      <rPr>
        <sz val="11"/>
        <color theme="1"/>
        <rFont val="Calibri"/>
        <family val="2"/>
        <scheme val="minor"/>
      </rPr>
      <t/>
    </r>
  </si>
  <si>
    <r>
      <rPr>
        <b/>
        <sz val="10"/>
        <color rgb="FF0000FF"/>
        <rFont val="Arial"/>
        <family val="2"/>
      </rPr>
      <t xml:space="preserve">N </t>
    </r>
    <r>
      <rPr>
        <b/>
        <sz val="10"/>
        <rFont val="Arial"/>
        <family val="2"/>
      </rPr>
      <t>1076</t>
    </r>
    <r>
      <rPr>
        <sz val="11"/>
        <color theme="1"/>
        <rFont val="Calibri"/>
        <family val="2"/>
        <scheme val="minor"/>
      </rPr>
      <t/>
    </r>
  </si>
  <si>
    <r>
      <rPr>
        <b/>
        <sz val="10"/>
        <color rgb="FF0000FF"/>
        <rFont val="Arial"/>
        <family val="2"/>
      </rPr>
      <t xml:space="preserve">N </t>
    </r>
    <r>
      <rPr>
        <b/>
        <sz val="10"/>
        <rFont val="Arial"/>
        <family val="2"/>
      </rPr>
      <t>1078</t>
    </r>
    <r>
      <rPr>
        <sz val="11"/>
        <color theme="1"/>
        <rFont val="Calibri"/>
        <family val="2"/>
        <scheme val="minor"/>
      </rPr>
      <t/>
    </r>
  </si>
  <si>
    <r>
      <rPr>
        <b/>
        <sz val="10"/>
        <color rgb="FF0000FF"/>
        <rFont val="Arial"/>
        <family val="2"/>
      </rPr>
      <t xml:space="preserve">N </t>
    </r>
    <r>
      <rPr>
        <b/>
        <sz val="10"/>
        <rFont val="Arial"/>
        <family val="2"/>
      </rPr>
      <t>1079</t>
    </r>
    <r>
      <rPr>
        <sz val="11"/>
        <color theme="1"/>
        <rFont val="Calibri"/>
        <family val="2"/>
        <scheme val="minor"/>
      </rPr>
      <t/>
    </r>
  </si>
  <si>
    <r>
      <rPr>
        <b/>
        <sz val="10"/>
        <color rgb="FF0000FF"/>
        <rFont val="Arial"/>
        <family val="2"/>
      </rPr>
      <t xml:space="preserve">N </t>
    </r>
    <r>
      <rPr>
        <b/>
        <sz val="10"/>
        <rFont val="Arial"/>
        <family val="2"/>
      </rPr>
      <t>1085</t>
    </r>
    <r>
      <rPr>
        <sz val="11"/>
        <color theme="1"/>
        <rFont val="Calibri"/>
        <family val="2"/>
        <scheme val="minor"/>
      </rPr>
      <t/>
    </r>
  </si>
  <si>
    <r>
      <rPr>
        <b/>
        <sz val="10"/>
        <color rgb="FF0000FF"/>
        <rFont val="Arial"/>
        <family val="2"/>
      </rPr>
      <t xml:space="preserve">N </t>
    </r>
    <r>
      <rPr>
        <b/>
        <sz val="10"/>
        <rFont val="Arial"/>
        <family val="2"/>
      </rPr>
      <t>1087</t>
    </r>
    <r>
      <rPr>
        <sz val="11"/>
        <color theme="1"/>
        <rFont val="Calibri"/>
        <family val="2"/>
        <scheme val="minor"/>
      </rPr>
      <t/>
    </r>
  </si>
  <si>
    <r>
      <rPr>
        <b/>
        <sz val="10"/>
        <color rgb="FF0000FF"/>
        <rFont val="Arial"/>
        <family val="2"/>
      </rPr>
      <t xml:space="preserve">N </t>
    </r>
    <r>
      <rPr>
        <b/>
        <sz val="10"/>
        <rFont val="Arial"/>
        <family val="2"/>
      </rPr>
      <t>1088</t>
    </r>
    <r>
      <rPr>
        <sz val="11"/>
        <color theme="1"/>
        <rFont val="Calibri"/>
        <family val="2"/>
        <scheme val="minor"/>
      </rPr>
      <t/>
    </r>
  </si>
  <si>
    <r>
      <rPr>
        <b/>
        <sz val="10"/>
        <color rgb="FF0000FF"/>
        <rFont val="Arial"/>
        <family val="2"/>
      </rPr>
      <t xml:space="preserve">N </t>
    </r>
    <r>
      <rPr>
        <b/>
        <sz val="10"/>
        <rFont val="Arial"/>
        <family val="2"/>
      </rPr>
      <t>1091</t>
    </r>
    <r>
      <rPr>
        <sz val="11"/>
        <color theme="1"/>
        <rFont val="Calibri"/>
        <family val="2"/>
        <scheme val="minor"/>
      </rPr>
      <t/>
    </r>
  </si>
  <si>
    <r>
      <rPr>
        <b/>
        <sz val="10"/>
        <color rgb="FF0000FF"/>
        <rFont val="Arial"/>
        <family val="2"/>
      </rPr>
      <t xml:space="preserve">N </t>
    </r>
    <r>
      <rPr>
        <b/>
        <sz val="10"/>
        <rFont val="Arial"/>
        <family val="2"/>
      </rPr>
      <t>1097</t>
    </r>
    <r>
      <rPr>
        <sz val="11"/>
        <color theme="1"/>
        <rFont val="Calibri"/>
        <family val="2"/>
        <scheme val="minor"/>
      </rPr>
      <t/>
    </r>
  </si>
  <si>
    <r>
      <rPr>
        <b/>
        <sz val="10"/>
        <color rgb="FF0000FF"/>
        <rFont val="Arial"/>
        <family val="2"/>
      </rPr>
      <t xml:space="preserve">N </t>
    </r>
    <r>
      <rPr>
        <b/>
        <sz val="10"/>
        <rFont val="Arial"/>
        <family val="2"/>
      </rPr>
      <t>1099</t>
    </r>
    <r>
      <rPr>
        <sz val="11"/>
        <color theme="1"/>
        <rFont val="Calibri"/>
        <family val="2"/>
        <scheme val="minor"/>
      </rPr>
      <t/>
    </r>
  </si>
  <si>
    <t>93 Valley Drive DOONAN  QLD  4562</t>
  </si>
  <si>
    <t>5/56 Duke Street
SUNSHINE BEACH  QLD  4567</t>
  </si>
  <si>
    <r>
      <rPr>
        <sz val="8"/>
        <color rgb="FFFF0000"/>
        <rFont val="Arial"/>
        <family val="2"/>
      </rPr>
      <t xml:space="preserve">$2,728  Jun-09
COMPOUND INTEREST COMMENCED 31/05/2014
</t>
    </r>
    <r>
      <rPr>
        <sz val="8"/>
        <color rgb="FF0000FF"/>
        <rFont val="Arial"/>
        <family val="2"/>
      </rPr>
      <t>$3,356 @ 2/03/2015 handover to Rates 9/03/2015</t>
    </r>
  </si>
  <si>
    <r>
      <t xml:space="preserve">3B-326 (PA)
</t>
    </r>
    <r>
      <rPr>
        <sz val="8"/>
        <color rgb="FF0000FF"/>
        <rFont val="Arial"/>
        <family val="2"/>
      </rPr>
      <t>Change to Existing Approval
51993.1022.02</t>
    </r>
    <r>
      <rPr>
        <b/>
        <sz val="8"/>
        <rFont val="Arial"/>
        <family val="2"/>
      </rPr>
      <t xml:space="preserve">
</t>
    </r>
  </si>
  <si>
    <r>
      <t>0, 1, 2, 3, 4, 5 &amp; 6 BUP 102018 (</t>
    </r>
    <r>
      <rPr>
        <sz val="8"/>
        <color indexed="12"/>
        <rFont val="Arial"/>
        <family val="2"/>
      </rPr>
      <t>Charge only applies to increased development on LOT 5)</t>
    </r>
  </si>
  <si>
    <r>
      <rPr>
        <strike/>
        <sz val="8"/>
        <rFont val="Arial"/>
        <family val="2"/>
      </rPr>
      <t>RSL Care</t>
    </r>
    <r>
      <rPr>
        <sz val="8"/>
        <rFont val="Arial"/>
        <family val="2"/>
      </rPr>
      <t xml:space="preserve">
Palm Lake Works</t>
    </r>
  </si>
  <si>
    <r>
      <rPr>
        <strike/>
        <sz val="8"/>
        <rFont val="Arial"/>
        <family val="2"/>
      </rPr>
      <t>CARE PlanTech Town Planners Pty Ltd
PO Box 228
ESK  QLD  4312</t>
    </r>
    <r>
      <rPr>
        <sz val="8"/>
        <rFont val="Arial"/>
        <family val="2"/>
      </rPr>
      <t xml:space="preserve">
</t>
    </r>
    <r>
      <rPr>
        <sz val="8"/>
        <color rgb="FFFF0000"/>
        <rFont val="Arial"/>
        <family val="2"/>
      </rPr>
      <t>PO Box 10479
SOUTHPORT  QLD  4215</t>
    </r>
  </si>
  <si>
    <t>March 2015
Total =</t>
  </si>
  <si>
    <t xml:space="preserve">Jun-09
Forwarded to Unitywater to recover outstanding per email 12/03/2015 
ECM doc: 19877285 </t>
  </si>
  <si>
    <r>
      <rPr>
        <b/>
        <sz val="10"/>
        <color rgb="FF0000FF"/>
        <rFont val="Arial"/>
        <family val="2"/>
      </rPr>
      <t xml:space="preserve">N </t>
    </r>
    <r>
      <rPr>
        <b/>
        <sz val="10"/>
        <rFont val="Arial"/>
        <family val="2"/>
      </rPr>
      <t>1101</t>
    </r>
    <r>
      <rPr>
        <sz val="11"/>
        <color theme="1"/>
        <rFont val="Calibri"/>
        <family val="2"/>
        <scheme val="minor"/>
      </rPr>
      <t/>
    </r>
  </si>
  <si>
    <r>
      <rPr>
        <b/>
        <sz val="10"/>
        <color rgb="FF0000FF"/>
        <rFont val="Arial"/>
        <family val="2"/>
      </rPr>
      <t xml:space="preserve">N </t>
    </r>
    <r>
      <rPr>
        <b/>
        <sz val="10"/>
        <rFont val="Arial"/>
        <family val="2"/>
      </rPr>
      <t>1102</t>
    </r>
    <r>
      <rPr>
        <sz val="11"/>
        <color theme="1"/>
        <rFont val="Calibri"/>
        <family val="2"/>
        <scheme val="minor"/>
      </rPr>
      <t/>
    </r>
  </si>
  <si>
    <r>
      <rPr>
        <b/>
        <sz val="10"/>
        <color rgb="FF0000FF"/>
        <rFont val="Arial"/>
        <family val="2"/>
      </rPr>
      <t xml:space="preserve">N </t>
    </r>
    <r>
      <rPr>
        <b/>
        <sz val="10"/>
        <rFont val="Arial"/>
        <family val="2"/>
      </rPr>
      <t>1103</t>
    </r>
    <r>
      <rPr>
        <sz val="11"/>
        <color theme="1"/>
        <rFont val="Calibri"/>
        <family val="2"/>
        <scheme val="minor"/>
      </rPr>
      <t/>
    </r>
  </si>
  <si>
    <r>
      <rPr>
        <b/>
        <sz val="10"/>
        <color rgb="FF0000FF"/>
        <rFont val="Arial"/>
        <family val="2"/>
      </rPr>
      <t xml:space="preserve">N </t>
    </r>
    <r>
      <rPr>
        <b/>
        <sz val="10"/>
        <rFont val="Arial"/>
        <family val="2"/>
      </rPr>
      <t>1107</t>
    </r>
    <r>
      <rPr>
        <sz val="11"/>
        <color theme="1"/>
        <rFont val="Calibri"/>
        <family val="2"/>
        <scheme val="minor"/>
      </rPr>
      <t/>
    </r>
  </si>
  <si>
    <r>
      <rPr>
        <b/>
        <sz val="10"/>
        <color rgb="FF0000FF"/>
        <rFont val="Arial"/>
        <family val="2"/>
      </rPr>
      <t xml:space="preserve">N </t>
    </r>
    <r>
      <rPr>
        <b/>
        <sz val="10"/>
        <rFont val="Arial"/>
        <family val="2"/>
      </rPr>
      <t>1109</t>
    </r>
    <r>
      <rPr>
        <sz val="11"/>
        <color theme="1"/>
        <rFont val="Calibri"/>
        <family val="2"/>
        <scheme val="minor"/>
      </rPr>
      <t/>
    </r>
  </si>
  <si>
    <r>
      <rPr>
        <b/>
        <sz val="10"/>
        <color rgb="FF0000FF"/>
        <rFont val="Arial"/>
        <family val="2"/>
      </rPr>
      <t xml:space="preserve">N </t>
    </r>
    <r>
      <rPr>
        <b/>
        <sz val="10"/>
        <rFont val="Arial"/>
        <family val="2"/>
      </rPr>
      <t>1112</t>
    </r>
    <r>
      <rPr>
        <sz val="11"/>
        <color theme="1"/>
        <rFont val="Calibri"/>
        <family val="2"/>
        <scheme val="minor"/>
      </rPr>
      <t/>
    </r>
  </si>
  <si>
    <r>
      <rPr>
        <b/>
        <sz val="10"/>
        <color rgb="FF0000FF"/>
        <rFont val="Arial"/>
        <family val="2"/>
      </rPr>
      <t xml:space="preserve">N </t>
    </r>
    <r>
      <rPr>
        <b/>
        <sz val="10"/>
        <rFont val="Arial"/>
        <family val="2"/>
      </rPr>
      <t>1113</t>
    </r>
    <r>
      <rPr>
        <sz val="11"/>
        <color theme="1"/>
        <rFont val="Calibri"/>
        <family val="2"/>
        <scheme val="minor"/>
      </rPr>
      <t/>
    </r>
  </si>
  <si>
    <r>
      <rPr>
        <b/>
        <sz val="10"/>
        <color rgb="FF0000FF"/>
        <rFont val="Arial"/>
        <family val="2"/>
      </rPr>
      <t xml:space="preserve">N </t>
    </r>
    <r>
      <rPr>
        <b/>
        <sz val="10"/>
        <rFont val="Arial"/>
        <family val="2"/>
      </rPr>
      <t>1115</t>
    </r>
    <r>
      <rPr>
        <sz val="11"/>
        <color theme="1"/>
        <rFont val="Calibri"/>
        <family val="2"/>
        <scheme val="minor"/>
      </rPr>
      <t/>
    </r>
  </si>
  <si>
    <r>
      <rPr>
        <b/>
        <sz val="10"/>
        <color rgb="FF0000FF"/>
        <rFont val="Arial"/>
        <family val="2"/>
      </rPr>
      <t xml:space="preserve">N </t>
    </r>
    <r>
      <rPr>
        <b/>
        <sz val="10"/>
        <rFont val="Arial"/>
        <family val="2"/>
      </rPr>
      <t>1118</t>
    </r>
    <r>
      <rPr>
        <sz val="11"/>
        <color theme="1"/>
        <rFont val="Calibri"/>
        <family val="2"/>
        <scheme val="minor"/>
      </rPr>
      <t/>
    </r>
  </si>
  <si>
    <r>
      <rPr>
        <b/>
        <sz val="10"/>
        <color rgb="FF0000FF"/>
        <rFont val="Arial"/>
        <family val="2"/>
      </rPr>
      <t xml:space="preserve">N </t>
    </r>
    <r>
      <rPr>
        <b/>
        <sz val="10"/>
        <rFont val="Arial"/>
        <family val="2"/>
      </rPr>
      <t>1121</t>
    </r>
    <r>
      <rPr>
        <sz val="11"/>
        <color theme="1"/>
        <rFont val="Calibri"/>
        <family val="2"/>
        <scheme val="minor"/>
      </rPr>
      <t/>
    </r>
  </si>
  <si>
    <r>
      <rPr>
        <b/>
        <sz val="10"/>
        <color rgb="FF0000FF"/>
        <rFont val="Arial"/>
        <family val="2"/>
      </rPr>
      <t xml:space="preserve">N </t>
    </r>
    <r>
      <rPr>
        <b/>
        <sz val="10"/>
        <rFont val="Arial"/>
        <family val="2"/>
      </rPr>
      <t>1124</t>
    </r>
    <r>
      <rPr>
        <sz val="11"/>
        <color theme="1"/>
        <rFont val="Calibri"/>
        <family val="2"/>
        <scheme val="minor"/>
      </rPr>
      <t/>
    </r>
  </si>
  <si>
    <r>
      <rPr>
        <b/>
        <sz val="10"/>
        <color rgb="FF0000FF"/>
        <rFont val="Arial"/>
        <family val="2"/>
      </rPr>
      <t xml:space="preserve">N </t>
    </r>
    <r>
      <rPr>
        <b/>
        <sz val="10"/>
        <rFont val="Arial"/>
        <family val="2"/>
      </rPr>
      <t>1125</t>
    </r>
    <r>
      <rPr>
        <sz val="11"/>
        <color theme="1"/>
        <rFont val="Calibri"/>
        <family val="2"/>
        <scheme val="minor"/>
      </rPr>
      <t/>
    </r>
  </si>
  <si>
    <r>
      <rPr>
        <b/>
        <sz val="10"/>
        <color rgb="FF0000FF"/>
        <rFont val="Arial"/>
        <family val="2"/>
      </rPr>
      <t xml:space="preserve">N </t>
    </r>
    <r>
      <rPr>
        <b/>
        <sz val="10"/>
        <rFont val="Arial"/>
        <family val="2"/>
      </rPr>
      <t>1127</t>
    </r>
    <r>
      <rPr>
        <sz val="11"/>
        <color theme="1"/>
        <rFont val="Calibri"/>
        <family val="2"/>
        <scheme val="minor"/>
      </rPr>
      <t/>
    </r>
  </si>
  <si>
    <r>
      <rPr>
        <b/>
        <sz val="10"/>
        <color rgb="FF0000FF"/>
        <rFont val="Arial"/>
        <family val="2"/>
      </rPr>
      <t xml:space="preserve">N </t>
    </r>
    <r>
      <rPr>
        <b/>
        <sz val="10"/>
        <rFont val="Arial"/>
        <family val="2"/>
      </rPr>
      <t>1128</t>
    </r>
    <r>
      <rPr>
        <sz val="11"/>
        <color theme="1"/>
        <rFont val="Calibri"/>
        <family val="2"/>
        <scheme val="minor"/>
      </rPr>
      <t/>
    </r>
  </si>
  <si>
    <r>
      <rPr>
        <b/>
        <sz val="10"/>
        <color rgb="FF0000FF"/>
        <rFont val="Arial"/>
        <family val="2"/>
      </rPr>
      <t xml:space="preserve">N </t>
    </r>
    <r>
      <rPr>
        <b/>
        <sz val="10"/>
        <rFont val="Arial"/>
        <family val="2"/>
      </rPr>
      <t>1131</t>
    </r>
    <r>
      <rPr>
        <sz val="11"/>
        <color theme="1"/>
        <rFont val="Calibri"/>
        <family val="2"/>
        <scheme val="minor"/>
      </rPr>
      <t/>
    </r>
  </si>
  <si>
    <r>
      <rPr>
        <b/>
        <sz val="10"/>
        <color rgb="FF0000FF"/>
        <rFont val="Arial"/>
        <family val="2"/>
      </rPr>
      <t xml:space="preserve">N </t>
    </r>
    <r>
      <rPr>
        <b/>
        <sz val="10"/>
        <rFont val="Arial"/>
        <family val="2"/>
      </rPr>
      <t>1132</t>
    </r>
    <r>
      <rPr>
        <sz val="11"/>
        <color theme="1"/>
        <rFont val="Calibri"/>
        <family val="2"/>
        <scheme val="minor"/>
      </rPr>
      <t/>
    </r>
  </si>
  <si>
    <r>
      <rPr>
        <b/>
        <sz val="10"/>
        <color rgb="FF0000FF"/>
        <rFont val="Arial"/>
        <family val="2"/>
      </rPr>
      <t xml:space="preserve">N </t>
    </r>
    <r>
      <rPr>
        <b/>
        <sz val="10"/>
        <rFont val="Arial"/>
        <family val="2"/>
      </rPr>
      <t>1133</t>
    </r>
    <r>
      <rPr>
        <sz val="11"/>
        <color theme="1"/>
        <rFont val="Calibri"/>
        <family val="2"/>
        <scheme val="minor"/>
      </rPr>
      <t/>
    </r>
  </si>
  <si>
    <r>
      <rPr>
        <b/>
        <sz val="10"/>
        <color rgb="FF0000FF"/>
        <rFont val="Arial"/>
        <family val="2"/>
      </rPr>
      <t xml:space="preserve">N </t>
    </r>
    <r>
      <rPr>
        <b/>
        <sz val="10"/>
        <rFont val="Arial"/>
        <family val="2"/>
      </rPr>
      <t>1134</t>
    </r>
    <r>
      <rPr>
        <sz val="11"/>
        <color theme="1"/>
        <rFont val="Calibri"/>
        <family val="2"/>
        <scheme val="minor"/>
      </rPr>
      <t/>
    </r>
  </si>
  <si>
    <r>
      <rPr>
        <b/>
        <sz val="10"/>
        <color rgb="FF0000FF"/>
        <rFont val="Arial"/>
        <family val="2"/>
      </rPr>
      <t xml:space="preserve">N </t>
    </r>
    <r>
      <rPr>
        <b/>
        <sz val="10"/>
        <rFont val="Arial"/>
        <family val="2"/>
      </rPr>
      <t>1137</t>
    </r>
    <r>
      <rPr>
        <sz val="11"/>
        <color theme="1"/>
        <rFont val="Calibri"/>
        <family val="2"/>
        <scheme val="minor"/>
      </rPr>
      <t/>
    </r>
  </si>
  <si>
    <r>
      <rPr>
        <b/>
        <sz val="10"/>
        <color rgb="FF0000FF"/>
        <rFont val="Arial"/>
        <family val="2"/>
      </rPr>
      <t xml:space="preserve">N </t>
    </r>
    <r>
      <rPr>
        <b/>
        <sz val="10"/>
        <rFont val="Arial"/>
        <family val="2"/>
      </rPr>
      <t>1138</t>
    </r>
    <r>
      <rPr>
        <sz val="11"/>
        <color theme="1"/>
        <rFont val="Calibri"/>
        <family val="2"/>
        <scheme val="minor"/>
      </rPr>
      <t/>
    </r>
  </si>
  <si>
    <r>
      <rPr>
        <b/>
        <sz val="10"/>
        <color rgb="FF0000FF"/>
        <rFont val="Arial"/>
        <family val="2"/>
      </rPr>
      <t xml:space="preserve">N </t>
    </r>
    <r>
      <rPr>
        <b/>
        <sz val="10"/>
        <rFont val="Arial"/>
        <family val="2"/>
      </rPr>
      <t>1142</t>
    </r>
    <r>
      <rPr>
        <sz val="11"/>
        <color theme="1"/>
        <rFont val="Calibri"/>
        <family val="2"/>
        <scheme val="minor"/>
      </rPr>
      <t/>
    </r>
  </si>
  <si>
    <r>
      <rPr>
        <b/>
        <sz val="10"/>
        <color rgb="FF0000FF"/>
        <rFont val="Arial"/>
        <family val="2"/>
      </rPr>
      <t xml:space="preserve">N </t>
    </r>
    <r>
      <rPr>
        <b/>
        <sz val="10"/>
        <rFont val="Arial"/>
        <family val="2"/>
      </rPr>
      <t>1148</t>
    </r>
    <r>
      <rPr>
        <sz val="11"/>
        <color theme="1"/>
        <rFont val="Calibri"/>
        <family val="2"/>
        <scheme val="minor"/>
      </rPr>
      <t/>
    </r>
  </si>
  <si>
    <r>
      <rPr>
        <b/>
        <sz val="10"/>
        <color rgb="FF0000FF"/>
        <rFont val="Arial"/>
        <family val="2"/>
      </rPr>
      <t xml:space="preserve">N </t>
    </r>
    <r>
      <rPr>
        <b/>
        <sz val="10"/>
        <rFont val="Arial"/>
        <family val="2"/>
      </rPr>
      <t>1149</t>
    </r>
    <r>
      <rPr>
        <sz val="11"/>
        <color theme="1"/>
        <rFont val="Calibri"/>
        <family val="2"/>
        <scheme val="minor"/>
      </rPr>
      <t/>
    </r>
  </si>
  <si>
    <r>
      <rPr>
        <b/>
        <sz val="10"/>
        <color rgb="FF0000FF"/>
        <rFont val="Arial"/>
        <family val="2"/>
      </rPr>
      <t xml:space="preserve">N </t>
    </r>
    <r>
      <rPr>
        <b/>
        <sz val="10"/>
        <rFont val="Arial"/>
        <family val="2"/>
      </rPr>
      <t>1150</t>
    </r>
    <r>
      <rPr>
        <sz val="11"/>
        <color theme="1"/>
        <rFont val="Calibri"/>
        <family val="2"/>
        <scheme val="minor"/>
      </rPr>
      <t/>
    </r>
  </si>
  <si>
    <r>
      <t xml:space="preserve">REC13/0146
</t>
    </r>
    <r>
      <rPr>
        <sz val="10"/>
        <color rgb="FF0000FF"/>
        <rFont val="Arial"/>
        <family val="2"/>
      </rPr>
      <t>(Erindale Park Stage 3)</t>
    </r>
  </si>
  <si>
    <t>Lot 5 SP 266731 
&amp; 
8 SP 266743</t>
  </si>
  <si>
    <t>61 Lake Macdonald Drive 
&amp; 
1 Wilgee Court COOROY</t>
  </si>
  <si>
    <t>2 Residential Lots</t>
  </si>
  <si>
    <t>17 Residential Lots</t>
  </si>
  <si>
    <r>
      <t xml:space="preserve">REC14/0008
</t>
    </r>
    <r>
      <rPr>
        <sz val="10"/>
        <color rgb="FF0000FF"/>
        <rFont val="Arial"/>
        <family val="2"/>
      </rPr>
      <t>(Erindale Park Stage 5)</t>
    </r>
  </si>
  <si>
    <r>
      <t xml:space="preserve">REC14/0009
</t>
    </r>
    <r>
      <rPr>
        <sz val="10"/>
        <color rgb="FF0000FF"/>
        <rFont val="Arial"/>
        <family val="2"/>
      </rPr>
      <t>(Erindale Park Stage 6)</t>
    </r>
  </si>
  <si>
    <r>
      <t xml:space="preserve">REC13/0148
(&amp; MCU13/0226)
</t>
    </r>
    <r>
      <rPr>
        <sz val="10"/>
        <color rgb="FF0000FF"/>
        <rFont val="Arial"/>
        <family val="2"/>
      </rPr>
      <t>(Erindale Park Stage 4)</t>
    </r>
  </si>
  <si>
    <r>
      <t xml:space="preserve">Subject to </t>
    </r>
    <r>
      <rPr>
        <b/>
        <sz val="10"/>
        <color rgb="FF0000FF"/>
        <rFont val="Arial"/>
        <family val="2"/>
      </rPr>
      <t xml:space="preserve">Infrastructure Agreement </t>
    </r>
    <r>
      <rPr>
        <sz val="10"/>
        <color rgb="FF0000FF"/>
        <rFont val="Arial"/>
        <family val="2"/>
      </rPr>
      <t xml:space="preserve">- Park &amp; Embelishment 
</t>
    </r>
    <r>
      <rPr>
        <u/>
        <sz val="10"/>
        <color rgb="FF0000FF"/>
        <rFont val="Arial"/>
        <family val="2"/>
      </rPr>
      <t xml:space="preserve">Refund Park contrib </t>
    </r>
    <r>
      <rPr>
        <b/>
        <u/>
        <sz val="10"/>
        <color rgb="FF0000FF"/>
        <rFont val="Arial"/>
        <family val="2"/>
      </rPr>
      <t xml:space="preserve">after </t>
    </r>
    <r>
      <rPr>
        <u/>
        <sz val="10"/>
        <color rgb="FF0000FF"/>
        <rFont val="Arial"/>
        <family val="2"/>
      </rPr>
      <t xml:space="preserve">park embelishment </t>
    </r>
    <r>
      <rPr>
        <b/>
        <u/>
        <sz val="10"/>
        <color rgb="FF0000FF"/>
        <rFont val="Arial"/>
        <family val="2"/>
      </rPr>
      <t>Stage 1</t>
    </r>
    <r>
      <rPr>
        <u/>
        <sz val="10"/>
        <color rgb="FF0000FF"/>
        <rFont val="Arial"/>
        <family val="2"/>
      </rPr>
      <t xml:space="preserve"> completed </t>
    </r>
  </si>
  <si>
    <r>
      <t xml:space="preserve">Subject to </t>
    </r>
    <r>
      <rPr>
        <b/>
        <sz val="10"/>
        <color rgb="FF0000FF"/>
        <rFont val="Arial"/>
        <family val="2"/>
      </rPr>
      <t>Infrastructure Agreement</t>
    </r>
    <r>
      <rPr>
        <sz val="10"/>
        <color rgb="FF0000FF"/>
        <rFont val="Arial"/>
        <family val="2"/>
      </rPr>
      <t xml:space="preserve"> - Park &amp; Embelishment 
</t>
    </r>
    <r>
      <rPr>
        <u/>
        <sz val="10"/>
        <color rgb="FF0000FF"/>
        <rFont val="Arial"/>
        <family val="2"/>
      </rPr>
      <t xml:space="preserve">Refund Park contrib </t>
    </r>
    <r>
      <rPr>
        <b/>
        <u/>
        <sz val="10"/>
        <color rgb="FF0000FF"/>
        <rFont val="Arial"/>
        <family val="2"/>
      </rPr>
      <t xml:space="preserve">after </t>
    </r>
    <r>
      <rPr>
        <u/>
        <sz val="10"/>
        <color rgb="FF0000FF"/>
        <rFont val="Arial"/>
        <family val="2"/>
      </rPr>
      <t xml:space="preserve">park embelishment </t>
    </r>
    <r>
      <rPr>
        <b/>
        <u/>
        <sz val="10"/>
        <color rgb="FF0000FF"/>
        <rFont val="Arial"/>
        <family val="2"/>
      </rPr>
      <t>Stage 1</t>
    </r>
    <r>
      <rPr>
        <u/>
        <sz val="10"/>
        <color rgb="FF0000FF"/>
        <rFont val="Arial"/>
        <family val="2"/>
      </rPr>
      <t xml:space="preserve"> completed </t>
    </r>
  </si>
  <si>
    <t>Subject to Infrastructure Agreement - 
Provision of Park &amp; Embellishment</t>
  </si>
  <si>
    <r>
      <t xml:space="preserve">Subject to </t>
    </r>
    <r>
      <rPr>
        <b/>
        <sz val="10"/>
        <color rgb="FF0000FF"/>
        <rFont val="Arial"/>
        <family val="2"/>
      </rPr>
      <t>Infrastructure Agreement</t>
    </r>
    <r>
      <rPr>
        <sz val="10"/>
        <color rgb="FF0000FF"/>
        <rFont val="Arial"/>
        <family val="2"/>
      </rPr>
      <t xml:space="preserve"> - Park &amp; Embelishment 
</t>
    </r>
    <r>
      <rPr>
        <u/>
        <sz val="10"/>
        <color rgb="FF0000FF"/>
        <rFont val="Arial"/>
        <family val="2"/>
      </rPr>
      <t xml:space="preserve">Offsett Park contrib </t>
    </r>
    <r>
      <rPr>
        <b/>
        <u/>
        <sz val="10"/>
        <color rgb="FF0000FF"/>
        <rFont val="Arial"/>
        <family val="2"/>
      </rPr>
      <t xml:space="preserve">after </t>
    </r>
    <r>
      <rPr>
        <u/>
        <sz val="10"/>
        <color rgb="FF0000FF"/>
        <rFont val="Arial"/>
        <family val="2"/>
      </rPr>
      <t xml:space="preserve">park embelishment </t>
    </r>
    <r>
      <rPr>
        <b/>
        <u/>
        <sz val="10"/>
        <color rgb="FF0000FF"/>
        <rFont val="Arial"/>
        <family val="2"/>
      </rPr>
      <t>Stage 1</t>
    </r>
    <r>
      <rPr>
        <u/>
        <sz val="10"/>
        <color rgb="FF0000FF"/>
        <rFont val="Arial"/>
        <family val="2"/>
      </rPr>
      <t xml:space="preserve"> completed </t>
    </r>
  </si>
  <si>
    <t xml:space="preserve">$1,901 Dec 2013 
IA Stormwater </t>
  </si>
  <si>
    <t>$297 Dec 2013
IA Public Transport</t>
  </si>
  <si>
    <t xml:space="preserve">Paid </t>
  </si>
  <si>
    <t>Extn IA for Missing:
- Stormwater 
- Public Transport
Recorded in AICN Paid</t>
  </si>
  <si>
    <t>10/0659 (DA)
132010.659
(Extn: 132010.659.02)</t>
  </si>
  <si>
    <t>Mr AG Williams &amp; Mrs WJ Williams</t>
  </si>
  <si>
    <t>PO Box 355 TEWANTIN  QLD  4565</t>
  </si>
  <si>
    <t>MCU15/0011</t>
  </si>
  <si>
    <t>DJ Busby</t>
  </si>
  <si>
    <t>C/- Noosa Town Planning
1/75 Main Avenue
WILSTON QLD 4051</t>
  </si>
  <si>
    <t>Lot 1 RP 47639</t>
  </si>
  <si>
    <t>19 Reserve Street
POMONA</t>
  </si>
  <si>
    <t>Commercial Business Type 3 - Veterinary (140 m² - this is a change of internal use of the premises. There is no increase to the gfa as a result of the proposal)
Impervious Area = 437 m²  (additional 66 m² - the condition of approval will give the applicant a choice of either to seal the car park or a permeable surface such as deco. So the additional 66 m² may not eventuate)</t>
  </si>
  <si>
    <t>Commercial Business Type 1 - Office (140 m²)
Impervious Area = 371 m²</t>
  </si>
  <si>
    <r>
      <t xml:space="preserve">330
</t>
    </r>
    <r>
      <rPr>
        <b/>
        <sz val="10"/>
        <color rgb="FFFF0000"/>
        <rFont val="Arial"/>
        <family val="2"/>
      </rPr>
      <t>PC14/0404
Final Issued</t>
    </r>
  </si>
  <si>
    <t>April 2015
Total =</t>
  </si>
  <si>
    <r>
      <t xml:space="preserve">Staged Payment
</t>
    </r>
    <r>
      <rPr>
        <sz val="8"/>
        <color rgb="FF0000FF"/>
        <rFont val="Arial"/>
        <family val="2"/>
      </rPr>
      <t>No. 1 (SCC)
No 2 Paid DD to SCC &amp; transferred to Noosa July 2014</t>
    </r>
    <r>
      <rPr>
        <sz val="8"/>
        <color rgb="FFFF0000"/>
        <rFont val="Arial"/>
        <family val="2"/>
      </rPr>
      <t xml:space="preserve">
</t>
    </r>
    <r>
      <rPr>
        <sz val="8"/>
        <color rgb="FF0000FF"/>
        <rFont val="Arial"/>
        <family val="2"/>
      </rPr>
      <t xml:space="preserve">No. 3 NSA
No.4 NSA
No.4 NSA (O/S $270)
</t>
    </r>
    <r>
      <rPr>
        <b/>
        <sz val="8"/>
        <color rgb="FF0000FF"/>
        <rFont val="Arial"/>
        <family val="2"/>
      </rPr>
      <t>No. 5.1</t>
    </r>
    <r>
      <rPr>
        <sz val="8"/>
        <color rgb="FF0000FF"/>
        <rFont val="Arial"/>
        <family val="2"/>
      </rPr>
      <t xml:space="preserve">
</t>
    </r>
  </si>
  <si>
    <r>
      <t xml:space="preserve">
31/07/2013
9/01/2014
8/10/2014
29/07/2014
5/1/2015
7/1/2015
</t>
    </r>
    <r>
      <rPr>
        <b/>
        <sz val="8"/>
        <color rgb="FF0000FF"/>
        <rFont val="Arial"/>
        <family val="2"/>
      </rPr>
      <t>1/4/2015</t>
    </r>
  </si>
  <si>
    <r>
      <t xml:space="preserve">
1105531 = $22,000
DD to SCRC = $18,409 1156455 Tfr to Nsa
1151566
1159254
1159334
</t>
    </r>
    <r>
      <rPr>
        <b/>
        <sz val="8"/>
        <color rgb="FF0000FF"/>
        <rFont val="Arial"/>
        <family val="2"/>
      </rPr>
      <t>1164776</t>
    </r>
  </si>
  <si>
    <t>April 2015 Total =</t>
  </si>
  <si>
    <r>
      <t xml:space="preserve">282
</t>
    </r>
    <r>
      <rPr>
        <sz val="10"/>
        <color rgb="FFFF0000"/>
        <rFont val="Arial"/>
        <family val="2"/>
      </rPr>
      <t>Overdue</t>
    </r>
    <r>
      <rPr>
        <b/>
        <sz val="10"/>
        <color rgb="FFFF0000"/>
        <rFont val="Arial"/>
        <family val="2"/>
      </rPr>
      <t xml:space="preserve">
</t>
    </r>
    <r>
      <rPr>
        <sz val="10"/>
        <color rgb="FF0000FF"/>
        <rFont val="Arial"/>
        <family val="2"/>
      </rPr>
      <t>Staged Payment Agreement 30/03/2015</t>
    </r>
    <r>
      <rPr>
        <b/>
        <sz val="10"/>
        <color rgb="FF0000FF"/>
        <rFont val="Arial"/>
        <family val="2"/>
      </rPr>
      <t xml:space="preserve">
STAGE PAYMENT 1</t>
    </r>
  </si>
  <si>
    <r>
      <t xml:space="preserve">282
</t>
    </r>
    <r>
      <rPr>
        <sz val="10"/>
        <color rgb="FFFF0000"/>
        <rFont val="Arial"/>
        <family val="2"/>
      </rPr>
      <t>Overdue</t>
    </r>
    <r>
      <rPr>
        <b/>
        <sz val="10"/>
        <color rgb="FFFF0000"/>
        <rFont val="Arial"/>
        <family val="2"/>
      </rPr>
      <t xml:space="preserve">
</t>
    </r>
    <r>
      <rPr>
        <sz val="10"/>
        <color rgb="FF0000FF"/>
        <rFont val="Arial"/>
        <family val="2"/>
      </rPr>
      <t>Staged Payment Agreement 30/03/2015</t>
    </r>
    <r>
      <rPr>
        <b/>
        <sz val="10"/>
        <color rgb="FF0000FF"/>
        <rFont val="Arial"/>
        <family val="2"/>
      </rPr>
      <t xml:space="preserve">
STAGE PAYMENT  2</t>
    </r>
  </si>
  <si>
    <r>
      <t xml:space="preserve">OVERDUE SCRC letter 18/02/2013 (via email)
11% Compound Interest Commenced
</t>
    </r>
    <r>
      <rPr>
        <b/>
        <sz val="10"/>
        <color rgb="FF0000FF"/>
        <rFont val="Arial"/>
        <family val="2"/>
      </rPr>
      <t>Staged Payment Agreement 30/03/2015
STAGE PAYMENT NO. 2</t>
    </r>
    <r>
      <rPr>
        <sz val="11"/>
        <color theme="1"/>
        <rFont val="Calibri"/>
        <family val="2"/>
        <scheme val="minor"/>
      </rPr>
      <t/>
    </r>
  </si>
  <si>
    <t>Interest to 31/03/2015</t>
  </si>
  <si>
    <r>
      <t xml:space="preserve">
</t>
    </r>
    <r>
      <rPr>
        <b/>
        <sz val="10"/>
        <color rgb="FF0000FF"/>
        <rFont val="Arial"/>
        <family val="2"/>
      </rPr>
      <t>STAGED PAYMENT No. 3</t>
    </r>
    <r>
      <rPr>
        <sz val="11"/>
        <color theme="1"/>
        <rFont val="Calibri"/>
        <family val="2"/>
        <scheme val="minor"/>
      </rPr>
      <t/>
    </r>
  </si>
  <si>
    <r>
      <t xml:space="preserve">
</t>
    </r>
    <r>
      <rPr>
        <b/>
        <sz val="10"/>
        <color rgb="FF0000FF"/>
        <rFont val="Arial"/>
        <family val="2"/>
      </rPr>
      <t>STAGED PAYMENT No. 4</t>
    </r>
    <r>
      <rPr>
        <sz val="11"/>
        <color theme="1"/>
        <rFont val="Calibri"/>
        <family val="2"/>
        <scheme val="minor"/>
      </rPr>
      <t/>
    </r>
  </si>
  <si>
    <r>
      <t xml:space="preserve">OVERDUE SCRC letter 18/02/2013 (via email)
11% Compound Interest Commenced
</t>
    </r>
    <r>
      <rPr>
        <b/>
        <sz val="10"/>
        <color rgb="FF0000FF"/>
        <rFont val="Arial"/>
        <family val="2"/>
      </rPr>
      <t>Staged Payment Agreement 30/03/2015
STAGE PAYMENT NO. 1
(Water &amp; Sewerage paid in Full)</t>
    </r>
  </si>
  <si>
    <r>
      <t xml:space="preserve">Issue details exported from SCRC AICR
</t>
    </r>
    <r>
      <rPr>
        <b/>
        <sz val="10"/>
        <color rgb="FF0000FF"/>
        <rFont val="Arial"/>
        <family val="2"/>
      </rPr>
      <t>STAGED PAYMENT No. 1
(Water &amp; Sewerage paid in Full)</t>
    </r>
  </si>
  <si>
    <r>
      <t xml:space="preserve">all revised amounts include interest to 31 December 2015 
</t>
    </r>
    <r>
      <rPr>
        <sz val="10"/>
        <color rgb="FFFF0000"/>
        <rFont val="Arial"/>
        <family val="2"/>
      </rPr>
      <t>(W&amp;S paid in Full in stg Pmt 1)</t>
    </r>
  </si>
  <si>
    <t>Interest to 30/06/2015</t>
  </si>
  <si>
    <t>Interest to 30/06/2016</t>
  </si>
  <si>
    <t>Interest to 31/12/2015</t>
  </si>
  <si>
    <r>
      <t xml:space="preserve">
31/07/2013
9/01/2014
8/10/2014
29/07/2014
5/1/2015
7/1/2015
1/04/2015
</t>
    </r>
    <r>
      <rPr>
        <b/>
        <sz val="8"/>
        <color rgb="FF0000FF"/>
        <rFont val="Arial"/>
        <family val="2"/>
      </rPr>
      <t>1/04/2015</t>
    </r>
    <r>
      <rPr>
        <sz val="8"/>
        <color rgb="FF0000FF"/>
        <rFont val="Arial"/>
        <family val="2"/>
      </rPr>
      <t xml:space="preserve">
</t>
    </r>
  </si>
  <si>
    <r>
      <t xml:space="preserve">Staged Payment
</t>
    </r>
    <r>
      <rPr>
        <sz val="8"/>
        <color rgb="FF0000FF"/>
        <rFont val="Arial"/>
        <family val="2"/>
      </rPr>
      <t>No. 1 (SCC)
No 2 Paid DD to SCC &amp; transferred to Noosa July 2014</t>
    </r>
    <r>
      <rPr>
        <sz val="8"/>
        <color rgb="FFFF0000"/>
        <rFont val="Arial"/>
        <family val="2"/>
      </rPr>
      <t xml:space="preserve">
</t>
    </r>
    <r>
      <rPr>
        <sz val="8"/>
        <color rgb="FF0000FF"/>
        <rFont val="Arial"/>
        <family val="2"/>
      </rPr>
      <t xml:space="preserve">No. 3 NSA
No.4 NSA
No.4 NSA (O/S $270)
No. 5.1
</t>
    </r>
    <r>
      <rPr>
        <b/>
        <sz val="8"/>
        <color rgb="FF0000FF"/>
        <rFont val="Arial"/>
        <family val="2"/>
      </rPr>
      <t>No 5.2 (Final via TFR Cash Bond BAGS004532)</t>
    </r>
    <r>
      <rPr>
        <sz val="8"/>
        <color rgb="FF0000FF"/>
        <rFont val="Arial"/>
        <family val="2"/>
      </rPr>
      <t xml:space="preserve">
</t>
    </r>
  </si>
  <si>
    <t xml:space="preserve">Stg Pmt Agmt
no. 5.2 Final
</t>
  </si>
  <si>
    <r>
      <t xml:space="preserve">Changes Application issued - Refer above to IC 874 - Cancelled 17/12/09
</t>
    </r>
    <r>
      <rPr>
        <b/>
        <sz val="8"/>
        <color rgb="FF0000FF"/>
        <rFont val="Arial"/>
        <family val="2"/>
      </rPr>
      <t xml:space="preserve">STAGED PAYMENT AGREEMENT 
</t>
    </r>
    <r>
      <rPr>
        <sz val="8"/>
        <color rgb="FF0000FF"/>
        <rFont val="Arial"/>
        <family val="2"/>
      </rPr>
      <t>Stg Pmt 1 = $22,000 Paid SCC
Pmt 2 = $18,409 Paid DD to SCC &amp; transferred to NSC</t>
    </r>
    <r>
      <rPr>
        <sz val="8"/>
        <color rgb="FFFF0000"/>
        <rFont val="Arial"/>
        <family val="2"/>
      </rPr>
      <t xml:space="preserve">
</t>
    </r>
    <r>
      <rPr>
        <sz val="8"/>
        <color rgb="FF0000FF"/>
        <rFont val="Arial"/>
        <family val="2"/>
      </rPr>
      <t xml:space="preserve">Stg Pmt 3 = $18,200 Paid NSA
Stg Pmt 4 = $17,632 (Letter amount incorrect - Paid $17,362 RN: 1159254 5/1/14 
O/S $270 Paid 7/1/2015 RN: 1159334
</t>
    </r>
    <r>
      <rPr>
        <b/>
        <sz val="8"/>
        <color rgb="FFFF0000"/>
        <rFont val="Arial"/>
        <family val="2"/>
      </rPr>
      <t>BALANCE to PAY
Stg Pmt 5 Part Pmt 2</t>
    </r>
    <r>
      <rPr>
        <sz val="8"/>
        <color rgb="FF0000FF"/>
        <rFont val="Arial"/>
        <family val="2"/>
      </rPr>
      <t xml:space="preserve"> </t>
    </r>
    <r>
      <rPr>
        <b/>
        <sz val="8"/>
        <color rgb="FFFF0000"/>
        <rFont val="Arial"/>
        <family val="2"/>
      </rPr>
      <t>= $10,000 from CASH BOND</t>
    </r>
  </si>
  <si>
    <r>
      <t xml:space="preserve">07/2446 (DA)
STAGE 2
132007.2446
</t>
    </r>
    <r>
      <rPr>
        <b/>
        <sz val="8"/>
        <color rgb="FFFF0000"/>
        <rFont val="Arial"/>
        <family val="2"/>
      </rPr>
      <t xml:space="preserve">
STG PMT 5 
Part Pmt 1</t>
    </r>
  </si>
  <si>
    <r>
      <t xml:space="preserve">07/2446 (DA)
STAGE 2
132007.2446
</t>
    </r>
    <r>
      <rPr>
        <b/>
        <sz val="8"/>
        <color rgb="FFFF0000"/>
        <rFont val="Arial"/>
        <family val="2"/>
      </rPr>
      <t xml:space="preserve">
STG PMT 5 
Part Pmt 2 (FINAL)
BY TFR CASH BOND BAGS004532</t>
    </r>
  </si>
  <si>
    <r>
      <t xml:space="preserve">
1105531 = $22,000
DD to SCRC = $18,409 1156455 Tfr to Nsa
1151566
1159254
1159334
1164776
</t>
    </r>
    <r>
      <rPr>
        <b/>
        <sz val="8"/>
        <color rgb="FF0000FF"/>
        <rFont val="Arial"/>
        <family val="2"/>
      </rPr>
      <t xml:space="preserve">Transaction ID's
80139239
80139239
Journal - TBA
</t>
    </r>
  </si>
  <si>
    <r>
      <rPr>
        <sz val="8"/>
        <color rgb="FF0000FF"/>
        <rFont val="Arial"/>
        <family val="2"/>
      </rPr>
      <t>COURT ORDER No.318of2008 2 August 2010 
CONTRIBS OUTSTANDING
Receivers took over &amp; sold</t>
    </r>
    <r>
      <rPr>
        <sz val="8"/>
        <color indexed="10"/>
        <rFont val="Arial"/>
        <family val="2"/>
      </rPr>
      <t xml:space="preserve">.
</t>
    </r>
    <r>
      <rPr>
        <sz val="8"/>
        <color rgb="FF0000FF"/>
        <rFont val="Arial"/>
        <family val="2"/>
      </rPr>
      <t xml:space="preserve">New owner &amp; changes app 132006.268.02.    
</t>
    </r>
    <r>
      <rPr>
        <b/>
        <sz val="8"/>
        <color rgb="FF0000FF"/>
        <rFont val="Arial"/>
        <family val="2"/>
      </rPr>
      <t xml:space="preserve">Court Order No.4884of2014 dated 23 January 2015
</t>
    </r>
    <r>
      <rPr>
        <sz val="8"/>
        <color rgb="FF0000FF"/>
        <rFont val="Arial"/>
        <family val="2"/>
      </rPr>
      <t>STAGED PAYMENT AGREEMENT 31/03/2015</t>
    </r>
    <r>
      <rPr>
        <b/>
        <sz val="8"/>
        <color rgb="FF0000FF"/>
        <rFont val="Arial"/>
        <family val="2"/>
      </rPr>
      <t xml:space="preserve">
STAGED PAYMENT No.1</t>
    </r>
  </si>
  <si>
    <r>
      <rPr>
        <strike/>
        <sz val="8"/>
        <rFont val="Arial"/>
        <family val="2"/>
      </rPr>
      <t>Cooroy Mountain Spring Water</t>
    </r>
    <r>
      <rPr>
        <sz val="8"/>
        <rFont val="Arial"/>
        <family val="2"/>
      </rPr>
      <t xml:space="preserve">
Noosa Beverages Pty Ltd</t>
    </r>
  </si>
  <si>
    <r>
      <rPr>
        <b/>
        <sz val="8"/>
        <rFont val="Arial"/>
        <family val="2"/>
      </rPr>
      <t>Staged Payment 1 @ CPI Dec2014</t>
    </r>
    <r>
      <rPr>
        <sz val="8"/>
        <rFont val="Arial"/>
        <family val="2"/>
      </rPr>
      <t xml:space="preserve">
Original Issued @ Dec 07
Cond 16 = $160,975 Improvements to Cooroy Mountain Road +
Cond 15 = $5,960 Major Road Network of Cooroy</t>
    </r>
  </si>
  <si>
    <t>Staged Payment 2 @ CPI Dec2014</t>
  </si>
  <si>
    <t>Staged Payment 3 @ CPI Dec2014</t>
  </si>
  <si>
    <t>Staged Payment 4 @ CPI Dec2014</t>
  </si>
  <si>
    <t>Final Staged Payment 5 @ CPI Dec2014</t>
  </si>
  <si>
    <r>
      <t xml:space="preserve">Court Order No.4884of2014 dated 23 January 2015
</t>
    </r>
    <r>
      <rPr>
        <b/>
        <sz val="8"/>
        <color rgb="FF0000FF"/>
        <rFont val="Arial"/>
        <family val="2"/>
      </rPr>
      <t>STAGED PAYMENT AGREEMENT 31/03/2015</t>
    </r>
    <r>
      <rPr>
        <sz val="8"/>
        <color rgb="FF0000FF"/>
        <rFont val="Arial"/>
        <family val="2"/>
      </rPr>
      <t xml:space="preserve">
</t>
    </r>
    <r>
      <rPr>
        <b/>
        <sz val="8"/>
        <color rgb="FF0000FF"/>
        <rFont val="Arial"/>
        <family val="2"/>
      </rPr>
      <t>STAGED PAYMENT No.2</t>
    </r>
  </si>
  <si>
    <r>
      <rPr>
        <b/>
        <sz val="10"/>
        <color rgb="FF0000FF"/>
        <rFont val="Arial"/>
        <family val="2"/>
      </rPr>
      <t xml:space="preserve">N </t>
    </r>
    <r>
      <rPr>
        <b/>
        <sz val="10"/>
        <rFont val="Arial"/>
        <family val="2"/>
      </rPr>
      <t xml:space="preserve">1041
</t>
    </r>
    <r>
      <rPr>
        <sz val="10"/>
        <color rgb="FF0000FF"/>
        <rFont val="Arial"/>
        <family val="2"/>
      </rPr>
      <t xml:space="preserve">Building Approval
</t>
    </r>
    <r>
      <rPr>
        <b/>
        <sz val="10"/>
        <color rgb="FF0000FF"/>
        <rFont val="Arial"/>
        <family val="2"/>
      </rPr>
      <t>PC15/0013</t>
    </r>
    <r>
      <rPr>
        <sz val="10"/>
        <color rgb="FF0000FF"/>
        <rFont val="Arial"/>
        <family val="2"/>
      </rPr>
      <t xml:space="preserve"> 26/02/2015</t>
    </r>
  </si>
  <si>
    <r>
      <t xml:space="preserve">TRANSFER PSPs &amp; ICP to ADOPTED CHARGE 
</t>
    </r>
    <r>
      <rPr>
        <sz val="8"/>
        <color rgb="FF0000FF"/>
        <rFont val="Arial"/>
        <family val="2"/>
      </rPr>
      <t xml:space="preserve">(EXCLUDING Car Parking contribution condition 20)
Building Approval </t>
    </r>
    <r>
      <rPr>
        <b/>
        <sz val="8"/>
        <color rgb="FF0000FF"/>
        <rFont val="Arial"/>
        <family val="2"/>
      </rPr>
      <t>PC12/4224</t>
    </r>
    <r>
      <rPr>
        <sz val="8"/>
        <color rgb="FF0000FF"/>
        <rFont val="Arial"/>
        <family val="2"/>
      </rPr>
      <t xml:space="preserve"> dated 12/3/2015</t>
    </r>
  </si>
  <si>
    <r>
      <t xml:space="preserve">09/1586 (DA)
</t>
    </r>
    <r>
      <rPr>
        <sz val="8"/>
        <color rgb="FF0000FF"/>
        <rFont val="Arial"/>
        <family val="2"/>
      </rPr>
      <t>Extn: 152009.1586.3</t>
    </r>
  </si>
  <si>
    <r>
      <t>Decision Notice</t>
    </r>
    <r>
      <rPr>
        <sz val="8"/>
        <rFont val="Arial"/>
        <family val="2"/>
      </rPr>
      <t xml:space="preserve">
</t>
    </r>
    <r>
      <rPr>
        <strike/>
        <sz val="8"/>
        <rFont val="Arial"/>
        <family val="2"/>
      </rPr>
      <t xml:space="preserve">Negotiated Decision Notice
</t>
    </r>
    <r>
      <rPr>
        <sz val="8"/>
        <rFont val="Arial"/>
        <family val="2"/>
      </rPr>
      <t>Change to Existing Approval</t>
    </r>
  </si>
  <si>
    <r>
      <rPr>
        <strike/>
        <sz val="8"/>
        <rFont val="Arial"/>
        <family val="2"/>
      </rPr>
      <t xml:space="preserve">Decision Notice </t>
    </r>
    <r>
      <rPr>
        <sz val="8"/>
        <rFont val="Arial"/>
        <family val="2"/>
      </rPr>
      <t xml:space="preserve">
Change to an Existing Approval &amp; </t>
    </r>
    <r>
      <rPr>
        <b/>
        <sz val="8"/>
        <rFont val="Arial"/>
        <family val="2"/>
      </rPr>
      <t>INFRASTRUCTURE CHARGE NOTICE</t>
    </r>
  </si>
  <si>
    <t>LAPSED 6/12/2014
confirmed MC 9/4/2015</t>
  </si>
  <si>
    <t>REC15/0005</t>
  </si>
  <si>
    <t>Daniel Buser</t>
  </si>
  <si>
    <t>Lot 900 SP 110582</t>
  </si>
  <si>
    <t>14-16 Shipyard Circuit
NOOSAVILLE</t>
  </si>
  <si>
    <t>1 Residential Lot with House</t>
  </si>
  <si>
    <t>Paid IC 
&amp; Contributions</t>
  </si>
  <si>
    <t>28/04/2010
20/04/2015</t>
  </si>
  <si>
    <t>622981
1165323</t>
  </si>
  <si>
    <r>
      <t xml:space="preserve">IC 959
</t>
    </r>
    <r>
      <rPr>
        <b/>
        <sz val="8"/>
        <color rgb="FF0000FF"/>
        <rFont val="Arial"/>
        <family val="2"/>
      </rPr>
      <t>+
IA No.28    23/05/2014</t>
    </r>
  </si>
  <si>
    <t>IA 28</t>
  </si>
  <si>
    <r>
      <t xml:space="preserve">51997.2384.04
</t>
    </r>
    <r>
      <rPr>
        <sz val="10"/>
        <color rgb="FF0000FF"/>
        <rFont val="Arial"/>
        <family val="2"/>
      </rPr>
      <t>Change to Existing Approval 
12506 TC</t>
    </r>
  </si>
  <si>
    <t xml:space="preserve">Noosa Heads Pharmacy
</t>
  </si>
  <si>
    <t>C/- Max Watterson &amp; Associates
PO Box 639
COOROY  QLD  4564</t>
  </si>
  <si>
    <t>Lot 15 N 21848</t>
  </si>
  <si>
    <t>Retail Business Type 2 - Shop &amp; Salon (Additional 18m2 GFA)
No increase in impervious area</t>
  </si>
  <si>
    <t>N/A Calculation based on additional only</t>
  </si>
  <si>
    <t>MCU14/0009</t>
  </si>
  <si>
    <t>Mrs CM &amp; Mr KA Rolton</t>
  </si>
  <si>
    <t>C/- Murray &amp; Associates (Qld) Pty Ltd
PO Box 246
NAMBOUR QLD 4560</t>
  </si>
  <si>
    <t>Lot 20 SP 194118</t>
  </si>
  <si>
    <t>Industrial Business Type 2 (200 m2) + Service Station (260 m2)
+ 1,380 m2 impervious area</t>
  </si>
  <si>
    <t>Service Station (260m2)
+ 1,000 m2 existing impervious area</t>
  </si>
  <si>
    <r>
      <t xml:space="preserve">06/0215 (DA)
132006.215
</t>
    </r>
    <r>
      <rPr>
        <strike/>
        <sz val="8"/>
        <color rgb="FF0000FF"/>
        <rFont val="Arial"/>
        <family val="2"/>
      </rPr>
      <t>(132006.215.03)</t>
    </r>
    <r>
      <rPr>
        <sz val="8"/>
        <color rgb="FF0000FF"/>
        <rFont val="Arial"/>
        <family val="2"/>
      </rPr>
      <t xml:space="preserve">
(132006.215.05)</t>
    </r>
  </si>
  <si>
    <r>
      <t xml:space="preserve">Decision Notice </t>
    </r>
    <r>
      <rPr>
        <sz val="8"/>
        <rFont val="Arial"/>
        <family val="2"/>
      </rPr>
      <t xml:space="preserve">
</t>
    </r>
    <r>
      <rPr>
        <strike/>
        <sz val="8"/>
        <rFont val="Arial"/>
        <family val="2"/>
      </rPr>
      <t xml:space="preserve">Change to and Existing Approval </t>
    </r>
    <r>
      <rPr>
        <sz val="8"/>
        <rFont val="Arial"/>
        <family val="2"/>
      </rPr>
      <t xml:space="preserve">
Compiled Decision Notice &amp; I</t>
    </r>
    <r>
      <rPr>
        <b/>
        <sz val="8"/>
        <rFont val="Arial"/>
        <family val="2"/>
      </rPr>
      <t>NFRASTRUCTURE CHARGE NOTICE</t>
    </r>
  </si>
  <si>
    <r>
      <t>15/06/2006</t>
    </r>
    <r>
      <rPr>
        <sz val="8"/>
        <rFont val="Arial"/>
        <family val="2"/>
      </rPr>
      <t xml:space="preserve">
</t>
    </r>
    <r>
      <rPr>
        <strike/>
        <sz val="8"/>
        <rFont val="Arial"/>
        <family val="2"/>
      </rPr>
      <t>24/6/09</t>
    </r>
    <r>
      <rPr>
        <sz val="8"/>
        <rFont val="Arial"/>
        <family val="2"/>
      </rPr>
      <t xml:space="preserve">
</t>
    </r>
    <r>
      <rPr>
        <strike/>
        <sz val="8"/>
        <rFont val="Arial"/>
        <family val="2"/>
      </rPr>
      <t>25/11/2013</t>
    </r>
    <r>
      <rPr>
        <sz val="8"/>
        <rFont val="Arial"/>
        <family val="2"/>
      </rPr>
      <t xml:space="preserve">
6/05/2015</t>
    </r>
  </si>
  <si>
    <r>
      <t>15/06/2010</t>
    </r>
    <r>
      <rPr>
        <sz val="8"/>
        <rFont val="Arial"/>
        <family val="2"/>
      </rPr>
      <t xml:space="preserve">
</t>
    </r>
    <r>
      <rPr>
        <strike/>
        <sz val="8"/>
        <rFont val="Arial"/>
        <family val="2"/>
      </rPr>
      <t>15/6/2012</t>
    </r>
    <r>
      <rPr>
        <sz val="8"/>
        <rFont val="Arial"/>
        <family val="2"/>
      </rPr>
      <t xml:space="preserve">
</t>
    </r>
    <r>
      <rPr>
        <strike/>
        <sz val="8"/>
        <rFont val="Arial"/>
        <family val="2"/>
      </rPr>
      <t>15/06/2014</t>
    </r>
    <r>
      <rPr>
        <sz val="8"/>
        <rFont val="Arial"/>
        <family val="2"/>
      </rPr>
      <t xml:space="preserve">
</t>
    </r>
    <r>
      <rPr>
        <strike/>
        <sz val="8"/>
        <rFont val="Arial"/>
        <family val="2"/>
      </rPr>
      <t>15/06/2015</t>
    </r>
    <r>
      <rPr>
        <sz val="8"/>
        <rFont val="Arial"/>
        <family val="2"/>
      </rPr>
      <t xml:space="preserve">
16/06/2016</t>
    </r>
  </si>
  <si>
    <t>IC 1002
Rev 0</t>
  </si>
  <si>
    <t>MCU15/0010</t>
  </si>
  <si>
    <t xml:space="preserve">K Mahadevan
</t>
  </si>
  <si>
    <t>C/- Adams &amp; Sparkes Town Planning &amp; Development
PO Box 1000
BUDDINA  QLD  4575</t>
  </si>
  <si>
    <t>Lot 23 RP 138550</t>
  </si>
  <si>
    <t>25 The Cockleshell 
NOOSAVILLE</t>
  </si>
  <si>
    <t>Detached House x 1 Lot &amp; Dwelling House</t>
  </si>
  <si>
    <t>Multiple Housing Type 2 - Duplex (1 x 2 bedroom unit + 1 x 3 bedroom unit)</t>
  </si>
  <si>
    <t>Sundale Garden Village Nambour</t>
  </si>
  <si>
    <t>C/- Covey &amp; Associates Pty Ltd
PO Box 16
MAROOCHYDORE QLD 4558</t>
  </si>
  <si>
    <t>Lot 2 RP 220516 &amp; 86 MCH 1415</t>
  </si>
  <si>
    <t>Nursing Home (Care Centre &amp; Clubhouse = 6000 m2 GFA)
Impervious Area:
Precinct 1 = Hardstand area 2,104 m2 + Building Area 6,000 m2 = 8,104 m2
+
Multiple Housing - Type 3 Retirement &amp; special needs (Retirement Village) = 30 x 3 B/R units, 22 x 2 B/R units (52 Units in Total)</t>
  </si>
  <si>
    <t>2 x Residential Lots &amp; Dwelling House</t>
  </si>
  <si>
    <t>MCU14/0083</t>
  </si>
  <si>
    <t>Mogpropmanagement Pty Ltd</t>
  </si>
  <si>
    <t>C/-RPS Group
PO Box 149
WURTULLA QLD 4575</t>
  </si>
  <si>
    <t xml:space="preserve">Industrial Business - Type 2 Production, alteration, repackaging and repairing (556 m²)
Impervious Area 1019 m² </t>
  </si>
  <si>
    <t>Empirica Developments Pty Ltd</t>
  </si>
  <si>
    <t>Lot 4 SP 159610 &amp;
Lot 31 SP 170751</t>
  </si>
  <si>
    <t>139 Eumundi Noosa Road &amp;
30 Lionel Donovan Drive NOOSAVILLE</t>
  </si>
  <si>
    <t xml:space="preserve">1. Industrial Business - Type 1 Warehouse + Type 2 Production, alteration, repackaging and repairing  (1094m²)
2. Retail Business - Type 4 Showroom (63 m² - existing car-sales office)
3. Vacant Non-Residential Lot 
Existing Impervious Area 3812 m² </t>
  </si>
  <si>
    <r>
      <t xml:space="preserve">Part-Paid
</t>
    </r>
    <r>
      <rPr>
        <i/>
        <sz val="8"/>
        <color rgb="FF0000FF"/>
        <rFont val="Arial"/>
        <family val="2"/>
      </rPr>
      <t>(Pathways &amp; Open Space to obtain Op Works Permit as per Decision Notice)</t>
    </r>
  </si>
  <si>
    <t>$824 Mar-15</t>
  </si>
  <si>
    <t>$3,664.00 Mar-15</t>
  </si>
  <si>
    <t>June 2015 Total =</t>
  </si>
  <si>
    <t>Referred to Unitywater for W&amp;S.
Paid Cash for:-
Trans = $3,993
Park &amp; LFCF = $1,655 (Remaining $5,000 paid with Cash Bond)
Stormwater = $2,662.00
TOTAL = $8,310
Bond = $5,000 = $13,310.00</t>
  </si>
  <si>
    <t>Referred to Unitywater for W payment</t>
  </si>
  <si>
    <t>June 2015
Total =</t>
  </si>
  <si>
    <t>Gateway Noosa P/L Tte</t>
  </si>
  <si>
    <t>C/- RG Strategic
PO Box 1363
NOOSA HEADS QLD 4567</t>
  </si>
  <si>
    <t>Lot 11 SP 170295</t>
  </si>
  <si>
    <t>32 Gateway Drive
NOOSAVILLE</t>
  </si>
  <si>
    <t>Industrial Business - Type 2 Production, alteration, repackaging &amp; repairing (991.2m2)
Impervious Area: 1,457 m2</t>
  </si>
  <si>
    <t>1 x Industrial Lot</t>
  </si>
  <si>
    <t>$630 Sep-05</t>
  </si>
  <si>
    <t>$2,802 Sep-05</t>
  </si>
  <si>
    <r>
      <t xml:space="preserve">337
</t>
    </r>
    <r>
      <rPr>
        <i/>
        <sz val="10"/>
        <color rgb="FFFF0000"/>
        <rFont val="Arial"/>
        <family val="2"/>
      </rPr>
      <t>Part Paid with Cash Bond $5,000 RN: 1167160</t>
    </r>
  </si>
  <si>
    <t>Part-Paid NSA
Final Payment</t>
  </si>
  <si>
    <t>4/06/2015
17/06/2015</t>
  </si>
  <si>
    <t>1166789
1167160</t>
  </si>
  <si>
    <t>REC15/0006</t>
  </si>
  <si>
    <t>Wolter Consulting Group Pty Ltd</t>
  </si>
  <si>
    <t>Lot 4 SP 110990</t>
  </si>
  <si>
    <t>Stage C1 
IC + Pathway</t>
  </si>
  <si>
    <t>Stage C2 
IC + Pathway</t>
  </si>
  <si>
    <t>Stage C3 
IC + Pathway</t>
  </si>
  <si>
    <t>$39,393
Jun-13
Referred to Unitywater</t>
  </si>
  <si>
    <t>$34,236
Jun-13
Referred to Unitywater</t>
  </si>
  <si>
    <t>$48,147
Jun-13
Referred to Unitywater</t>
  </si>
  <si>
    <t>$41,844
Jun-13
Referred to Unitywater</t>
  </si>
  <si>
    <r>
      <t xml:space="preserve">Country &amp; Coastal Certifiers
Received: 16/6/2010
Permit No: 2010/BLDA/00651
</t>
    </r>
    <r>
      <rPr>
        <sz val="8"/>
        <color rgb="FFFF0000"/>
        <rFont val="Arial"/>
        <family val="2"/>
      </rPr>
      <t>USE COMMENCED IC OUTSTANDING Due Aug 2013</t>
    </r>
    <r>
      <rPr>
        <b/>
        <sz val="8"/>
        <color rgb="FF0000FF"/>
        <rFont val="Arial"/>
        <family val="2"/>
      </rPr>
      <t xml:space="preserve">
STAGED PAYMENT AGREEMENT
</t>
    </r>
    <r>
      <rPr>
        <sz val="8"/>
        <color rgb="FF0000FF"/>
        <rFont val="Arial"/>
        <family val="2"/>
      </rPr>
      <t>Pmt 1 = $815 Paid SCC
Pmt 2 = $657 Paid DD to SCC &amp; transferred to NSC
Pmt 3 = $664 Paid Noosa
Pmt 4 = $633 Paid Noosa</t>
    </r>
    <r>
      <rPr>
        <b/>
        <sz val="8"/>
        <color rgb="FF0000FF"/>
        <rFont val="Arial"/>
        <family val="2"/>
      </rPr>
      <t xml:space="preserve">
</t>
    </r>
    <r>
      <rPr>
        <b/>
        <sz val="8"/>
        <color rgb="FFFF0000"/>
        <rFont val="Arial"/>
        <family val="2"/>
      </rPr>
      <t>BALANCE to PAY
Stg Pmt 5 = $671 Paid in Full 30/06/2015</t>
    </r>
  </si>
  <si>
    <r>
      <rPr>
        <b/>
        <sz val="8"/>
        <color rgb="FF0000FF"/>
        <rFont val="Arial"/>
        <family val="2"/>
      </rPr>
      <t>Staged Payment</t>
    </r>
    <r>
      <rPr>
        <sz val="8"/>
        <color rgb="FF0000FF"/>
        <rFont val="Arial"/>
        <family val="2"/>
      </rPr>
      <t xml:space="preserve">
Pmt 1 (SCC)
No 2 Paid DD to SCC &amp; transferred to Noosa July 2014
Pmt 3 Noosa
PMT 4 Noosa
PMT 5 (Final)</t>
    </r>
  </si>
  <si>
    <t xml:space="preserve">
2/09/2013
9/01/2014
8/10/2014
30/06/2014
22/12/2014
30/06/2015</t>
  </si>
  <si>
    <t xml:space="preserve">
1119517 = $815
DD to SCC = $657
1156456 Tfr to Nsa
1149895
1159108
1167532  </t>
  </si>
  <si>
    <r>
      <rPr>
        <b/>
        <sz val="8"/>
        <color rgb="FF0000FF"/>
        <rFont val="Arial"/>
        <family val="2"/>
      </rPr>
      <t xml:space="preserve">Use Commenced </t>
    </r>
    <r>
      <rPr>
        <sz val="8"/>
        <color rgb="FF0000FF"/>
        <rFont val="Arial"/>
        <family val="2"/>
      </rPr>
      <t xml:space="preserve">Outstanding Ltr Issued
Staged Payment Agreement
</t>
    </r>
    <r>
      <rPr>
        <b/>
        <sz val="10"/>
        <color rgb="FFFF0000"/>
        <rFont val="Arial"/>
        <family val="2"/>
      </rPr>
      <t>Stage Payment No. 2
Due June 2015</t>
    </r>
  </si>
  <si>
    <t xml:space="preserve">Stage Pmt No.2
</t>
  </si>
  <si>
    <t>MCU15/0047</t>
  </si>
  <si>
    <t>AF Schellekens</t>
  </si>
  <si>
    <t>Lot 11 RP 138550</t>
  </si>
  <si>
    <t>Multiple Housing Type 2 - Duplex (1 x 3 bedroom + 1 x 2 bedroom units)</t>
  </si>
  <si>
    <t>Detached House (1 x Lot &amp; Dwelling House)</t>
  </si>
  <si>
    <t>01/07/20015</t>
  </si>
  <si>
    <r>
      <t xml:space="preserve">
</t>
    </r>
    <r>
      <rPr>
        <b/>
        <sz val="10"/>
        <color rgb="FF0000FF"/>
        <rFont val="Arial"/>
        <family val="2"/>
      </rPr>
      <t xml:space="preserve">STAGED PAYMENT No. 2
Paid In Full
</t>
    </r>
  </si>
  <si>
    <t>July 2015
Total =</t>
  </si>
  <si>
    <t>REC15/0010</t>
  </si>
  <si>
    <t>Alisa Christine Wythes</t>
  </si>
  <si>
    <t>PO Box 407
COOROY QLD 4563</t>
  </si>
  <si>
    <t>Lot 1 RP 196984</t>
  </si>
  <si>
    <t>38 Pavillion Street
NOOSAVILLE</t>
  </si>
  <si>
    <t xml:space="preserve">This was originally 2 lots in 1922 - then amalgamated into 1 lot in 1984 </t>
  </si>
  <si>
    <t>Mr R Robazza</t>
  </si>
  <si>
    <t>PO Box 633
BULIMBA QLD 4117</t>
  </si>
  <si>
    <t>Lot 1 RP 75735</t>
  </si>
  <si>
    <t xml:space="preserve">3 Viewland Drive
NOOSA HEADS </t>
  </si>
  <si>
    <t>Multiple Housing Type 4 - 3 x 3 Bedromm Units</t>
  </si>
  <si>
    <t>Lot 7 SP 179879</t>
  </si>
  <si>
    <t>25 Grant Street
NOOSA HEADS</t>
  </si>
  <si>
    <t xml:space="preserve">1 x Vacant Residential Lot </t>
  </si>
  <si>
    <t>Multiple Housing Type 2 (2 x 2 Bedroom Units - Duplex)</t>
  </si>
  <si>
    <t xml:space="preserve">18/06/2013
</t>
  </si>
  <si>
    <t xml:space="preserve">1/03/2013
</t>
  </si>
  <si>
    <t>Retirement &amp; Special Needs (Essential Services) - 4800m² gfa 
Impervious Area (Estimated) - 7850m²</t>
  </si>
  <si>
    <t xml:space="preserve">C/- KHA Development Managers
PO Box 6380
MAROOCHYDORE BC QLD 4558 </t>
  </si>
  <si>
    <t>20 Topaz Street 
COOROY</t>
  </si>
  <si>
    <t>$36,327
Mar-14
IA Adopted Stormwater</t>
  </si>
  <si>
    <t xml:space="preserve">$5,522
Mar-14
IA Adopted Public Transport
</t>
  </si>
  <si>
    <t xml:space="preserve">$36,845
Dec-14
IA Adopted Stormwater
</t>
  </si>
  <si>
    <t>$5,601
Dec-14
IA Adopted Public Transport</t>
  </si>
  <si>
    <t>IA No.31     
 3/07/2014</t>
  </si>
  <si>
    <t>IA for Missing Stormwater &amp; Public Transport Networks</t>
  </si>
  <si>
    <t>10-Jun-15 = Path &amp; OS</t>
  </si>
  <si>
    <t>17-Jun-15 = Path &amp; OS</t>
  </si>
  <si>
    <r>
      <t xml:space="preserve">Extn IA for Missing:
- Stormwater 
- Public Transport
</t>
    </r>
    <r>
      <rPr>
        <i/>
        <sz val="8"/>
        <color rgb="FF0000FF"/>
        <rFont val="Arial"/>
        <family val="2"/>
      </rPr>
      <t>Part-Paid = Path &amp; OS
(Pathways &amp; Open Space to obtain Op Works Permit as per Decision Notice)</t>
    </r>
  </si>
  <si>
    <r>
      <rPr>
        <strike/>
        <sz val="10"/>
        <rFont val="Arial"/>
        <family val="2"/>
      </rPr>
      <t>14/04/2015</t>
    </r>
    <r>
      <rPr>
        <sz val="10"/>
        <rFont val="Arial"/>
        <family val="2"/>
      </rPr>
      <t xml:space="preserve">
20/7/2015</t>
    </r>
  </si>
  <si>
    <t>Representation dated 5 May 2015 provided details of original Lot Reconfig details and previous amalgamation.
Agreed development reverting to pre-amalgamated 1997 Lot Reconfig of 2 Lots</t>
  </si>
  <si>
    <t>additional residential lot credit</t>
  </si>
  <si>
    <t>MCU15/0016</t>
  </si>
  <si>
    <t>Mr I &amp; Ms LM Kippen</t>
  </si>
  <si>
    <t>Lot 1 SP 244573</t>
  </si>
  <si>
    <t>73 Rene Street 
NOOSAVILLE</t>
  </si>
  <si>
    <t>Industry Business Type 2 -  Production, alteration, repackaging and repairing (1,714m2 GFA) &amp; 
Ancillary Dwelling Unit (1 Bedroom Caretakers Unit)
Impervious Area = 2,955m2</t>
  </si>
  <si>
    <t xml:space="preserve">Charge Notice issued balance $0 to clarify the change in use implications.
The different Council / UW apportionments in the uses results in a negative charge that negates the stormwater charge. </t>
  </si>
  <si>
    <t>1 additional Residential Detached House Lots (under pre-amalgamated 1999 lot reconfiguration)</t>
  </si>
  <si>
    <r>
      <t xml:space="preserve">Residential Detached House Lots x 3 (curent existing)
</t>
    </r>
    <r>
      <rPr>
        <sz val="10"/>
        <color rgb="FF0000FF"/>
        <rFont val="Arial"/>
        <family val="2"/>
      </rPr>
      <t/>
    </r>
  </si>
  <si>
    <t>1 x Vacant Non-Residential Lot (Paid  REC12/0106 re:AICN 357 (Stage 1) &amp; AICN 359 (Stage 2)</t>
  </si>
  <si>
    <r>
      <t xml:space="preserve">21/11/2018
</t>
    </r>
    <r>
      <rPr>
        <strike/>
        <sz val="10"/>
        <rFont val="Arial"/>
        <family val="2"/>
      </rPr>
      <t>17/12/2014</t>
    </r>
  </si>
  <si>
    <t>Pace Planning Pty Ltd</t>
  </si>
  <si>
    <t>9 Panorama Ridge Rd
BUDERIM QLD 4556</t>
  </si>
  <si>
    <t>Lot 22 C 56012</t>
  </si>
  <si>
    <t>5 Kauri Street 
COOROY</t>
  </si>
  <si>
    <t>Multiple Housing Type 4 - Conventional (10 x 2 Bedroom Units)</t>
  </si>
  <si>
    <t>REC15/0007</t>
  </si>
  <si>
    <r>
      <rPr>
        <b/>
        <sz val="8"/>
        <rFont val="Arial"/>
        <family val="2"/>
      </rPr>
      <t>Bal Stg 4 = 23 lots</t>
    </r>
    <r>
      <rPr>
        <sz val="8"/>
        <rFont val="Arial"/>
        <family val="2"/>
      </rPr>
      <t xml:space="preserve">
Dec 05 -$958 per residential lot x 174 Lots = $166,692
Paymens in Stages 1-8</t>
    </r>
  </si>
  <si>
    <r>
      <rPr>
        <b/>
        <sz val="8"/>
        <rFont val="Arial"/>
        <family val="2"/>
      </rPr>
      <t>Bal Stg 5 = 22 lots</t>
    </r>
    <r>
      <rPr>
        <sz val="8"/>
        <rFont val="Arial"/>
        <family val="2"/>
      </rPr>
      <t xml:space="preserve">
Dec 05 -$958 per residential lot x 174 Lots = $166,692
Paymens in Stages 1-8</t>
    </r>
  </si>
  <si>
    <r>
      <rPr>
        <b/>
        <sz val="8"/>
        <rFont val="Arial"/>
        <family val="2"/>
      </rPr>
      <t>Bal Stg 7 = 21 lots</t>
    </r>
    <r>
      <rPr>
        <sz val="8"/>
        <rFont val="Arial"/>
        <family val="2"/>
      </rPr>
      <t xml:space="preserve">
Dec 05 -$958 per residential lot x 174 Lots = $166,692
Paymens in Stages 1-8</t>
    </r>
  </si>
  <si>
    <r>
      <rPr>
        <b/>
        <sz val="8"/>
        <rFont val="Arial"/>
        <family val="2"/>
      </rPr>
      <t>Bal Stg 6 = 28 lots</t>
    </r>
    <r>
      <rPr>
        <sz val="8"/>
        <rFont val="Arial"/>
        <family val="2"/>
      </rPr>
      <t xml:space="preserve">
Dec 05 -$958 per residential lot x 174 Lots = $166,692
Paymens in Stages 1-8</t>
    </r>
  </si>
  <si>
    <r>
      <rPr>
        <b/>
        <sz val="8"/>
        <rFont val="Arial"/>
        <family val="2"/>
      </rPr>
      <t>Bal Stg 8 = 14 lots</t>
    </r>
    <r>
      <rPr>
        <sz val="8"/>
        <rFont val="Arial"/>
        <family val="2"/>
      </rPr>
      <t xml:space="preserve">
Dec 05 -$958 per residential lot x 174 Lots = $166,692
Paymens in Stages 1-8</t>
    </r>
  </si>
  <si>
    <r>
      <rPr>
        <b/>
        <sz val="8"/>
        <rFont val="Arial"/>
        <family val="2"/>
      </rPr>
      <t>Bal Stg 4 = 23 lots</t>
    </r>
    <r>
      <rPr>
        <sz val="8"/>
        <rFont val="Arial"/>
        <family val="2"/>
      </rPr>
      <t xml:space="preserve">
Dec 05 -$3211 per residential lot x 174 Lots = $558,714
Paymens in Stages 1-8</t>
    </r>
  </si>
  <si>
    <r>
      <rPr>
        <b/>
        <sz val="8"/>
        <rFont val="Arial"/>
        <family val="2"/>
      </rPr>
      <t>Bal Stg 8 = 14 lots</t>
    </r>
    <r>
      <rPr>
        <sz val="8"/>
        <rFont val="Arial"/>
        <family val="2"/>
      </rPr>
      <t xml:space="preserve">
Dec 05 -$3510 per residential lot x 174 Lots = $610,740
Paymens in Stages 1-8</t>
    </r>
  </si>
  <si>
    <r>
      <rPr>
        <b/>
        <sz val="8"/>
        <rFont val="Arial"/>
        <family val="2"/>
      </rPr>
      <t>Bal Stg 8 = 14 lots</t>
    </r>
    <r>
      <rPr>
        <sz val="8"/>
        <rFont val="Arial"/>
        <family val="2"/>
      </rPr>
      <t xml:space="preserve">
Dec 05 -$3211 per residential lot x 174 Lots = $558,714
Paymens in Stages 1-8</t>
    </r>
  </si>
  <si>
    <r>
      <rPr>
        <b/>
        <sz val="8"/>
        <rFont val="Arial"/>
        <family val="2"/>
      </rPr>
      <t>Bal Stg 7 = 21 lots</t>
    </r>
    <r>
      <rPr>
        <sz val="8"/>
        <rFont val="Arial"/>
        <family val="2"/>
      </rPr>
      <t xml:space="preserve">
Dec 05 -$3510 per residential lot x 174 Lots = $610,740
Paymens in Stages 1-8</t>
    </r>
  </si>
  <si>
    <r>
      <rPr>
        <b/>
        <sz val="8"/>
        <rFont val="Arial"/>
        <family val="2"/>
      </rPr>
      <t>Bal Stg 7 = 21 lots</t>
    </r>
    <r>
      <rPr>
        <sz val="8"/>
        <rFont val="Arial"/>
        <family val="2"/>
      </rPr>
      <t xml:space="preserve">
Dec 05 -$3211 per residential lot x 174 Lots = $558,714
Paymens in Stages 1-8</t>
    </r>
  </si>
  <si>
    <r>
      <rPr>
        <b/>
        <sz val="8"/>
        <rFont val="Arial"/>
        <family val="2"/>
      </rPr>
      <t>Bal Stg 6 = 28 lots</t>
    </r>
    <r>
      <rPr>
        <sz val="8"/>
        <rFont val="Arial"/>
        <family val="2"/>
      </rPr>
      <t xml:space="preserve">
Dec 05 -$3510 per residential lot x 174 Lots = $610,740
Paymens in Stages 1-8</t>
    </r>
  </si>
  <si>
    <r>
      <rPr>
        <b/>
        <sz val="8"/>
        <rFont val="Arial"/>
        <family val="2"/>
      </rPr>
      <t>Bal Stg 6 = 28 lots</t>
    </r>
    <r>
      <rPr>
        <sz val="8"/>
        <rFont val="Arial"/>
        <family val="2"/>
      </rPr>
      <t xml:space="preserve">
Dec 05 -$3211 per residential lot x 174 Lots = $558,714
Paymens in Stages 1-8</t>
    </r>
  </si>
  <si>
    <r>
      <rPr>
        <b/>
        <sz val="8"/>
        <rFont val="Arial"/>
        <family val="2"/>
      </rPr>
      <t>Bal Stg 5 = 22 lots</t>
    </r>
    <r>
      <rPr>
        <sz val="8"/>
        <rFont val="Arial"/>
        <family val="2"/>
      </rPr>
      <t xml:space="preserve">
Dec 05 -$3510 per residential lot x 174 Lots = $610,740
Paymens in Stages 1-8</t>
    </r>
  </si>
  <si>
    <r>
      <rPr>
        <b/>
        <sz val="8"/>
        <rFont val="Arial"/>
        <family val="2"/>
      </rPr>
      <t>Bal Stg 5 = 22 lots</t>
    </r>
    <r>
      <rPr>
        <sz val="8"/>
        <rFont val="Arial"/>
        <family val="2"/>
      </rPr>
      <t xml:space="preserve">
Dec 05 -$3211 per residential lot x 174 Lots = $558,714
Paymens in Stages 1-8</t>
    </r>
  </si>
  <si>
    <r>
      <rPr>
        <b/>
        <sz val="8"/>
        <rFont val="Arial"/>
        <family val="2"/>
      </rPr>
      <t>Bal Stg 4 = 23 lots</t>
    </r>
    <r>
      <rPr>
        <sz val="8"/>
        <rFont val="Arial"/>
        <family val="2"/>
      </rPr>
      <t xml:space="preserve">
Dec 05 -$3510 per residential lot x 174 Lots = $610,740
Paymens in Stages 1-8</t>
    </r>
  </si>
  <si>
    <t>MCU15/0029</t>
  </si>
  <si>
    <t>Raveside Pty Ltd Tte</t>
  </si>
  <si>
    <t>Lot 0 &amp; Lot 2 BUP 105943</t>
  </si>
  <si>
    <t>18 Duke Street (2/18 Duke St) NOOSAVILLE</t>
  </si>
  <si>
    <t>Commercial Business Type 1 - Office (38m2 -being Tenancy 2/Lot 2)</t>
  </si>
  <si>
    <t>Entertainment &amp; Dining Business Type 1 - Food &amp; Beverages (15.3m2 gfa - net internal use area in Lot 2 + 11.4m2 gfa Kitchen)
(4.2m2 outdoor use area on Lot 0 - Restaurant Café)
Continuing - Commercial Business Type 1 - Office (10m2 within Lot 2 - Optus Exchange)</t>
  </si>
  <si>
    <t>Only relates to missing Public Transport &amp; Stormwater networks not included in previous approvals &amp; ic payments.</t>
  </si>
  <si>
    <t>BH Durrington, AT Durrington &amp; KS Smith</t>
  </si>
  <si>
    <t>C/- Max Watterson &amp; Asociates
PO Box 639
COOROY QLD 4563</t>
  </si>
  <si>
    <t>Lot 47 C 5602</t>
  </si>
  <si>
    <t>Retail Business Type 2 - Shop &amp; Salon (210m² gfa) + Commercial Business Type 1 - Office (220m² gfa)   
Impervious Area = 907m²</t>
  </si>
  <si>
    <t>1 x Residential Lot &amp; Dwelling House</t>
  </si>
  <si>
    <t>Gympie Terrace Pty Ltd TTE</t>
  </si>
  <si>
    <t>C/- Paul Shaw
24 Mossman Court
NOOSA HEADS QLD 4567</t>
  </si>
  <si>
    <t>Lot 2 RP 138699</t>
  </si>
  <si>
    <t>203 Gympie Terrace
NOOSAVILLE</t>
  </si>
  <si>
    <t>Retail Business Type 2 - Shop &amp; Salon (Additional 15m2 Use Area)</t>
  </si>
  <si>
    <t>Retail Business Type 2 - Shop &amp; Salon (10 Shops), Entertainment &amp; Dining Business Type 1 - Food &amp; Beverage (Restaurant) + Type 3 - Bar</t>
  </si>
  <si>
    <t>REC</t>
  </si>
  <si>
    <r>
      <rPr>
        <strike/>
        <sz val="8"/>
        <rFont val="Arial"/>
        <family val="2"/>
      </rPr>
      <t xml:space="preserve">Decision Notice </t>
    </r>
    <r>
      <rPr>
        <sz val="8"/>
        <rFont val="Arial"/>
        <family val="2"/>
      </rPr>
      <t xml:space="preserve">
Change to an Existing approval &amp; </t>
    </r>
    <r>
      <rPr>
        <b/>
        <sz val="8"/>
        <rFont val="Arial"/>
        <family val="2"/>
      </rPr>
      <t>INFRASTRUCTURE CHARGE NOTICE</t>
    </r>
  </si>
  <si>
    <r>
      <rPr>
        <strike/>
        <sz val="8"/>
        <rFont val="Arial"/>
        <family val="2"/>
      </rPr>
      <t>16/12/2012</t>
    </r>
    <r>
      <rPr>
        <sz val="8"/>
        <rFont val="Arial"/>
        <family val="2"/>
      </rPr>
      <t xml:space="preserve">
</t>
    </r>
    <r>
      <rPr>
        <strike/>
        <sz val="8"/>
        <rFont val="Arial"/>
        <family val="2"/>
      </rPr>
      <t>16/12/2014</t>
    </r>
    <r>
      <rPr>
        <sz val="8"/>
        <rFont val="Arial"/>
        <family val="2"/>
      </rPr>
      <t xml:space="preserve">
16/12/2018</t>
    </r>
  </si>
  <si>
    <t xml:space="preserve">Decision Notice Condition 8. The Development Permit for a material change of use of premises lapses if the use has not commenced within 6 years of the date of this approval (19 December 2017) and the development, including all works, completed within 8 years of the date of this approval (19 December 2019). </t>
  </si>
  <si>
    <t xml:space="preserve">As Above </t>
  </si>
  <si>
    <t>Tea Tree Property Pty Ltd</t>
  </si>
  <si>
    <t>C/- KHA Development Manager
PO Box 6380
MAROOCHYDORE BC QLD 4558</t>
  </si>
  <si>
    <t>Lot 2 RP 51970</t>
  </si>
  <si>
    <t>Multiple Housing Type 4 - Conventional (3 x 3 Bedroom Units)</t>
  </si>
  <si>
    <r>
      <t xml:space="preserve">08/0750 (DA)
</t>
    </r>
    <r>
      <rPr>
        <sz val="8"/>
        <color rgb="FF0000FF"/>
        <rFont val="Arial"/>
        <family val="2"/>
      </rPr>
      <t>132008.750.3 Change to existing</t>
    </r>
  </si>
  <si>
    <t>$1242.00 Jun-2009
Change to existing = Cond 7 road reserve land provision in lieu</t>
  </si>
  <si>
    <t>August 2015 Total =</t>
  </si>
  <si>
    <t>Northern Property Group No 1 Pty Ltd Tte</t>
  </si>
  <si>
    <t>Lot 11 SP 230643</t>
  </si>
  <si>
    <t>Industrial Business Type 1 - Warehouse and 
Industrial Business Type 2 – Production, alteration, repackaging and repairing  (500m²  gfa)
Impervious Area = 948 m2</t>
  </si>
  <si>
    <r>
      <t xml:space="preserve">IC 581
</t>
    </r>
    <r>
      <rPr>
        <sz val="8"/>
        <color rgb="FF0000FF"/>
        <rFont val="Arial"/>
        <family val="2"/>
      </rPr>
      <t>(132006.2361.02)</t>
    </r>
  </si>
  <si>
    <r>
      <rPr>
        <strike/>
        <sz val="8"/>
        <rFont val="Arial"/>
        <family val="2"/>
      </rPr>
      <t>21/03/2007</t>
    </r>
    <r>
      <rPr>
        <sz val="8"/>
        <rFont val="Arial"/>
        <family val="2"/>
      </rPr>
      <t xml:space="preserve">
</t>
    </r>
    <r>
      <rPr>
        <strike/>
        <sz val="8"/>
        <rFont val="Arial"/>
        <family val="2"/>
      </rPr>
      <t>1/4/2011</t>
    </r>
    <r>
      <rPr>
        <sz val="8"/>
        <rFont val="Arial"/>
        <family val="2"/>
      </rPr>
      <t xml:space="preserve">
6/7/2015
</t>
    </r>
  </si>
  <si>
    <r>
      <t>21/03/2011</t>
    </r>
    <r>
      <rPr>
        <sz val="8"/>
        <rFont val="Arial"/>
        <family val="2"/>
      </rPr>
      <t xml:space="preserve">
</t>
    </r>
    <r>
      <rPr>
        <strike/>
        <sz val="8"/>
        <rFont val="Arial"/>
        <family val="2"/>
      </rPr>
      <t>28/05/2015</t>
    </r>
    <r>
      <rPr>
        <sz val="8"/>
        <rFont val="Arial"/>
        <family val="2"/>
      </rPr>
      <t xml:space="preserve">
28/5/2019</t>
    </r>
  </si>
  <si>
    <t>MCU15/0049</t>
  </si>
  <si>
    <t>Escanaba Pty Ltd &amp; Duffmont Pty Ltd</t>
  </si>
  <si>
    <t>Lot 694 RP 48111</t>
  </si>
  <si>
    <t>12 Stevens Street 
SUNSHINE BEACH</t>
  </si>
  <si>
    <t>Multiple Housing Type 2 - Duplex (2 x 2 Bedroom Units)</t>
  </si>
  <si>
    <t>1 x Residential Lot and Detached House</t>
  </si>
  <si>
    <r>
      <t xml:space="preserve">Charge is for 1 x additional Industrial Lot
</t>
    </r>
    <r>
      <rPr>
        <sz val="10"/>
        <color rgb="FFFF0000"/>
        <rFont val="Arial"/>
        <family val="2"/>
      </rPr>
      <t>Payment reversed &amp; refunded less $59 admin fee</t>
    </r>
  </si>
  <si>
    <t>Payment reversed &amp; refunded 12/08/2015 less $59 admin fee</t>
  </si>
  <si>
    <t>Reversed &amp; refunded</t>
  </si>
  <si>
    <t>Cheque 100844</t>
  </si>
  <si>
    <r>
      <rPr>
        <b/>
        <sz val="10"/>
        <color rgb="FF0000FF"/>
        <rFont val="Arial"/>
        <family val="2"/>
      </rPr>
      <t xml:space="preserve">N </t>
    </r>
    <r>
      <rPr>
        <b/>
        <sz val="10"/>
        <rFont val="Arial"/>
        <family val="2"/>
      </rPr>
      <t xml:space="preserve">1022
</t>
    </r>
    <r>
      <rPr>
        <b/>
        <sz val="10"/>
        <color rgb="FFFF0000"/>
        <rFont val="Arial"/>
        <family val="2"/>
      </rPr>
      <t>Payment reversal &amp; refund 12/08/2015</t>
    </r>
  </si>
  <si>
    <r>
      <rPr>
        <b/>
        <sz val="10"/>
        <rFont val="Arial"/>
        <family val="2"/>
      </rPr>
      <t>N 1022</t>
    </r>
    <r>
      <rPr>
        <b/>
        <sz val="10"/>
        <color rgb="FFFF0000"/>
        <rFont val="Arial"/>
        <family val="2"/>
      </rPr>
      <t xml:space="preserve">
Payment reversal &amp; refund on 12/08/2015</t>
    </r>
  </si>
  <si>
    <t>Lot 4 RP 123457</t>
  </si>
  <si>
    <t>28 Hastings Street
NOOSA HEADS</t>
  </si>
  <si>
    <t>Retail Business – Type 2 Shop &amp; Salon = 220 m2 gfa 
No change to existing 123m2 impervious area</t>
  </si>
  <si>
    <t>Commercial Business Type 1 – Office = 113m2 gfa
Retail Business – Type 2 Shop &amp; Salon = 121m2 gfa
123m2 impervious</t>
  </si>
  <si>
    <t>Gateway Rise Pty Ltd</t>
  </si>
  <si>
    <t>C/- Project Strategy QLD Pty Ltd
62 Buderim Avenue
ALEXANDRA HEADLAND QLD 4572</t>
  </si>
  <si>
    <t>Lot 81 SP 211687 (formally Lot 14 SP 170295)</t>
  </si>
  <si>
    <t>7 Industrial Lots</t>
  </si>
  <si>
    <r>
      <t>13/12/2007</t>
    </r>
    <r>
      <rPr>
        <sz val="8"/>
        <rFont val="Arial"/>
        <family val="2"/>
      </rPr>
      <t xml:space="preserve">
</t>
    </r>
    <r>
      <rPr>
        <strike/>
        <sz val="8"/>
        <rFont val="Arial"/>
        <family val="2"/>
      </rPr>
      <t>20/5/2011</t>
    </r>
    <r>
      <rPr>
        <sz val="8"/>
        <rFont val="Arial"/>
        <family val="2"/>
      </rPr>
      <t xml:space="preserve">
12/08/2015</t>
    </r>
  </si>
  <si>
    <r>
      <t>13/12/2011</t>
    </r>
    <r>
      <rPr>
        <sz val="8"/>
        <rFont val="Arial"/>
        <family val="2"/>
      </rPr>
      <t xml:space="preserve">
</t>
    </r>
    <r>
      <rPr>
        <strike/>
        <sz val="8"/>
        <rFont val="Arial"/>
        <family val="2"/>
      </rPr>
      <t>17/5/2016</t>
    </r>
    <r>
      <rPr>
        <sz val="8"/>
        <rFont val="Arial"/>
        <family val="2"/>
      </rPr>
      <t xml:space="preserve">
17/01/2018</t>
    </r>
  </si>
  <si>
    <t>10 Industrial Lots</t>
  </si>
  <si>
    <t>51901.4780.02 
Change to Existing Approval TPC 56)</t>
  </si>
  <si>
    <t>August 2015
Total =</t>
  </si>
  <si>
    <t>JFM Investment Trust</t>
  </si>
  <si>
    <t>C/- Adam Sparkes Town Planning &amp; Devlopment
PO Box 1000
BUDDINA QLD 4575</t>
  </si>
  <si>
    <t>Lot 9 RP 81559</t>
  </si>
  <si>
    <t>50 Gateway Drive 
NOOSAVILLE</t>
  </si>
  <si>
    <t>24 Ann Street 
NOOSAVILLE</t>
  </si>
  <si>
    <t>Multiple Housing - Type 2 - Duplex (2 x 3 Bedroom Units)</t>
  </si>
  <si>
    <t>1 x Detached House Lot &amp; Dwelling House</t>
  </si>
  <si>
    <t>REC15/0014</t>
  </si>
  <si>
    <t>J McMillan Investments Pty Ltd Tte</t>
  </si>
  <si>
    <t>280 Dr Pages Road COOTHARABA</t>
  </si>
  <si>
    <t>2 x detached house lots</t>
  </si>
  <si>
    <t>1 x detached house lot</t>
  </si>
  <si>
    <t>MCU10/2010</t>
  </si>
  <si>
    <t>Build First Pty Ltd</t>
  </si>
  <si>
    <t>C/- Murray &amp; Associates (Qld) Pty Ltd
PO Box 246
NAMBOUR  QLD  4560</t>
  </si>
  <si>
    <t xml:space="preserve">7 Mary River Rd COOROY  QLD  4563 </t>
  </si>
  <si>
    <t>Lot 2 RP 70298</t>
  </si>
  <si>
    <t>Industrial Business Uses -
Production, Alteration,
Repackaging and Repairing = 299 m2 Use area</t>
  </si>
  <si>
    <t>replaces original MCU approval 07/1841 DA &amp; IC986 applying to this lot 
PC15/0145 - BA dated 16/4/2015 CoC issued &amp; use commenced PAYMENT DUE 31/08/2015
STAGED PAYMENTS AGREED 12/08/2015</t>
  </si>
  <si>
    <r>
      <rPr>
        <b/>
        <sz val="10"/>
        <color rgb="FF0000FF"/>
        <rFont val="Arial"/>
        <family val="2"/>
      </rPr>
      <t xml:space="preserve">N </t>
    </r>
    <r>
      <rPr>
        <b/>
        <sz val="10"/>
        <rFont val="Arial"/>
        <family val="2"/>
      </rPr>
      <t xml:space="preserve">1051
</t>
    </r>
    <r>
      <rPr>
        <b/>
        <sz val="10"/>
        <color rgb="FFFF0000"/>
        <rFont val="Arial"/>
        <family val="2"/>
      </rPr>
      <t>STAGED PAYMENT 1 Due 31 Aug 2015</t>
    </r>
    <r>
      <rPr>
        <b/>
        <sz val="10"/>
        <rFont val="Arial"/>
        <family val="2"/>
      </rPr>
      <t xml:space="preserve">
</t>
    </r>
    <r>
      <rPr>
        <sz val="10"/>
        <color rgb="FF0000FF"/>
        <rFont val="Arial"/>
        <family val="2"/>
      </rPr>
      <t xml:space="preserve">
</t>
    </r>
    <r>
      <rPr>
        <sz val="10"/>
        <color rgb="FFFF0000"/>
        <rFont val="Arial"/>
        <family val="2"/>
      </rPr>
      <t/>
    </r>
  </si>
  <si>
    <t>90 Beach Road NOOSA NORTH SHORE</t>
  </si>
  <si>
    <r>
      <t xml:space="preserve">MCU10/2065
</t>
    </r>
    <r>
      <rPr>
        <sz val="10"/>
        <color rgb="FF0000FF"/>
        <rFont val="Arial"/>
        <family val="2"/>
      </rPr>
      <t>MCU10/2065.01 Ext</t>
    </r>
  </si>
  <si>
    <r>
      <rPr>
        <strike/>
        <sz val="10"/>
        <rFont val="Arial"/>
        <family val="2"/>
      </rPr>
      <t>2/08/2015</t>
    </r>
    <r>
      <rPr>
        <sz val="10"/>
        <rFont val="Arial"/>
        <family val="2"/>
      </rPr>
      <t xml:space="preserve">
</t>
    </r>
    <r>
      <rPr>
        <sz val="10"/>
        <color rgb="FF0000FF"/>
        <rFont val="Arial"/>
        <family val="2"/>
      </rPr>
      <t>20/09/2017</t>
    </r>
  </si>
  <si>
    <t>Act allows lapse to 7 June 2016 - as confirmed by JL 4/8/2015</t>
  </si>
  <si>
    <t>MCU15/0038</t>
  </si>
  <si>
    <t>Dowling &amp; Neylan</t>
  </si>
  <si>
    <t>Lot 1 BUP 13572</t>
  </si>
  <si>
    <t>168 Noosa Parade Noosaville Qld  4566</t>
  </si>
  <si>
    <t>Commercial Business - Type 2 Medical = 190m2 gfa</t>
  </si>
  <si>
    <t>Commercial Business - Type 1 Office = 190m2 gfa</t>
  </si>
  <si>
    <r>
      <rPr>
        <b/>
        <sz val="10"/>
        <color rgb="FF0000FF"/>
        <rFont val="Arial"/>
        <family val="2"/>
      </rPr>
      <t xml:space="preserve">N </t>
    </r>
    <r>
      <rPr>
        <b/>
        <sz val="10"/>
        <rFont val="Arial"/>
        <family val="2"/>
      </rPr>
      <t xml:space="preserve">1036
</t>
    </r>
  </si>
  <si>
    <r>
      <rPr>
        <b/>
        <sz val="10"/>
        <color rgb="FF0000FF"/>
        <rFont val="Arial"/>
        <family val="2"/>
      </rPr>
      <t xml:space="preserve">N </t>
    </r>
    <r>
      <rPr>
        <b/>
        <sz val="10"/>
        <rFont val="Arial"/>
        <family val="2"/>
      </rPr>
      <t>1037</t>
    </r>
  </si>
  <si>
    <t>September 2015
Total =</t>
  </si>
  <si>
    <t>Paid AIC 427 Stormwater</t>
  </si>
  <si>
    <t>PAID BY RATES</t>
  </si>
  <si>
    <t>Journaled</t>
  </si>
  <si>
    <t>Use Commenced 
PAYMENT OVERDUE Paid</t>
  </si>
  <si>
    <r>
      <rPr>
        <sz val="8"/>
        <rFont val="Arial"/>
        <family val="2"/>
      </rPr>
      <t>Change to Existing Approval: 51993.1022.02 (MCU = 3B-326 PA)</t>
    </r>
    <r>
      <rPr>
        <sz val="8"/>
        <color rgb="FFFF0000"/>
        <rFont val="Arial"/>
        <family val="2"/>
      </rPr>
      <t xml:space="preserve">
COMPOUND INTEREST COMMENCED 31/05/2014
</t>
    </r>
    <r>
      <rPr>
        <b/>
        <sz val="8"/>
        <color rgb="FF0000FF"/>
        <rFont val="Arial"/>
        <family val="2"/>
      </rPr>
      <t xml:space="preserve">TRANSFERRED to RATES 9/03/2015  
PAID by RATES 17/03/2015 </t>
    </r>
    <r>
      <rPr>
        <sz val="8"/>
        <color rgb="FFFF0000"/>
        <rFont val="Arial"/>
        <family val="2"/>
      </rPr>
      <t>(Other overdue contributions remain in IC Register as breach of Development Approval)</t>
    </r>
  </si>
  <si>
    <r>
      <rPr>
        <sz val="8"/>
        <rFont val="Arial"/>
        <family val="2"/>
      </rPr>
      <t>Suncoast Building Approvals
Permit No:  SBA11-0322</t>
    </r>
    <r>
      <rPr>
        <sz val="8"/>
        <color rgb="FFFF0000"/>
        <rFont val="Arial"/>
        <family val="2"/>
      </rPr>
      <t xml:space="preserve">
COMPOUND INTEREST COMMENCED 30/04/2014
</t>
    </r>
    <r>
      <rPr>
        <b/>
        <sz val="8"/>
        <color rgb="FF0000FF"/>
        <rFont val="Arial"/>
        <family val="2"/>
      </rPr>
      <t>TRANSFERRED to RATES 9/03/2015  
PAID by RATES 17/03/2015</t>
    </r>
  </si>
  <si>
    <r>
      <rPr>
        <sz val="8"/>
        <rFont val="Arial"/>
        <family val="2"/>
      </rPr>
      <t xml:space="preserve">GMA Certification Group
Permit Number: 20108939 Received: </t>
    </r>
    <r>
      <rPr>
        <sz val="8"/>
        <color rgb="FFFF0000"/>
        <rFont val="Arial"/>
        <family val="2"/>
      </rPr>
      <t xml:space="preserve">
COMPOUND INTEREST COMMENCED 30/04/2014
</t>
    </r>
    <r>
      <rPr>
        <b/>
        <sz val="8"/>
        <color rgb="FF0000FF"/>
        <rFont val="Arial"/>
        <family val="2"/>
      </rPr>
      <t>TRANSFERRED to RATES 9/03/2015  
PAID by RATES 17/03/2015</t>
    </r>
  </si>
  <si>
    <r>
      <rPr>
        <sz val="8"/>
        <rFont val="Arial"/>
        <family val="2"/>
      </rPr>
      <t>Staged Payment Agreement 
Contribs paid in full but IC only part paid staged pmts 1-4</t>
    </r>
    <r>
      <rPr>
        <sz val="8"/>
        <color rgb="FFFF0000"/>
        <rFont val="Arial"/>
        <family val="2"/>
      </rPr>
      <t xml:space="preserve">
Defaulted remaining staged pmts &amp; Agreement Terminated
11% COMPOUND INTEREST on IC Balance from 31 Aug 2012
</t>
    </r>
    <r>
      <rPr>
        <b/>
        <sz val="8"/>
        <color rgb="FF0000FF"/>
        <rFont val="Arial"/>
        <family val="2"/>
      </rPr>
      <t>TRANSFERRED to RATES 9/03/2015  
PAID by RATES 17/03/2015</t>
    </r>
  </si>
  <si>
    <r>
      <t>Suncoast Building Approvals
Permit No:  SBA08-2238</t>
    </r>
    <r>
      <rPr>
        <sz val="8"/>
        <color indexed="10"/>
        <rFont val="Arial"/>
        <family val="2"/>
      </rPr>
      <t xml:space="preserve">
COMPOUND INTEREST COMMENCED 31/03/2009
</t>
    </r>
    <r>
      <rPr>
        <b/>
        <sz val="8"/>
        <color rgb="FF0000FF"/>
        <rFont val="Arial"/>
        <family val="2"/>
      </rPr>
      <t>TRANSFERRED to RATES 9/03/2015  
PAID by RATES 17/03/2015</t>
    </r>
  </si>
  <si>
    <r>
      <t>Suncert Pty Ltd
Permit No:  80481 Received 15/10/08</t>
    </r>
    <r>
      <rPr>
        <sz val="8"/>
        <color indexed="10"/>
        <rFont val="Arial"/>
        <family val="2"/>
      </rPr>
      <t xml:space="preserve">
COMPOUND INTEREST COMMENCED 1/10/2009
</t>
    </r>
    <r>
      <rPr>
        <b/>
        <sz val="8"/>
        <color rgb="FF0000FF"/>
        <rFont val="Arial"/>
        <family val="2"/>
      </rPr>
      <t>TRANSFERRED to RATES 9/03/2015  
PAID by RATES 17/03/2015</t>
    </r>
  </si>
  <si>
    <r>
      <t xml:space="preserve">Sunshine Coast Inspection Services
Permit No: 408093 </t>
    </r>
    <r>
      <rPr>
        <sz val="8"/>
        <color rgb="FF0000FF"/>
        <rFont val="Arial"/>
        <family val="2"/>
      </rPr>
      <t xml:space="preserve">(Replacing Original Lapsed App 20044930 BA)
</t>
    </r>
    <r>
      <rPr>
        <sz val="8"/>
        <color rgb="FFFF0000"/>
        <rFont val="Arial"/>
        <family val="2"/>
      </rPr>
      <t xml:space="preserve">COMPOUND INTEREST COMMENCED 30/08/2013
</t>
    </r>
    <r>
      <rPr>
        <b/>
        <sz val="8"/>
        <color rgb="FF0000FF"/>
        <rFont val="Arial"/>
        <family val="2"/>
      </rPr>
      <t>TRANSFERRED to RATES 9/03/2015  
PAID by RATES 17/03/2015</t>
    </r>
  </si>
  <si>
    <r>
      <t xml:space="preserve">GMA Certification Group
Permit Number: 20091725 Received: 4/8/09
</t>
    </r>
    <r>
      <rPr>
        <sz val="8"/>
        <color rgb="FFFF0000"/>
        <rFont val="Arial"/>
        <family val="2"/>
      </rPr>
      <t xml:space="preserve">CEO review 22/07/2014 COMPOUND INTEREST 
commenced 22/08/2014 on outstanding $3,355.Ltr 26/8/2014
</t>
    </r>
    <r>
      <rPr>
        <b/>
        <sz val="8"/>
        <color rgb="FF0000FF"/>
        <rFont val="Arial"/>
        <family val="2"/>
      </rPr>
      <t>TRANSFERRED to RATES 9/03/2015  
PAID by RATES 17/03/2015</t>
    </r>
  </si>
  <si>
    <r>
      <t xml:space="preserve">The Certifier 
Permit No: C098014 Received: 17/12/09
</t>
    </r>
    <r>
      <rPr>
        <sz val="8"/>
        <color rgb="FFFF0000"/>
        <rFont val="Arial"/>
        <family val="2"/>
      </rPr>
      <t xml:space="preserve">COMPOUND INTEREST COMMENCED 15/06/2013
Outstanding IC memo included in Rates Certificate 23/06/2014 but not paid in settlement of property to new owner.
</t>
    </r>
    <r>
      <rPr>
        <b/>
        <sz val="8"/>
        <color rgb="FF0000FF"/>
        <rFont val="Arial"/>
        <family val="2"/>
      </rPr>
      <t>TRANSFERRED to RATES 9/03/2015  
PAID by RATES 17/03/2015</t>
    </r>
  </si>
  <si>
    <r>
      <t xml:space="preserve">Sunline Building Approvals
Permit No: DN09-450 Received: 1/2/2010
</t>
    </r>
    <r>
      <rPr>
        <sz val="8"/>
        <color rgb="FFFF0000"/>
        <rFont val="Arial"/>
        <family val="2"/>
      </rPr>
      <t xml:space="preserve">Outstanding IC memo included in Rates Certificate 19/05/2011 but not paid in settlement of property to new owner.
COMPOUND INTEREST COMMENCED 15/06/2013
</t>
    </r>
    <r>
      <rPr>
        <b/>
        <sz val="8"/>
        <color rgb="FF0000FF"/>
        <rFont val="Arial"/>
        <family val="2"/>
      </rPr>
      <t>TRANSFERRED to RATES 9/03/2015  
PAID by RATES 17/03/2015</t>
    </r>
  </si>
  <si>
    <r>
      <t xml:space="preserve">Suncoast Building Approvals
Permit No: SBA 10-1013 Received: 31/5/2010
</t>
    </r>
    <r>
      <rPr>
        <sz val="8"/>
        <color rgb="FFFF0000"/>
        <rFont val="Arial"/>
        <family val="2"/>
      </rPr>
      <t xml:space="preserve">COMPOUND INTEREST COMMENCED 30/08/2013
</t>
    </r>
    <r>
      <rPr>
        <b/>
        <sz val="8"/>
        <color rgb="FF0000FF"/>
        <rFont val="Arial"/>
        <family val="2"/>
      </rPr>
      <t>TRANSFERRED to RATES 9/03/2015  
PAID by RATES 17/03/2015</t>
    </r>
  </si>
  <si>
    <t>Interest to 1/03/2015</t>
  </si>
  <si>
    <r>
      <t xml:space="preserve">March 2015 Total =
</t>
    </r>
    <r>
      <rPr>
        <sz val="8"/>
        <color rgb="FFFF0000"/>
        <rFont val="Arial"/>
        <family val="2"/>
      </rPr>
      <t>(11 x Outstanding ICP's Transferred to &amp; Paid by Rates)</t>
    </r>
  </si>
  <si>
    <r>
      <rPr>
        <strike/>
        <sz val="8"/>
        <rFont val="Arial"/>
        <family val="2"/>
      </rPr>
      <t>7/09/2009</t>
    </r>
    <r>
      <rPr>
        <sz val="8"/>
        <rFont val="Arial"/>
        <family val="2"/>
      </rPr>
      <t xml:space="preserve">
Ext 23/12/2011
Change 3/09/2015</t>
    </r>
  </si>
  <si>
    <r>
      <t xml:space="preserve">471
</t>
    </r>
    <r>
      <rPr>
        <b/>
        <sz val="10"/>
        <color rgb="FF0000FF"/>
        <rFont val="Arial"/>
        <family val="2"/>
      </rPr>
      <t>+
IA No.17 SCRC BnB 23/08/2013</t>
    </r>
    <r>
      <rPr>
        <b/>
        <sz val="10"/>
        <color rgb="FFFF0000"/>
        <rFont val="Arial"/>
        <family val="2"/>
      </rPr>
      <t xml:space="preserve">
SCRC B&amp;B incentive satisfied re PC13/5712 Cert of Classification dated 23/01/2015</t>
    </r>
  </si>
  <si>
    <t>PC15/0491</t>
  </si>
  <si>
    <t>PO Box 84
Ballarat, VIC 3353</t>
  </si>
  <si>
    <t>LOT 2 SP 162077</t>
  </si>
  <si>
    <t>9 x Retirement Village Units 
(5 x 3 BR Units + 4 x 2 BR Units)</t>
  </si>
  <si>
    <t xml:space="preserve">PO Box 1923
NOOSA HEADS  QLD  4567
</t>
  </si>
  <si>
    <r>
      <t xml:space="preserve">Only relates to </t>
    </r>
    <r>
      <rPr>
        <b/>
        <sz val="10"/>
        <color rgb="FF0000FF"/>
        <rFont val="Arial"/>
        <family val="2"/>
      </rPr>
      <t xml:space="preserve">missing Public Transport &amp; Stormwater </t>
    </r>
    <r>
      <rPr>
        <sz val="10"/>
        <color rgb="FF0000FF"/>
        <rFont val="Arial"/>
        <family val="2"/>
      </rPr>
      <t>networks not included in previous approval &amp; ic payments MCU 2004/5744</t>
    </r>
  </si>
  <si>
    <t>Material Change of Use
(Extension to Relevant Period)</t>
  </si>
  <si>
    <t>C/- JFP Urban Consultants Pty Ltd
PO Box 6
MAROOCHYDORE  QLD  4558</t>
  </si>
  <si>
    <t>Multiple Housing - Type 4 – Conventional 
16 x 3 Bedroom Units &amp;
6 x 2 Bedroom Units</t>
  </si>
  <si>
    <r>
      <rPr>
        <strike/>
        <sz val="8"/>
        <rFont val="Arial"/>
        <family val="2"/>
      </rPr>
      <t>PO Box 1184 NOOSA HEADS  QLD  4567</t>
    </r>
    <r>
      <rPr>
        <sz val="8"/>
        <rFont val="Arial"/>
        <family val="2"/>
      </rPr>
      <t xml:space="preserve">
C/- JFP Urban Consultants Pty Ltd
PO Box 6
MAROOCHYDORE QLD 4558
</t>
    </r>
  </si>
  <si>
    <r>
      <t xml:space="preserve">Decision Notice
</t>
    </r>
    <r>
      <rPr>
        <sz val="8"/>
        <color rgb="FF0000FF"/>
        <rFont val="Arial"/>
        <family val="2"/>
      </rPr>
      <t>Extension to Relevant Period</t>
    </r>
  </si>
  <si>
    <t>Visitor Accom type 4 - conventional = 
21 x 2 bed dwellings</t>
  </si>
  <si>
    <t>Sunshine Beach Constructions ATF The Tahiti Discretionary Trust</t>
  </si>
  <si>
    <t>C/- KHA Development Managers
PO Box  6380
MAROOCHYDORE BC  QLD  4558</t>
  </si>
  <si>
    <t>Lot 387 RP 48112</t>
  </si>
  <si>
    <t>Material Change of Use
(Change to Existing Approval)</t>
  </si>
  <si>
    <t>Aldev Holdings Pty Ltd</t>
  </si>
  <si>
    <r>
      <t>Decision Notice</t>
    </r>
    <r>
      <rPr>
        <sz val="8"/>
        <rFont val="Arial"/>
        <family val="2"/>
      </rPr>
      <t xml:space="preserve">
Negotiated Decision Notice &amp; </t>
    </r>
    <r>
      <rPr>
        <b/>
        <sz val="8"/>
        <rFont val="Arial"/>
        <family val="2"/>
      </rPr>
      <t xml:space="preserve">INFRASTRUCTURE CHARGE NOTICE
</t>
    </r>
    <r>
      <rPr>
        <sz val="8"/>
        <rFont val="Arial"/>
        <family val="2"/>
      </rPr>
      <t>Extn to Currency</t>
    </r>
  </si>
  <si>
    <t>Extn to currency OK all networks covered already in original approval</t>
  </si>
  <si>
    <r>
      <t xml:space="preserve">08/1688 (DA)
</t>
    </r>
    <r>
      <rPr>
        <sz val="8"/>
        <rFont val="Arial"/>
        <family val="2"/>
      </rPr>
      <t>132008.1668</t>
    </r>
    <r>
      <rPr>
        <b/>
        <sz val="8"/>
        <rFont val="Arial"/>
        <family val="2"/>
      </rPr>
      <t xml:space="preserve">
</t>
    </r>
    <r>
      <rPr>
        <sz val="8"/>
        <color rgb="FF0000FF"/>
        <rFont val="Arial"/>
        <family val="2"/>
      </rPr>
      <t>132008.1668.01</t>
    </r>
  </si>
  <si>
    <t>MCU15/0058</t>
  </si>
  <si>
    <t>Pomona &amp; District Community House Inc.</t>
  </si>
  <si>
    <t xml:space="preserve">1 Memorial Avenue
POMONA QLD 4568
</t>
  </si>
  <si>
    <t>Lot 1 AP 19201</t>
  </si>
  <si>
    <t>School Street POMONA, QLD 4568</t>
  </si>
  <si>
    <t>Well Being Type 2 - Social (Mens Shed) - 180m²
Impervious Area = 180m²</t>
  </si>
  <si>
    <t>Farm Shed 84m2</t>
  </si>
  <si>
    <t>100% Rebate for Community Organisation &amp; purpose for Community use</t>
  </si>
  <si>
    <r>
      <rPr>
        <b/>
        <sz val="10"/>
        <color rgb="FF0000FF"/>
        <rFont val="Arial"/>
        <family val="2"/>
      </rPr>
      <t xml:space="preserve">N </t>
    </r>
    <r>
      <rPr>
        <b/>
        <sz val="10"/>
        <rFont val="Arial"/>
        <family val="2"/>
      </rPr>
      <t xml:space="preserve">1065
</t>
    </r>
    <r>
      <rPr>
        <b/>
        <sz val="10"/>
        <color rgb="FF0000FF"/>
        <rFont val="Arial"/>
        <family val="2"/>
      </rPr>
      <t>(Amended)</t>
    </r>
  </si>
  <si>
    <t>Lot 2 SP 186169</t>
  </si>
  <si>
    <t>Material Change of Use
(Change to Existing Approval - Extension to Relevant Period)</t>
  </si>
  <si>
    <t xml:space="preserve">PO Box 436
NEW FARM  QLD  4005
</t>
  </si>
  <si>
    <t>Visitor accommodation Type 4 - Conventional &amp; ancillary facilities = 21 x 2 bedroom units
(Western Development Zone Stage 3A sub stage (i))
Stage 1 Beach Retreats</t>
  </si>
  <si>
    <t>100% public Parks &amp; LFC credit
AND
Recognition for Condition 46 (previously towards a "nontrunk"
local road but now included as a component of the "trunk" road network specified in Council's Resolution). This condition is overridden by the Infrastructure Agreement dated 20/12/2012</t>
  </si>
  <si>
    <t>SUBJECT TO PAYMENT OF  OUTSTANDING CONTRIBUTIONS RE:
Infrastructure Agreement #9 dated 20/12/2012</t>
  </si>
  <si>
    <r>
      <rPr>
        <strike/>
        <sz val="8"/>
        <rFont val="Arial"/>
        <family val="2"/>
      </rPr>
      <t>Lot 7 RP 844337</t>
    </r>
    <r>
      <rPr>
        <sz val="8"/>
        <rFont val="Arial"/>
        <family val="2"/>
      </rPr>
      <t xml:space="preserve">
</t>
    </r>
    <r>
      <rPr>
        <sz val="8"/>
        <color rgb="FF0000FF"/>
        <rFont val="Arial"/>
        <family val="2"/>
      </rPr>
      <t>Lot 2 SP 186169</t>
    </r>
  </si>
  <si>
    <t>Extension to Relevant Period</t>
  </si>
  <si>
    <r>
      <rPr>
        <strike/>
        <sz val="8"/>
        <rFont val="Arial"/>
        <family val="2"/>
      </rPr>
      <t>Lot 7 RP 844337</t>
    </r>
    <r>
      <rPr>
        <sz val="8"/>
        <rFont val="Arial"/>
        <family val="2"/>
      </rPr>
      <t xml:space="preserve">
</t>
    </r>
    <r>
      <rPr>
        <sz val="8"/>
        <color rgb="FF0000FF"/>
        <rFont val="Arial"/>
        <family val="2"/>
      </rPr>
      <t>Lot 500 SP 215779</t>
    </r>
  </si>
  <si>
    <t>MCU14/0053</t>
  </si>
  <si>
    <t>Lot 6 N 21827</t>
  </si>
  <si>
    <t>15 Noosa Drive NOOSA HEADS, QLD 4567</t>
  </si>
  <si>
    <t>Infrastructure Agreement #  dated 28/09/2012 for Carparking PSP = ^$68,187 @CPI March 2015</t>
  </si>
  <si>
    <t>Retail Business - Type 2 Shop/Salon = 85m2 + additional 37 m2 = 122m2 gfa
+ additional 37m2 impervious area to previously required landscaped area.</t>
  </si>
  <si>
    <t>Retail Business - Type 2 Shop/Salon = 85m2 gfa (Existing)</t>
  </si>
  <si>
    <t>N/A
Use already commenced</t>
  </si>
  <si>
    <r>
      <t xml:space="preserve">156
</t>
    </r>
    <r>
      <rPr>
        <b/>
        <sz val="8"/>
        <color indexed="12"/>
        <rFont val="Arial"/>
        <family val="2"/>
      </rPr>
      <t>+ 
IA 43
    22/10/2014</t>
    </r>
  </si>
  <si>
    <r>
      <t xml:space="preserve">IC 364
+
</t>
    </r>
    <r>
      <rPr>
        <b/>
        <sz val="8"/>
        <color rgb="FF0000FF"/>
        <rFont val="Arial"/>
        <family val="2"/>
      </rPr>
      <t>IA 38   
 9/07/2014</t>
    </r>
  </si>
  <si>
    <r>
      <t xml:space="preserve">IC 398
</t>
    </r>
    <r>
      <rPr>
        <b/>
        <sz val="8"/>
        <color rgb="FF0000FF"/>
        <rFont val="Arial"/>
        <family val="2"/>
      </rPr>
      <t>IA 44
 22/10/2014</t>
    </r>
  </si>
  <si>
    <r>
      <t xml:space="preserve">N/A
</t>
    </r>
    <r>
      <rPr>
        <b/>
        <sz val="8"/>
        <color rgb="FF0000FF"/>
        <rFont val="Arial"/>
        <family val="2"/>
      </rPr>
      <t>IA 5
18/7/2011</t>
    </r>
    <r>
      <rPr>
        <sz val="8"/>
        <color rgb="FF0000FF"/>
        <rFont val="Arial"/>
        <family val="2"/>
      </rPr>
      <t xml:space="preserve">
Roadworks construction upgrade Garnet St
</t>
    </r>
    <r>
      <rPr>
        <b/>
        <sz val="8"/>
        <color rgb="FF0000FF"/>
        <rFont val="Arial"/>
        <family val="2"/>
      </rPr>
      <t xml:space="preserve">Amend </t>
    </r>
    <r>
      <rPr>
        <sz val="8"/>
        <color rgb="FF0000FF"/>
        <rFont val="Arial"/>
        <family val="2"/>
      </rPr>
      <t>14/12/2012</t>
    </r>
    <r>
      <rPr>
        <b/>
        <sz val="8"/>
        <color rgb="FF0000FF"/>
        <rFont val="Arial"/>
        <family val="2"/>
      </rPr>
      <t xml:space="preserve">
</t>
    </r>
  </si>
  <si>
    <r>
      <rPr>
        <b/>
        <strike/>
        <sz val="8"/>
        <rFont val="Arial"/>
        <family val="2"/>
      </rPr>
      <t>IC 439</t>
    </r>
    <r>
      <rPr>
        <b/>
        <sz val="8"/>
        <rFont val="Arial"/>
        <family val="2"/>
      </rPr>
      <t xml:space="preserve">
</t>
    </r>
    <r>
      <rPr>
        <b/>
        <sz val="8"/>
        <color rgb="FF0000FF"/>
        <rFont val="Arial"/>
        <family val="2"/>
      </rPr>
      <t>IA 7
      18/09/2012</t>
    </r>
  </si>
  <si>
    <r>
      <t xml:space="preserve">IC 495
+
</t>
    </r>
    <r>
      <rPr>
        <b/>
        <sz val="8"/>
        <color rgb="FF0000FF"/>
        <rFont val="Arial"/>
        <family val="2"/>
      </rPr>
      <t>IA 46
28/10/2014</t>
    </r>
  </si>
  <si>
    <r>
      <t xml:space="preserve">N/A
</t>
    </r>
    <r>
      <rPr>
        <b/>
        <sz val="8"/>
        <color rgb="FF0000FF"/>
        <rFont val="Arial"/>
        <family val="2"/>
      </rPr>
      <t>IA 9 
20/12/2012
Parcel 3 Land</t>
    </r>
  </si>
  <si>
    <r>
      <t xml:space="preserve">N/A
</t>
    </r>
    <r>
      <rPr>
        <b/>
        <sz val="8"/>
        <color rgb="FF0000FF"/>
        <rFont val="Arial"/>
        <family val="2"/>
      </rPr>
      <t>+</t>
    </r>
    <r>
      <rPr>
        <b/>
        <sz val="8"/>
        <rFont val="Arial"/>
        <family val="2"/>
      </rPr>
      <t xml:space="preserve">
</t>
    </r>
    <r>
      <rPr>
        <b/>
        <sz val="8"/>
        <color rgb="FF0000FF"/>
        <rFont val="Arial"/>
        <family val="2"/>
      </rPr>
      <t>IA 13   
1/7/2013</t>
    </r>
  </si>
  <si>
    <r>
      <t xml:space="preserve">N/A
</t>
    </r>
    <r>
      <rPr>
        <b/>
        <sz val="8"/>
        <color rgb="FF0000FF"/>
        <rFont val="Arial"/>
        <family val="2"/>
      </rPr>
      <t>+
IA 37
     9/07/2014</t>
    </r>
  </si>
  <si>
    <r>
      <t xml:space="preserve">IC 971
</t>
    </r>
    <r>
      <rPr>
        <b/>
        <sz val="8"/>
        <color rgb="FF0000FF"/>
        <rFont val="Arial"/>
        <family val="2"/>
      </rPr>
      <t>+
IA 47
29/10/2014</t>
    </r>
  </si>
  <si>
    <r>
      <t xml:space="preserve">N/A
</t>
    </r>
    <r>
      <rPr>
        <b/>
        <sz val="8"/>
        <color rgb="FF0000FF"/>
        <rFont val="Arial"/>
        <family val="2"/>
      </rPr>
      <t xml:space="preserve">+
</t>
    </r>
    <r>
      <rPr>
        <b/>
        <strike/>
        <sz val="8"/>
        <color rgb="FF0000FF"/>
        <rFont val="Arial"/>
        <family val="2"/>
      </rPr>
      <t>IA 31a
27/06/2014</t>
    </r>
    <r>
      <rPr>
        <b/>
        <sz val="8"/>
        <color rgb="FF0000FF"/>
        <rFont val="Arial"/>
        <family val="2"/>
      </rPr>
      <t xml:space="preserve">
</t>
    </r>
    <r>
      <rPr>
        <b/>
        <sz val="8"/>
        <color rgb="FFFF0000"/>
        <rFont val="Arial"/>
        <family val="2"/>
      </rPr>
      <t>IA 31b
IA 31c 
9/03/2015</t>
    </r>
  </si>
  <si>
    <r>
      <rPr>
        <b/>
        <sz val="8"/>
        <color rgb="FF0000FF"/>
        <rFont val="Arial"/>
        <family val="2"/>
      </rPr>
      <t>IA 12 
   27/06/2013</t>
    </r>
    <r>
      <rPr>
        <b/>
        <sz val="8"/>
        <rFont val="Arial"/>
        <family val="2"/>
      </rPr>
      <t xml:space="preserve">
</t>
    </r>
  </si>
  <si>
    <r>
      <t xml:space="preserve">N/A
</t>
    </r>
    <r>
      <rPr>
        <b/>
        <sz val="8"/>
        <color rgb="FF0000FF"/>
        <rFont val="Arial"/>
        <family val="2"/>
      </rPr>
      <t>+
IA 42
22/10/2014</t>
    </r>
    <r>
      <rPr>
        <b/>
        <sz val="8"/>
        <rFont val="Arial"/>
        <family val="2"/>
      </rPr>
      <t xml:space="preserve">
</t>
    </r>
  </si>
  <si>
    <r>
      <t>N/A</t>
    </r>
    <r>
      <rPr>
        <b/>
        <sz val="8"/>
        <color rgb="FF0000FF"/>
        <rFont val="Arial"/>
        <family val="2"/>
      </rPr>
      <t xml:space="preserve">
IA 52
28/09/2015</t>
    </r>
    <r>
      <rPr>
        <b/>
        <sz val="8"/>
        <rFont val="Arial"/>
        <family val="2"/>
      </rPr>
      <t xml:space="preserve">
</t>
    </r>
  </si>
  <si>
    <r>
      <t xml:space="preserve">IC 397
</t>
    </r>
    <r>
      <rPr>
        <b/>
        <sz val="8"/>
        <color rgb="FF0000FF"/>
        <rFont val="Arial"/>
        <family val="2"/>
      </rPr>
      <t>+
IA 27
  23/05/2014</t>
    </r>
  </si>
  <si>
    <r>
      <t xml:space="preserve">N/A
+ 
</t>
    </r>
    <r>
      <rPr>
        <b/>
        <sz val="8"/>
        <color rgb="FF0000FF"/>
        <rFont val="Arial"/>
        <family val="2"/>
      </rPr>
      <t>IA 26
 25/03/2014</t>
    </r>
  </si>
  <si>
    <r>
      <t xml:space="preserve">N/A
</t>
    </r>
    <r>
      <rPr>
        <b/>
        <sz val="8"/>
        <color rgb="FF0000FF"/>
        <rFont val="Arial"/>
        <family val="2"/>
      </rPr>
      <t>+
IA 30
 27/06/2014</t>
    </r>
  </si>
  <si>
    <r>
      <t xml:space="preserve">N/A
</t>
    </r>
    <r>
      <rPr>
        <b/>
        <sz val="8"/>
        <color rgb="FF0000FF"/>
        <rFont val="Arial"/>
        <family val="2"/>
      </rPr>
      <t>+
IA 29 
 3/6/2014</t>
    </r>
  </si>
  <si>
    <r>
      <rPr>
        <b/>
        <sz val="10"/>
        <color rgb="FF0000FF"/>
        <rFont val="Arial"/>
        <family val="2"/>
      </rPr>
      <t xml:space="preserve">N </t>
    </r>
    <r>
      <rPr>
        <b/>
        <sz val="10"/>
        <rFont val="Arial"/>
        <family val="2"/>
      </rPr>
      <t xml:space="preserve">1047
</t>
    </r>
    <r>
      <rPr>
        <b/>
        <sz val="10"/>
        <color rgb="FF0000FF"/>
        <rFont val="Arial"/>
        <family val="2"/>
      </rPr>
      <t>+
IA 50
15/03/2015</t>
    </r>
  </si>
  <si>
    <r>
      <rPr>
        <b/>
        <sz val="10"/>
        <color rgb="FF0000FF"/>
        <rFont val="Arial"/>
        <family val="2"/>
      </rPr>
      <t xml:space="preserve">N </t>
    </r>
    <r>
      <rPr>
        <b/>
        <sz val="10"/>
        <rFont val="Arial"/>
        <family val="2"/>
      </rPr>
      <t xml:space="preserve">1048
</t>
    </r>
    <r>
      <rPr>
        <b/>
        <sz val="10"/>
        <color rgb="FF0000FF"/>
        <rFont val="Arial"/>
        <family val="2"/>
      </rPr>
      <t>+
IA 50
15/03/2015</t>
    </r>
  </si>
  <si>
    <r>
      <rPr>
        <b/>
        <sz val="10"/>
        <color rgb="FF0000FF"/>
        <rFont val="Arial"/>
        <family val="2"/>
      </rPr>
      <t xml:space="preserve">N </t>
    </r>
    <r>
      <rPr>
        <b/>
        <sz val="10"/>
        <rFont val="Arial"/>
        <family val="2"/>
      </rPr>
      <t xml:space="preserve">1057
</t>
    </r>
    <r>
      <rPr>
        <b/>
        <sz val="10"/>
        <color rgb="FF0000FF"/>
        <rFont val="Arial"/>
        <family val="2"/>
      </rPr>
      <t>+
IA 50
15/03/2015</t>
    </r>
  </si>
  <si>
    <t>MCU15/0083</t>
  </si>
  <si>
    <t>J Cheung</t>
  </si>
  <si>
    <t>C/- Noosa Town Planning
1/57 Main Ave
WINSTON QLD 4051</t>
  </si>
  <si>
    <t>Lot 8 RP 81559</t>
  </si>
  <si>
    <t>22 Ann Street 
NOOSVILLE</t>
  </si>
  <si>
    <t>35 Walter Hay Drive
NOOSAVILLE</t>
  </si>
  <si>
    <t xml:space="preserve">39 Duke Street
SUNSHINE BEACH </t>
  </si>
  <si>
    <t>43 Elanda Street
SUNSHINE BEACH</t>
  </si>
  <si>
    <t>15 Noosa Drive 
NOOSA HEADS</t>
  </si>
  <si>
    <t>Multiple Housing Type 2 (Duplex = 2 x 3 bedroom units)</t>
  </si>
  <si>
    <t xml:space="preserve">$276.00 Mar-14
IA Adopted Public Transport
refer AICN Paid
</t>
  </si>
  <si>
    <t>$1,255.00 Mar-14
IA Adopted Stormwater
Refer AICN Paid</t>
  </si>
  <si>
    <r>
      <t xml:space="preserve">IC 948
</t>
    </r>
    <r>
      <rPr>
        <sz val="8"/>
        <color rgb="FF0000FF"/>
        <rFont val="Arial"/>
        <family val="2"/>
      </rPr>
      <t>+
IA 33
 9/07/2014</t>
    </r>
  </si>
  <si>
    <r>
      <t xml:space="preserve">IC 949
</t>
    </r>
    <r>
      <rPr>
        <sz val="8"/>
        <color rgb="FF0000FF"/>
        <rFont val="Arial"/>
        <family val="2"/>
      </rPr>
      <t>+
IA 34
     9/07/2014</t>
    </r>
  </si>
  <si>
    <t>$1,281.00 Jun-15
IA Adopted Stormwater
Refer AICN Paid</t>
  </si>
  <si>
    <t xml:space="preserve">$282.00 Jun-15
IA Adopted Public Transport
refer AICN Paid
</t>
  </si>
  <si>
    <t>October 2015 Total =</t>
  </si>
  <si>
    <t>IA #33
Missing networks</t>
  </si>
  <si>
    <t>IA #34
Missing networks</t>
  </si>
  <si>
    <t>Material Change of Use
Extension to relevant Period</t>
  </si>
  <si>
    <t>Noosa Professional
8/1 Lanyana Way, Noosa Heads, QLD 4567</t>
  </si>
  <si>
    <t>22 Tristania Dr,
MARCUS BEACH QLD 4573</t>
  </si>
  <si>
    <t>20 Tristania Dr,
MARCUS BEACH QLD 4573</t>
  </si>
  <si>
    <t>Vacant Residential lot</t>
  </si>
  <si>
    <t>October 2015
Total =</t>
  </si>
  <si>
    <t>Type 1 warehouse – 507m²
Retail business type 4 – 175m²
Impervious area = 1,492 m2</t>
  </si>
  <si>
    <r>
      <t>IA Carparking Contribution in Lieu</t>
    </r>
    <r>
      <rPr>
        <b/>
        <sz val="8"/>
        <color rgb="FF0000FF"/>
        <rFont val="Arial"/>
        <family val="2"/>
      </rPr>
      <t xml:space="preserve">
</t>
    </r>
    <r>
      <rPr>
        <sz val="8"/>
        <color rgb="FF0000FF"/>
        <rFont val="Arial"/>
        <family val="2"/>
      </rPr>
      <t xml:space="preserve">Refer also to AICN.N1095 for std charges applicable
</t>
    </r>
    <r>
      <rPr>
        <sz val="8"/>
        <color rgb="FFFF0000"/>
        <rFont val="Arial"/>
        <family val="2"/>
      </rPr>
      <t>USE ALREADY COMMENCED
Payment due 16 Oct 2015</t>
    </r>
  </si>
  <si>
    <r>
      <rPr>
        <b/>
        <sz val="10"/>
        <color rgb="FF0000FF"/>
        <rFont val="Arial"/>
        <family val="2"/>
      </rPr>
      <t xml:space="preserve">N </t>
    </r>
    <r>
      <rPr>
        <b/>
        <sz val="10"/>
        <rFont val="Arial"/>
        <family val="2"/>
      </rPr>
      <t xml:space="preserve">1095
</t>
    </r>
    <r>
      <rPr>
        <sz val="10"/>
        <color rgb="FF0000FF"/>
        <rFont val="Arial"/>
        <family val="2"/>
      </rPr>
      <t xml:space="preserve">Refer also to IA #52 &amp; PSP+ICP sheet
</t>
    </r>
    <r>
      <rPr>
        <sz val="10"/>
        <color rgb="FFFF0000"/>
        <rFont val="Arial"/>
        <family val="2"/>
      </rPr>
      <t>USE ALREADY COMMENCED Payment due 16 Oct 2015</t>
    </r>
  </si>
  <si>
    <t>REC15/0021</t>
  </si>
  <si>
    <t>Mr MW Stjernqvist</t>
  </si>
  <si>
    <t>Lot 1 RP 28708</t>
  </si>
  <si>
    <t xml:space="preserve">Detached House - x 2 Detached House Lots     
</t>
  </si>
  <si>
    <t xml:space="preserve">Detached House x 1 Detached House     
</t>
  </si>
  <si>
    <r>
      <rPr>
        <strike/>
        <sz val="8"/>
        <rFont val="Arial"/>
        <family val="2"/>
      </rPr>
      <t>Decision Notice</t>
    </r>
    <r>
      <rPr>
        <sz val="8"/>
        <rFont val="Arial"/>
        <family val="2"/>
      </rPr>
      <t xml:space="preserve">
Change to a DA</t>
    </r>
  </si>
  <si>
    <t>51992.213.01
Change to Existing</t>
  </si>
  <si>
    <t>PO Box 1054
MAROOCHYDORE QLD 4558</t>
  </si>
  <si>
    <t>Lot 7 RP 224431</t>
  </si>
  <si>
    <t>11 Eumundi Noosa Rd, NOOSAVILLE, QLD 4566</t>
  </si>
  <si>
    <t>Wellbeing Type 2 Social (Scout shed) = total of 42 m2 GFA + 42m2 impervious</t>
  </si>
  <si>
    <t>n/a only additional considered</t>
  </si>
  <si>
    <t>51983.3225.04 
Change to Existing</t>
  </si>
  <si>
    <t>Carasville Pty Ltd</t>
  </si>
  <si>
    <t xml:space="preserve">C/- Martoo Consulting Pty Ltd
PO Box 1684
NOOSA HEADS  QLD  4567
</t>
  </si>
  <si>
    <t>Lot 11 GTP1154</t>
  </si>
  <si>
    <t>11/30 Hastings St, NOOSA HEADS, QLD 4567</t>
  </si>
  <si>
    <t>3 bedroom Unit</t>
  </si>
  <si>
    <t>2 Bedroom Unit</t>
  </si>
  <si>
    <t>The approval is for changing the existing garage into an additional habitable room  which primarily lends itself for use as an additional separate bedroom under the definitions of the planning scheme and charges resolution.</t>
  </si>
  <si>
    <r>
      <t xml:space="preserve">07/0187 (DA)
</t>
    </r>
    <r>
      <rPr>
        <sz val="8"/>
        <color rgb="FF0000FF"/>
        <rFont val="Arial"/>
        <family val="2"/>
      </rPr>
      <t>132007.187.03 (Ext</t>
    </r>
    <r>
      <rPr>
        <b/>
        <sz val="8"/>
        <color rgb="FF0000FF"/>
        <rFont val="Arial"/>
        <family val="2"/>
      </rPr>
      <t>)</t>
    </r>
  </si>
  <si>
    <r>
      <rPr>
        <strike/>
        <sz val="8"/>
        <rFont val="Arial"/>
        <family val="2"/>
      </rPr>
      <t>Decision Notice</t>
    </r>
    <r>
      <rPr>
        <sz val="8"/>
        <rFont val="Arial"/>
        <family val="2"/>
      </rPr>
      <t xml:space="preserve">
Change to an Existing Approval</t>
    </r>
  </si>
  <si>
    <r>
      <t xml:space="preserve">07/2398 (DA)
132007.2398
</t>
    </r>
    <r>
      <rPr>
        <strike/>
        <sz val="8"/>
        <color rgb="FF0000FF"/>
        <rFont val="Arial"/>
        <family val="2"/>
      </rPr>
      <t>(Ext: 132007.2398.01)</t>
    </r>
    <r>
      <rPr>
        <sz val="8"/>
        <color rgb="FF0000FF"/>
        <rFont val="Arial"/>
        <family val="2"/>
      </rPr>
      <t xml:space="preserve">
</t>
    </r>
    <r>
      <rPr>
        <sz val="8"/>
        <color rgb="FFFF0000"/>
        <rFont val="Arial"/>
        <family val="2"/>
      </rPr>
      <t>Change to Existing 132007.2398.02)</t>
    </r>
    <r>
      <rPr>
        <b/>
        <sz val="8"/>
        <rFont val="Arial"/>
        <family val="2"/>
      </rPr>
      <t xml:space="preserve">
STAGE: 1a, 1b, 2 &amp; 3
</t>
    </r>
  </si>
  <si>
    <t>1 x Lot &amp; house +
1 x vacant lot</t>
  </si>
  <si>
    <t>Dec-14
Stg 1a = $33,382
Stg 1b = $45,162
Stg 2 = $58,711
Stg 3 = $30,108</t>
  </si>
  <si>
    <t xml:space="preserve">$347,543 Dec-14
IA Adopted Stormwater See AIC sheet
Stg 1a = $57,267
Stg 1b = $142,653
Stg 2 = $97,991
Stg 3 = $49,632
</t>
  </si>
  <si>
    <t>Dec-14
Stg 1a = $185,879
Stg 1b = $161,040
Stg 2 = $322,908
Stg 3 = $165,594</t>
  </si>
  <si>
    <t>Dec-14
Stg 1a = $183,787
Stg 1b = $158,522
Stg 2 = $349,644
Stg 3 = $179,305</t>
  </si>
  <si>
    <t>Dec-14
Stg 1a = $22,694
Stg 1b = $15,151
Stg 2 = $40,623
Stg 3 = $20,833</t>
  </si>
  <si>
    <t xml:space="preserve">$74,738 Dec-14
IA Adopted Public Transport See AIC sheet
Stg 1a = $14,111
Stg 1b = $24,253
Stg 2 = $24,145
Stg 3 = $12,229
</t>
  </si>
  <si>
    <t>Dec-14
Stg 1a = $72,876
Stg 1b = $95,881
Stg 2 = $128,170
Stg 3 = $65,728</t>
  </si>
  <si>
    <t>Paid All stages</t>
  </si>
  <si>
    <t>See AICN sheet</t>
  </si>
  <si>
    <t>IA #31c
Missing networks</t>
  </si>
  <si>
    <t xml:space="preserve">Material Change of Use
</t>
  </si>
  <si>
    <t>Palm Lake Works
(Owner = Walter Elliott Holdings Pty Ltd)</t>
  </si>
  <si>
    <t>PO Box 10479
SOUTHPORT  QLD  4215
(PO Box 10479
SOUTHPORT BC  QLD  4215)</t>
  </si>
  <si>
    <t>Infrastructure Agreement #31c  dated 09/03/2015 for Missing Stormwater &amp; Public Transport networks @CPI December 2014</t>
  </si>
  <si>
    <r>
      <rPr>
        <b/>
        <sz val="8"/>
        <rFont val="Arial"/>
        <family val="2"/>
      </rPr>
      <t>Multiple Housing - Type 3 - Retirement &amp; Special Needs</t>
    </r>
    <r>
      <rPr>
        <sz val="8"/>
        <rFont val="Arial"/>
        <family val="2"/>
      </rPr>
      <t xml:space="preserve">
</t>
    </r>
    <r>
      <rPr>
        <b/>
        <sz val="8"/>
        <rFont val="Arial"/>
        <family val="2"/>
      </rPr>
      <t>Stage 1a</t>
    </r>
    <r>
      <rPr>
        <sz val="8"/>
        <rFont val="Arial"/>
        <family val="2"/>
      </rPr>
      <t xml:space="preserve"> = 46 x equiv 3 bed units
</t>
    </r>
    <r>
      <rPr>
        <b/>
        <sz val="8"/>
        <rFont val="Arial"/>
        <family val="2"/>
      </rPr>
      <t>Stage 1b</t>
    </r>
    <r>
      <rPr>
        <sz val="8"/>
        <rFont val="Arial"/>
        <family val="2"/>
      </rPr>
      <t xml:space="preserve"> Aged Care Facility = 120 beds = 9,800m2 gfa + 13,300 m2 impervious area
</t>
    </r>
    <r>
      <rPr>
        <b/>
        <sz val="8"/>
        <rFont val="Arial"/>
        <family val="2"/>
      </rPr>
      <t xml:space="preserve">Stage 2 </t>
    </r>
    <r>
      <rPr>
        <sz val="8"/>
        <rFont val="Arial"/>
        <family val="2"/>
      </rPr>
      <t xml:space="preserve">= 78 x equiv 3 bed units
</t>
    </r>
    <r>
      <rPr>
        <b/>
        <sz val="8"/>
        <rFont val="Arial"/>
        <family val="2"/>
      </rPr>
      <t xml:space="preserve">Stage 3 </t>
    </r>
    <r>
      <rPr>
        <sz val="8"/>
        <rFont val="Arial"/>
        <family val="2"/>
      </rPr>
      <t>= 40 x equiv 3 bed units</t>
    </r>
  </si>
  <si>
    <r>
      <rPr>
        <b/>
        <sz val="10"/>
        <rFont val="Arial"/>
        <family val="2"/>
      </rPr>
      <t>Multiple Housing - Type 3 - Retirement &amp; Special Needs</t>
    </r>
    <r>
      <rPr>
        <sz val="10"/>
        <rFont val="Arial"/>
        <family val="2"/>
      </rPr>
      <t xml:space="preserve">
</t>
    </r>
    <r>
      <rPr>
        <b/>
        <sz val="10"/>
        <rFont val="Arial"/>
        <family val="2"/>
      </rPr>
      <t xml:space="preserve">Stage 1a </t>
    </r>
    <r>
      <rPr>
        <sz val="10"/>
        <rFont val="Arial"/>
        <family val="2"/>
      </rPr>
      <t xml:space="preserve">= 46 x equiv 3 bed units
</t>
    </r>
    <r>
      <rPr>
        <b/>
        <sz val="10"/>
        <rFont val="Arial"/>
        <family val="2"/>
      </rPr>
      <t>Stage 1b</t>
    </r>
    <r>
      <rPr>
        <sz val="10"/>
        <rFont val="Arial"/>
        <family val="2"/>
      </rPr>
      <t xml:space="preserve"> Aged Care Facility = 120 beds = 9,800m2 gfa + 13,300 m2 impervious area
</t>
    </r>
    <r>
      <rPr>
        <b/>
        <sz val="10"/>
        <rFont val="Arial"/>
        <family val="2"/>
      </rPr>
      <t>Stage 2</t>
    </r>
    <r>
      <rPr>
        <sz val="10"/>
        <rFont val="Arial"/>
        <family val="2"/>
      </rPr>
      <t xml:space="preserve"> = 78 x equiv 3 bed units
</t>
    </r>
    <r>
      <rPr>
        <b/>
        <sz val="10"/>
        <rFont val="Arial"/>
        <family val="2"/>
      </rPr>
      <t>Stage 3</t>
    </r>
    <r>
      <rPr>
        <sz val="10"/>
        <rFont val="Arial"/>
        <family val="2"/>
      </rPr>
      <t xml:space="preserve"> = 40 x equiv 3 bed units</t>
    </r>
  </si>
  <si>
    <r>
      <t xml:space="preserve">05/1219 DA
132005.1219
</t>
    </r>
    <r>
      <rPr>
        <sz val="8"/>
        <color rgb="FF0000FF"/>
        <rFont val="Arial"/>
        <family val="2"/>
      </rPr>
      <t xml:space="preserve">(Ext: 132005.1219.06)
</t>
    </r>
  </si>
  <si>
    <r>
      <t>15/12/2005</t>
    </r>
    <r>
      <rPr>
        <sz val="8"/>
        <rFont val="Arial"/>
        <family val="2"/>
      </rPr>
      <t xml:space="preserve">
</t>
    </r>
    <r>
      <rPr>
        <strike/>
        <sz val="8"/>
        <rFont val="Arial"/>
        <family val="2"/>
      </rPr>
      <t>16/11/09</t>
    </r>
    <r>
      <rPr>
        <sz val="8"/>
        <rFont val="Arial"/>
        <family val="2"/>
      </rPr>
      <t xml:space="preserve">
</t>
    </r>
    <r>
      <rPr>
        <strike/>
        <sz val="8"/>
        <rFont val="Arial"/>
        <family val="2"/>
      </rPr>
      <t>16/6/2010</t>
    </r>
    <r>
      <rPr>
        <sz val="8"/>
        <rFont val="Arial"/>
        <family val="2"/>
      </rPr>
      <t xml:space="preserve">
</t>
    </r>
    <r>
      <rPr>
        <strike/>
        <sz val="8"/>
        <rFont val="Arial"/>
        <family val="2"/>
      </rPr>
      <t>25/06/2014</t>
    </r>
    <r>
      <rPr>
        <sz val="8"/>
        <rFont val="Arial"/>
        <family val="2"/>
      </rPr>
      <t xml:space="preserve">
7/10/2015</t>
    </r>
  </si>
  <si>
    <r>
      <t>7/12/2009</t>
    </r>
    <r>
      <rPr>
        <sz val="8"/>
        <rFont val="Arial"/>
        <family val="2"/>
      </rPr>
      <t xml:space="preserve">
</t>
    </r>
    <r>
      <rPr>
        <strike/>
        <sz val="8"/>
        <rFont val="Arial"/>
        <family val="2"/>
      </rPr>
      <t>7/12/2011</t>
    </r>
    <r>
      <rPr>
        <sz val="8"/>
        <rFont val="Arial"/>
        <family val="2"/>
      </rPr>
      <t xml:space="preserve">
</t>
    </r>
    <r>
      <rPr>
        <strike/>
        <sz val="8"/>
        <rFont val="Arial"/>
        <family val="2"/>
      </rPr>
      <t>7/12/2013</t>
    </r>
    <r>
      <rPr>
        <sz val="8"/>
        <rFont val="Arial"/>
        <family val="2"/>
      </rPr>
      <t xml:space="preserve">
</t>
    </r>
    <r>
      <rPr>
        <strike/>
        <sz val="8"/>
        <rFont val="Arial"/>
        <family val="2"/>
      </rPr>
      <t>7/12/2015</t>
    </r>
    <r>
      <rPr>
        <sz val="8"/>
        <rFont val="Arial"/>
        <family val="2"/>
      </rPr>
      <t xml:space="preserve">
7/12/2017</t>
    </r>
  </si>
  <si>
    <t>See also AICN 470 = Stage 1 completed 7/01/14</t>
  </si>
  <si>
    <t>Serina Pty Ltd</t>
  </si>
  <si>
    <t>Lot 32 RP 893427 &amp; Lot 903 T 1631</t>
  </si>
  <si>
    <t>Multiple Housing – Type 4 Conventional =
15 x 2bd + 1 x1bd unit</t>
  </si>
  <si>
    <t xml:space="preserve">PO Box 639
COOROY  QLD  4563
</t>
  </si>
  <si>
    <t>Lot 2 RP 198277</t>
  </si>
  <si>
    <t>Bicentennial Dr SUNSHINE BEACH  QLD  4567</t>
  </si>
  <si>
    <t>Wellbeing Type 3 – Worship = additional 197m² GFA
+ Additional impervious area = 197 m2</t>
  </si>
  <si>
    <t>N/A charge only caclulated on increase</t>
  </si>
  <si>
    <r>
      <rPr>
        <strike/>
        <sz val="10"/>
        <rFont val="Arial"/>
        <family val="2"/>
      </rPr>
      <t>MCU14/0102</t>
    </r>
    <r>
      <rPr>
        <sz val="10"/>
        <rFont val="Arial"/>
        <family val="2"/>
      </rPr>
      <t xml:space="preserve">
</t>
    </r>
    <r>
      <rPr>
        <sz val="10"/>
        <color rgb="FF0000FF"/>
        <rFont val="Arial"/>
        <family val="2"/>
      </rPr>
      <t>MCU14/0102.02 (Change)</t>
    </r>
  </si>
  <si>
    <r>
      <t xml:space="preserve">1. Industrial Business Type 1 Warehouse &amp; Type 2 Production, alteration, repackaging </t>
    </r>
    <r>
      <rPr>
        <u/>
        <sz val="10"/>
        <rFont val="Arial"/>
        <family val="2"/>
      </rPr>
      <t xml:space="preserve">and </t>
    </r>
    <r>
      <rPr>
        <sz val="10"/>
        <rFont val="Arial"/>
        <family val="2"/>
      </rPr>
      <t xml:space="preserve">repairing </t>
    </r>
    <r>
      <rPr>
        <b/>
        <strike/>
        <u/>
        <sz val="10"/>
        <color rgb="FFFF0000"/>
        <rFont val="Arial"/>
        <family val="2"/>
      </rPr>
      <t>AND</t>
    </r>
    <r>
      <rPr>
        <strike/>
        <sz val="10"/>
        <color rgb="FFFF0000"/>
        <rFont val="Arial"/>
        <family val="2"/>
      </rPr>
      <t xml:space="preserve"> Retail Business type 6 – Hardware </t>
    </r>
    <r>
      <rPr>
        <sz val="10"/>
        <rFont val="Arial"/>
        <family val="2"/>
      </rPr>
      <t>(</t>
    </r>
    <r>
      <rPr>
        <b/>
        <sz val="10"/>
        <rFont val="Arial"/>
        <family val="2"/>
      </rPr>
      <t>2240m² in total is approved for all uses</t>
    </r>
    <r>
      <rPr>
        <sz val="10"/>
        <rFont val="Arial"/>
        <family val="2"/>
      </rPr>
      <t>)
2. Retail Business Type 2 Shop &amp; salon (100m²)
3. Retail Business Type 5 Vehicle uses (service station 123m²)
4. Entertainment &amp; Dining Business Type 1 Food &amp; beverages (151m²)
5. Impervious Area = 6588m²</t>
    </r>
  </si>
  <si>
    <r>
      <t xml:space="preserve">282
</t>
    </r>
    <r>
      <rPr>
        <b/>
        <sz val="10"/>
        <color rgb="FF0000FF"/>
        <rFont val="Arial"/>
        <family val="2"/>
      </rPr>
      <t>IA# 54</t>
    </r>
    <r>
      <rPr>
        <b/>
        <sz val="10"/>
        <color rgb="FFFF0000"/>
        <rFont val="Arial"/>
        <family val="2"/>
      </rPr>
      <t xml:space="preserve">
</t>
    </r>
    <r>
      <rPr>
        <sz val="10"/>
        <color rgb="FF0000FF"/>
        <rFont val="Arial"/>
        <family val="2"/>
      </rPr>
      <t>Staged Payment Agreement 30/03/2015</t>
    </r>
    <r>
      <rPr>
        <b/>
        <sz val="10"/>
        <color rgb="FF0000FF"/>
        <rFont val="Arial"/>
        <family val="2"/>
      </rPr>
      <t xml:space="preserve">
STAGE PAYMENT  3</t>
    </r>
  </si>
  <si>
    <r>
      <t xml:space="preserve">282
</t>
    </r>
    <r>
      <rPr>
        <b/>
        <sz val="10"/>
        <color rgb="FF0000FF"/>
        <rFont val="Arial"/>
        <family val="2"/>
      </rPr>
      <t>IA#54</t>
    </r>
    <r>
      <rPr>
        <b/>
        <sz val="10"/>
        <color rgb="FFFF0000"/>
        <rFont val="Arial"/>
        <family val="2"/>
      </rPr>
      <t xml:space="preserve">
</t>
    </r>
    <r>
      <rPr>
        <sz val="10"/>
        <color rgb="FF0000FF"/>
        <rFont val="Arial"/>
        <family val="2"/>
      </rPr>
      <t>Staged Payment Agreement 30/03/2015</t>
    </r>
    <r>
      <rPr>
        <b/>
        <sz val="10"/>
        <color rgb="FF0000FF"/>
        <rFont val="Arial"/>
        <family val="2"/>
      </rPr>
      <t xml:space="preserve">
STAGE PAYMENT  4</t>
    </r>
  </si>
  <si>
    <r>
      <rPr>
        <b/>
        <sz val="10"/>
        <color rgb="FF0000FF"/>
        <rFont val="Arial"/>
        <family val="2"/>
      </rPr>
      <t xml:space="preserve">N </t>
    </r>
    <r>
      <rPr>
        <b/>
        <sz val="10"/>
        <rFont val="Arial"/>
        <family val="2"/>
      </rPr>
      <t xml:space="preserve">1051
</t>
    </r>
    <r>
      <rPr>
        <b/>
        <sz val="10"/>
        <color rgb="FF0000FF"/>
        <rFont val="Arial"/>
        <family val="2"/>
      </rPr>
      <t>IA# 55
STAGED PAYMENT 3 Due 28 Feb 2016</t>
    </r>
    <r>
      <rPr>
        <b/>
        <sz val="10"/>
        <rFont val="Arial"/>
        <family val="2"/>
      </rPr>
      <t xml:space="preserve">
</t>
    </r>
    <r>
      <rPr>
        <sz val="10"/>
        <color rgb="FF0000FF"/>
        <rFont val="Arial"/>
        <family val="2"/>
      </rPr>
      <t>(incl interest from 31/08/2015)</t>
    </r>
    <r>
      <rPr>
        <sz val="10"/>
        <color rgb="FFFF0000"/>
        <rFont val="Arial"/>
        <family val="2"/>
      </rPr>
      <t xml:space="preserve">
</t>
    </r>
    <r>
      <rPr>
        <sz val="10"/>
        <color rgb="FF0000FF"/>
        <rFont val="Arial"/>
        <family val="2"/>
      </rPr>
      <t/>
    </r>
  </si>
  <si>
    <r>
      <t xml:space="preserve">N 1051
IA# 55
STAGED PAYMENT 2 Due 30 Nov 2015
</t>
    </r>
    <r>
      <rPr>
        <sz val="10"/>
        <color rgb="FF0000FF"/>
        <rFont val="Arial"/>
        <family val="2"/>
      </rPr>
      <t>(incl interest from 31/08/2015)</t>
    </r>
  </si>
  <si>
    <r>
      <t xml:space="preserve">06/0268 (DA)
</t>
    </r>
    <r>
      <rPr>
        <sz val="8"/>
        <rFont val="Arial"/>
        <family val="2"/>
      </rPr>
      <t xml:space="preserve">132006.268.02
</t>
    </r>
  </si>
  <si>
    <t>IA# 53</t>
  </si>
  <si>
    <r>
      <t xml:space="preserve">06/0268 (DA)
</t>
    </r>
    <r>
      <rPr>
        <sz val="8"/>
        <rFont val="Arial"/>
        <family val="2"/>
      </rPr>
      <t xml:space="preserve">132006.268.02
</t>
    </r>
    <r>
      <rPr>
        <b/>
        <sz val="10"/>
        <color rgb="FF0000FF"/>
        <rFont val="Arial"/>
        <family val="2"/>
      </rPr>
      <t xml:space="preserve">
</t>
    </r>
  </si>
  <si>
    <r>
      <t xml:space="preserve">06/0268 (DA)
</t>
    </r>
    <r>
      <rPr>
        <sz val="8"/>
        <rFont val="Arial"/>
        <family val="2"/>
      </rPr>
      <t xml:space="preserve">132006.268.02
</t>
    </r>
  </si>
  <si>
    <r>
      <t xml:space="preserve">N/A
</t>
    </r>
    <r>
      <rPr>
        <b/>
        <sz val="10"/>
        <color rgb="FF0000FF"/>
        <rFont val="Arial"/>
        <family val="2"/>
      </rPr>
      <t>IA 48</t>
    </r>
    <r>
      <rPr>
        <b/>
        <sz val="8"/>
        <color rgb="FF0000FF"/>
        <rFont val="Arial"/>
        <family val="2"/>
      </rPr>
      <t xml:space="preserve">
 6/12/2016</t>
    </r>
    <r>
      <rPr>
        <sz val="11"/>
        <color theme="1"/>
        <rFont val="Calibri"/>
        <family val="2"/>
        <scheme val="minor"/>
      </rPr>
      <t/>
    </r>
  </si>
  <si>
    <r>
      <t xml:space="preserve">N/A
</t>
    </r>
    <r>
      <rPr>
        <b/>
        <sz val="10"/>
        <color rgb="FF0000FF"/>
        <rFont val="Arial"/>
        <family val="2"/>
      </rPr>
      <t>IA 48</t>
    </r>
    <r>
      <rPr>
        <b/>
        <sz val="8"/>
        <color rgb="FF0000FF"/>
        <rFont val="Arial"/>
        <family val="2"/>
      </rPr>
      <t xml:space="preserve">
 6/12/2017</t>
    </r>
    <r>
      <rPr>
        <sz val="11"/>
        <color theme="1"/>
        <rFont val="Calibri"/>
        <family val="2"/>
        <scheme val="minor"/>
      </rPr>
      <t/>
    </r>
  </si>
  <si>
    <r>
      <t xml:space="preserve">N/A
</t>
    </r>
    <r>
      <rPr>
        <b/>
        <sz val="10"/>
        <color rgb="FF0000FF"/>
        <rFont val="Arial"/>
        <family val="2"/>
      </rPr>
      <t>IA 48</t>
    </r>
    <r>
      <rPr>
        <b/>
        <sz val="8"/>
        <color rgb="FF0000FF"/>
        <rFont val="Arial"/>
        <family val="2"/>
      </rPr>
      <t xml:space="preserve">
 6/12/2018</t>
    </r>
    <r>
      <rPr>
        <sz val="11"/>
        <color theme="1"/>
        <rFont val="Calibri"/>
        <family val="2"/>
        <scheme val="minor"/>
      </rPr>
      <t/>
    </r>
  </si>
  <si>
    <t>51994.1420.01 (Change to Existing Approval)</t>
  </si>
  <si>
    <t>Lot 26 RP 202253</t>
  </si>
  <si>
    <t>17 William Street TEWANTIN</t>
  </si>
  <si>
    <t>Wellbeing Type 3 Worship (Church)  Additional = 93m² gfa
+ Additional = 93m² impervious area</t>
  </si>
  <si>
    <t>132003.221196.1 (Change to Existing Approval)</t>
  </si>
  <si>
    <t>Pacific BCQ</t>
  </si>
  <si>
    <t>PO Box 1901
NOOSAVILLE BC QLD 4566</t>
  </si>
  <si>
    <t>3/21 Lionel Donovan Drive NOOSAVILLE</t>
  </si>
  <si>
    <t>Lot 3 RP 171715</t>
  </si>
  <si>
    <t>Industrial Business Type 2 = 180m2 gfa</t>
  </si>
  <si>
    <t>Industrial Business Type 2 = 212m2 gfa
(2nd floor mezzanine extension)
No change to impervious area.</t>
  </si>
  <si>
    <t>MCU14/0082.01
(Change to Existing Approval)</t>
  </si>
  <si>
    <t>Noosa Men's Shed</t>
  </si>
  <si>
    <t>C/- Mr Stefan Prystupa
PO Box 233
NOOSA HEADS  QLD  4567</t>
  </si>
  <si>
    <t>Lot 17 SP 239726</t>
  </si>
  <si>
    <t xml:space="preserve">Wallum Lane 
NOOSA HEADS  QLD  4567  </t>
  </si>
  <si>
    <t>N/A 
Only considering additional gfa &amp; impervious to previous approval</t>
  </si>
  <si>
    <r>
      <t xml:space="preserve">Wellbeing Type 2 Social (Noosa Men’s Shed) = </t>
    </r>
    <r>
      <rPr>
        <u/>
        <sz val="10"/>
        <rFont val="Arial"/>
        <family val="2"/>
      </rPr>
      <t xml:space="preserve">Additional </t>
    </r>
    <r>
      <rPr>
        <sz val="10"/>
        <rFont val="Arial"/>
        <family val="2"/>
      </rPr>
      <t xml:space="preserve">260 m2 GFA + impervious area </t>
    </r>
  </si>
  <si>
    <t>November 2015
Total =</t>
  </si>
  <si>
    <r>
      <rPr>
        <b/>
        <sz val="8"/>
        <color indexed="10"/>
        <rFont val="Arial"/>
        <family val="2"/>
      </rPr>
      <t>Use commenced &amp; OUTSTANDING</t>
    </r>
    <r>
      <rPr>
        <sz val="8"/>
        <color indexed="10"/>
        <rFont val="Arial"/>
        <family val="2"/>
      </rPr>
      <t xml:space="preserve">
Re-Confirmed MC 04/2014</t>
    </r>
  </si>
  <si>
    <r>
      <rPr>
        <strike/>
        <sz val="8"/>
        <rFont val="Arial"/>
        <family val="2"/>
      </rPr>
      <t>25/09/2007</t>
    </r>
    <r>
      <rPr>
        <sz val="8"/>
        <rFont val="Arial"/>
        <family val="2"/>
      </rPr>
      <t xml:space="preserve">
12/11/2007</t>
    </r>
  </si>
  <si>
    <t>Decision Notice
Negotiated Decision Notice</t>
  </si>
  <si>
    <r>
      <rPr>
        <b/>
        <sz val="9"/>
        <color rgb="FFFF0000"/>
        <rFont val="Arial"/>
        <family val="2"/>
      </rPr>
      <t xml:space="preserve">Use Commenced &amp; OUTSTANDING
</t>
    </r>
    <r>
      <rPr>
        <sz val="8"/>
        <color rgb="FFFF0000"/>
        <rFont val="Arial"/>
        <family val="2"/>
      </rPr>
      <t>per email advice 19/02/2014</t>
    </r>
    <r>
      <rPr>
        <b/>
        <sz val="9"/>
        <color rgb="FFFF0000"/>
        <rFont val="Arial"/>
        <family val="2"/>
      </rPr>
      <t xml:space="preserve">
</t>
    </r>
    <r>
      <rPr>
        <sz val="8"/>
        <color rgb="FFFF0000"/>
        <rFont val="Arial"/>
        <family val="2"/>
      </rPr>
      <t>Re-confirmed MC 04/2014</t>
    </r>
  </si>
  <si>
    <t>100% Rebate for Community Organisation</t>
  </si>
  <si>
    <r>
      <t xml:space="preserve">Suncoast Building Approvals 
</t>
    </r>
    <r>
      <rPr>
        <b/>
        <sz val="10"/>
        <color rgb="FF0000FF"/>
        <rFont val="Arial"/>
        <family val="2"/>
      </rPr>
      <t xml:space="preserve">(for Noosa Sea Scouts, Scout Association Australia) </t>
    </r>
  </si>
  <si>
    <t>Noosa Aquatic Centre 
6 Girraween Ct SUNSHINE BEACH</t>
  </si>
  <si>
    <t>November 2015 Total =</t>
  </si>
  <si>
    <r>
      <t xml:space="preserve">06/0225 (DA)
</t>
    </r>
    <r>
      <rPr>
        <sz val="8"/>
        <rFont val="Arial"/>
        <family val="2"/>
      </rPr>
      <t>152006.225</t>
    </r>
  </si>
  <si>
    <t>Land provided in lieu</t>
  </si>
  <si>
    <r>
      <t xml:space="preserve">Paid
</t>
    </r>
    <r>
      <rPr>
        <sz val="8"/>
        <color rgb="FF0000FF"/>
        <rFont val="Arial"/>
        <family val="2"/>
      </rPr>
      <t>(cheque posted 22-Oct &amp; received 26-Oct-15)</t>
    </r>
  </si>
  <si>
    <t>9-Nov-15
(receipted)</t>
  </si>
  <si>
    <r>
      <t xml:space="preserve">IA Carparking Contribution in Lieu
</t>
    </r>
    <r>
      <rPr>
        <sz val="8"/>
        <color rgb="FFFF0000"/>
        <rFont val="Arial"/>
        <family val="2"/>
      </rPr>
      <t>BA issued PC15/0399 dated 21/10/2015</t>
    </r>
  </si>
  <si>
    <r>
      <rPr>
        <b/>
        <sz val="10"/>
        <color rgb="FF0000FF"/>
        <rFont val="Arial"/>
        <family val="2"/>
      </rPr>
      <t xml:space="preserve">N </t>
    </r>
    <r>
      <rPr>
        <b/>
        <sz val="10"/>
        <rFont val="Arial"/>
        <family val="2"/>
      </rPr>
      <t xml:space="preserve">1039
</t>
    </r>
    <r>
      <rPr>
        <sz val="8"/>
        <color rgb="FFFF0000"/>
        <rFont val="Arial"/>
        <family val="2"/>
      </rPr>
      <t>BA Issued PC15/0189 dated 11/03/2015</t>
    </r>
  </si>
  <si>
    <r>
      <rPr>
        <b/>
        <sz val="10"/>
        <color rgb="FF0000FF"/>
        <rFont val="Arial"/>
        <family val="2"/>
      </rPr>
      <t xml:space="preserve">N </t>
    </r>
    <r>
      <rPr>
        <b/>
        <sz val="10"/>
        <rFont val="Arial"/>
        <family val="2"/>
      </rPr>
      <t xml:space="preserve">1021
</t>
    </r>
    <r>
      <rPr>
        <sz val="10"/>
        <color rgb="FFFF0000"/>
        <rFont val="Arial"/>
        <family val="2"/>
      </rPr>
      <t>PC15/0240 - Building Approval dated 20/4/2015</t>
    </r>
  </si>
  <si>
    <r>
      <rPr>
        <b/>
        <sz val="10"/>
        <color rgb="FF0000FF"/>
        <rFont val="Arial"/>
        <family val="2"/>
      </rPr>
      <t xml:space="preserve">N </t>
    </r>
    <r>
      <rPr>
        <b/>
        <sz val="10"/>
        <rFont val="Arial"/>
        <family val="2"/>
      </rPr>
      <t xml:space="preserve">1062
</t>
    </r>
    <r>
      <rPr>
        <sz val="8"/>
        <color rgb="FFFF0000"/>
        <rFont val="Arial"/>
        <family val="2"/>
      </rPr>
      <t>BA issued PC15/0599 dated 18/06/2015</t>
    </r>
  </si>
  <si>
    <t xml:space="preserve">MCU15/0031
</t>
  </si>
  <si>
    <r>
      <rPr>
        <b/>
        <sz val="10"/>
        <color rgb="FF0000FF"/>
        <rFont val="Arial"/>
        <family val="2"/>
      </rPr>
      <t xml:space="preserve">N </t>
    </r>
    <r>
      <rPr>
        <b/>
        <sz val="10"/>
        <rFont val="Arial"/>
        <family val="2"/>
      </rPr>
      <t xml:space="preserve">1054
</t>
    </r>
    <r>
      <rPr>
        <sz val="8"/>
        <color rgb="FFFF0000"/>
        <rFont val="Arial"/>
        <family val="2"/>
      </rPr>
      <t>BA Issued PC15/0830 dated 03/09/2015</t>
    </r>
  </si>
  <si>
    <r>
      <rPr>
        <b/>
        <sz val="10"/>
        <color rgb="FF0000FF"/>
        <rFont val="Arial"/>
        <family val="2"/>
      </rPr>
      <t xml:space="preserve">N </t>
    </r>
    <r>
      <rPr>
        <b/>
        <sz val="10"/>
        <rFont val="Arial"/>
        <family val="2"/>
      </rPr>
      <t xml:space="preserve">1043
</t>
    </r>
    <r>
      <rPr>
        <sz val="8"/>
        <color rgb="FFFF0000"/>
        <rFont val="Arial"/>
        <family val="2"/>
      </rPr>
      <t>BA Issued PC14/0159 dated 03/09/2015</t>
    </r>
  </si>
  <si>
    <r>
      <t xml:space="preserve">Jun-2015
IA No. 9
</t>
    </r>
    <r>
      <rPr>
        <sz val="8"/>
        <color rgb="FF0000FF"/>
        <rFont val="Arial"/>
        <family val="2"/>
      </rPr>
      <t>Remaining amount of Moorindil Street Traffic Contribution (41.8%)</t>
    </r>
    <r>
      <rPr>
        <b/>
        <sz val="8"/>
        <color rgb="FF0000FF"/>
        <rFont val="Arial"/>
        <family val="2"/>
      </rPr>
      <t xml:space="preserve"> 
when paid is credited against ICN.N1094 </t>
    </r>
  </si>
  <si>
    <r>
      <t xml:space="preserve">Jun-2015
IA No. 9
</t>
    </r>
    <r>
      <rPr>
        <sz val="8"/>
        <color rgb="FF0000FF"/>
        <rFont val="Arial"/>
        <family val="2"/>
      </rPr>
      <t>Beach to Ferry Track monetary contribution (41.8%)</t>
    </r>
    <r>
      <rPr>
        <b/>
        <sz val="8"/>
        <color rgb="FF0000FF"/>
        <rFont val="Arial"/>
        <family val="2"/>
      </rPr>
      <t xml:space="preserve">
</t>
    </r>
  </si>
  <si>
    <r>
      <t xml:space="preserve">Jun-2015
IA No. 9
</t>
    </r>
    <r>
      <rPr>
        <sz val="8"/>
        <color rgb="FF0000FF"/>
        <rFont val="Arial"/>
        <family val="2"/>
      </rPr>
      <t>Beach to Ferry Track monetary contribution (58.2%)</t>
    </r>
  </si>
  <si>
    <t>IA 9 triggered by next stage of development on Parcel 2 land above = (Lot 2 SP 186169)
 Visitor Accom type 4 - conventional = 
21 x 2 bed dwellings</t>
  </si>
  <si>
    <r>
      <t xml:space="preserve">ALSO Refer to Preliminary approval 23537 DA 
</t>
    </r>
    <r>
      <rPr>
        <sz val="8"/>
        <color rgb="FF0000FF"/>
        <rFont val="Arial"/>
        <family val="2"/>
      </rPr>
      <t>IA 9 triggered by next stage of development on Parcel 2 land above = (Lot 2 SP 186169)</t>
    </r>
    <r>
      <rPr>
        <sz val="8"/>
        <rFont val="Arial"/>
        <family val="2"/>
      </rPr>
      <t xml:space="preserve">
</t>
    </r>
  </si>
  <si>
    <r>
      <t xml:space="preserve">Jun-2015
IA No. 9
</t>
    </r>
    <r>
      <rPr>
        <sz val="8"/>
        <color rgb="FF0000FF"/>
        <rFont val="Arial"/>
        <family val="2"/>
      </rPr>
      <t xml:space="preserve">Remaining amount of Moorindil Street Traffic Contribution (58.2%) </t>
    </r>
    <r>
      <rPr>
        <b/>
        <sz val="8"/>
        <color rgb="FF0000FF"/>
        <rFont val="Arial"/>
        <family val="2"/>
      </rPr>
      <t xml:space="preserve">
&amp; when paid is to be credited against future development of property</t>
    </r>
  </si>
  <si>
    <r>
      <t xml:space="preserve">Paid
</t>
    </r>
    <r>
      <rPr>
        <sz val="8"/>
        <color rgb="FF0000FF"/>
        <rFont val="Arial"/>
        <family val="2"/>
      </rPr>
      <t>(direct deposit)</t>
    </r>
  </si>
  <si>
    <r>
      <t xml:space="preserve">Public Safety Business Agency
</t>
    </r>
    <r>
      <rPr>
        <sz val="10"/>
        <color rgb="FF0000FF"/>
        <rFont val="Arial"/>
        <family val="2"/>
      </rPr>
      <t>(for use by Rural Fire Brigade)</t>
    </r>
  </si>
  <si>
    <t>Y</t>
  </si>
  <si>
    <t>N</t>
  </si>
  <si>
    <r>
      <rPr>
        <b/>
        <sz val="10"/>
        <color rgb="FF0000FF"/>
        <rFont val="Arial"/>
        <family val="2"/>
      </rPr>
      <t>100% Rebate for Community Organisation</t>
    </r>
    <r>
      <rPr>
        <sz val="10"/>
        <color rgb="FF0000FF"/>
        <rFont val="Arial"/>
        <family val="2"/>
      </rPr>
      <t xml:space="preserve">
Development for use by Rural Fire Brigade being a community organisation.</t>
    </r>
  </si>
  <si>
    <r>
      <t xml:space="preserve">Extension to Relevant Period. Charge only applies to STAGE 2: </t>
    </r>
    <r>
      <rPr>
        <b/>
        <sz val="10"/>
        <color rgb="FF0000FF"/>
        <rFont val="Arial"/>
        <family val="2"/>
      </rPr>
      <t>Missing Public Transport Networ</t>
    </r>
    <r>
      <rPr>
        <sz val="10"/>
        <color rgb="FF0000FF"/>
        <rFont val="Arial"/>
        <family val="2"/>
      </rPr>
      <t xml:space="preserve">k 
</t>
    </r>
    <r>
      <rPr>
        <sz val="10"/>
        <color rgb="FFFF0000"/>
        <rFont val="Arial"/>
        <family val="2"/>
      </rPr>
      <t>Indexation Applies as total amount remains below permissible SPRP maximum</t>
    </r>
    <r>
      <rPr>
        <i/>
        <sz val="10"/>
        <color rgb="FF0000FF"/>
        <rFont val="Arial"/>
        <family val="2"/>
      </rPr>
      <t xml:space="preserve">
</t>
    </r>
    <r>
      <rPr>
        <i/>
        <u/>
        <sz val="10"/>
        <color rgb="FF0000FF"/>
        <rFont val="Arial"/>
        <family val="2"/>
      </rPr>
      <t>Note:</t>
    </r>
    <r>
      <rPr>
        <i/>
        <sz val="10"/>
        <color rgb="FF0000FF"/>
        <rFont val="Arial"/>
        <family val="2"/>
      </rPr>
      <t xml:space="preserve"> Stormwater does not apply on non-res lot reconfigurations but will apply on later MCU's when impervious area is known.</t>
    </r>
  </si>
  <si>
    <r>
      <t xml:space="preserve">Extension to Relevant Period. Charge only applies to STAGE 1: </t>
    </r>
    <r>
      <rPr>
        <b/>
        <sz val="10"/>
        <color rgb="FF0000FF"/>
        <rFont val="Arial"/>
        <family val="2"/>
      </rPr>
      <t>Missing Public Transport Network</t>
    </r>
    <r>
      <rPr>
        <sz val="10"/>
        <color rgb="FF0000FF"/>
        <rFont val="Arial"/>
        <family val="2"/>
      </rPr>
      <t xml:space="preserve"> 
</t>
    </r>
    <r>
      <rPr>
        <sz val="10"/>
        <color rgb="FFFF0000"/>
        <rFont val="Arial"/>
        <family val="2"/>
      </rPr>
      <t>Indexation Applies as total amount remains below permissible SPRP maximum</t>
    </r>
    <r>
      <rPr>
        <sz val="10"/>
        <color rgb="FF0000FF"/>
        <rFont val="Arial"/>
        <family val="2"/>
      </rPr>
      <t xml:space="preserve">
</t>
    </r>
    <r>
      <rPr>
        <i/>
        <u/>
        <sz val="10"/>
        <color rgb="FF0000FF"/>
        <rFont val="Arial"/>
        <family val="2"/>
      </rPr>
      <t>Note:</t>
    </r>
    <r>
      <rPr>
        <i/>
        <sz val="10"/>
        <color rgb="FF0000FF"/>
        <rFont val="Arial"/>
        <family val="2"/>
      </rPr>
      <t xml:space="preserve"> Stormwater does not apply on non-res lot reconfigurations but will apply on later MCU's when impervious area is known.</t>
    </r>
  </si>
  <si>
    <r>
      <t xml:space="preserve">AIC for Missing Stormwater Network
</t>
    </r>
    <r>
      <rPr>
        <sz val="10"/>
        <color rgb="FFFF0000"/>
        <rFont val="Arial"/>
        <family val="2"/>
      </rPr>
      <t>Indexation Applies as total amount remains below permissible SPRP maximum</t>
    </r>
  </si>
  <si>
    <t>Application was Refused
Court Order N215 of 2012 approved dated 20/03/2015</t>
  </si>
  <si>
    <r>
      <t xml:space="preserve">Additional missing networks to original development permit conditions 
</t>
    </r>
    <r>
      <rPr>
        <sz val="10"/>
        <color rgb="FFFF0000"/>
        <rFont val="Arial"/>
        <family val="2"/>
      </rPr>
      <t>Indexation Applies as total amount remains below permissible SPRP maximum</t>
    </r>
  </si>
  <si>
    <t>CHANGE TO EXISTING APPROVAL
Original approval did not trigger a charge notice and this Charge relates only to the increase due to the change</t>
  </si>
  <si>
    <r>
      <t xml:space="preserve">OVERDUE SCRC letter 18/02/2013 (via email)
</t>
    </r>
    <r>
      <rPr>
        <sz val="10"/>
        <color rgb="FFFF0000"/>
        <rFont val="Arial"/>
        <family val="2"/>
      </rPr>
      <t xml:space="preserve">11% Compound Interest Commenced
</t>
    </r>
    <r>
      <rPr>
        <b/>
        <sz val="10"/>
        <color rgb="FFFF0000"/>
        <rFont val="Arial"/>
        <family val="2"/>
      </rPr>
      <t>Staged Payment Agreement 30/03/2015</t>
    </r>
    <r>
      <rPr>
        <b/>
        <sz val="10"/>
        <color rgb="FF0000FF"/>
        <rFont val="Arial"/>
        <family val="2"/>
      </rPr>
      <t xml:space="preserve">
STAGE PAYMENT NO. 4</t>
    </r>
    <r>
      <rPr>
        <sz val="11"/>
        <color theme="1"/>
        <rFont val="Calibri"/>
        <family val="2"/>
        <scheme val="minor"/>
      </rPr>
      <t/>
    </r>
  </si>
  <si>
    <r>
      <t xml:space="preserve">OVERDUE SCRC letter 18/02/2013 (via email)
</t>
    </r>
    <r>
      <rPr>
        <sz val="10"/>
        <color rgb="FFFF0000"/>
        <rFont val="Arial"/>
        <family val="2"/>
      </rPr>
      <t xml:space="preserve">11% Compound Interest Commenced
</t>
    </r>
    <r>
      <rPr>
        <b/>
        <sz val="10"/>
        <color rgb="FFFF0000"/>
        <rFont val="Arial"/>
        <family val="2"/>
      </rPr>
      <t>Staged Payment Agreement 30/03/2015</t>
    </r>
    <r>
      <rPr>
        <b/>
        <sz val="10"/>
        <color rgb="FF0000FF"/>
        <rFont val="Arial"/>
        <family val="2"/>
      </rPr>
      <t xml:space="preserve">
STAGE PAYMENT NO. 5</t>
    </r>
    <r>
      <rPr>
        <sz val="11"/>
        <color theme="1"/>
        <rFont val="Calibri"/>
        <family val="2"/>
        <scheme val="minor"/>
      </rPr>
      <t/>
    </r>
  </si>
  <si>
    <r>
      <t xml:space="preserve">OVERDUE SCRC letter 18/02/2013 (via email)
</t>
    </r>
    <r>
      <rPr>
        <sz val="10"/>
        <color rgb="FFFF0000"/>
        <rFont val="Arial"/>
        <family val="2"/>
      </rPr>
      <t xml:space="preserve">11% Compound Interest Commenced
</t>
    </r>
    <r>
      <rPr>
        <b/>
        <sz val="10"/>
        <color rgb="FFFF0000"/>
        <rFont val="Arial"/>
        <family val="2"/>
      </rPr>
      <t>Staged Payment Agreement 30/03/2015</t>
    </r>
    <r>
      <rPr>
        <b/>
        <sz val="10"/>
        <color rgb="FF0000FF"/>
        <rFont val="Arial"/>
        <family val="2"/>
      </rPr>
      <t xml:space="preserve">
STAGE PAYMENT NO. 3</t>
    </r>
    <r>
      <rPr>
        <sz val="11"/>
        <color theme="1"/>
        <rFont val="Calibri"/>
        <family val="2"/>
        <scheme val="minor"/>
      </rPr>
      <t/>
    </r>
  </si>
  <si>
    <t xml:space="preserve">Calculated as additional only - no discount applied.
</t>
  </si>
  <si>
    <r>
      <rPr>
        <b/>
        <sz val="10"/>
        <color rgb="FF0000FF"/>
        <rFont val="Arial"/>
        <family val="2"/>
      </rPr>
      <t>Representation dated 11 Nov 2015</t>
    </r>
    <r>
      <rPr>
        <sz val="10"/>
        <color rgb="FF0000FF"/>
        <rFont val="Arial"/>
        <family val="2"/>
      </rPr>
      <t xml:space="preserve"> is agreed.
(Revision No.1) replaces the original issued Charge Notice (Revision 0) by correcting the calculated charge to include an additional existing 1 x 3 bedroom dwelling (unit 6) located on Lot 903 T 1631 (32 Doonella St, Tewantin).</t>
    </r>
  </si>
  <si>
    <r>
      <t xml:space="preserve">Detached House = 1 x 3 bedroom house (on Lot 32) 
Multiple Dwellings = </t>
    </r>
    <r>
      <rPr>
        <strike/>
        <sz val="10"/>
        <rFont val="Arial"/>
        <family val="2"/>
      </rPr>
      <t>5</t>
    </r>
    <r>
      <rPr>
        <sz val="10"/>
        <rFont val="Arial"/>
        <family val="2"/>
      </rPr>
      <t xml:space="preserve"> </t>
    </r>
    <r>
      <rPr>
        <b/>
        <sz val="10"/>
        <color rgb="FF0000FF"/>
        <rFont val="Arial"/>
        <family val="2"/>
      </rPr>
      <t xml:space="preserve">6 </t>
    </r>
    <r>
      <rPr>
        <sz val="10"/>
        <rFont val="Arial"/>
        <family val="2"/>
      </rPr>
      <t xml:space="preserve">units on Lot 903 =  4 x 2 bedroom + 1 x 1 bedroom 
</t>
    </r>
    <r>
      <rPr>
        <b/>
        <sz val="10"/>
        <color rgb="FF0000FF"/>
        <rFont val="Arial"/>
        <family val="2"/>
      </rPr>
      <t xml:space="preserve">+ 1 x 3 bedroom </t>
    </r>
    <r>
      <rPr>
        <sz val="10"/>
        <rFont val="Arial"/>
        <family val="2"/>
      </rPr>
      <t xml:space="preserve">(on Lot 903)
Bedroom configuration confirmed with Margot (property owner) by phone at 2.40pm on 7/10/2015 </t>
    </r>
    <r>
      <rPr>
        <sz val="10"/>
        <color rgb="FF0000FF"/>
        <rFont val="Arial"/>
        <family val="2"/>
      </rPr>
      <t>Amendment on Representation</t>
    </r>
  </si>
  <si>
    <t>42 Poinciana Ave Tewantin</t>
  </si>
  <si>
    <r>
      <t xml:space="preserve">N/A
</t>
    </r>
    <r>
      <rPr>
        <b/>
        <sz val="8"/>
        <color rgb="FF0000FF"/>
        <rFont val="Arial"/>
        <family val="2"/>
      </rPr>
      <t xml:space="preserve">
</t>
    </r>
  </si>
  <si>
    <r>
      <t xml:space="preserve">N/A
</t>
    </r>
    <r>
      <rPr>
        <b/>
        <sz val="8"/>
        <color rgb="FF0000FF"/>
        <rFont val="Arial"/>
        <family val="2"/>
      </rPr>
      <t/>
    </r>
  </si>
  <si>
    <r>
      <t>N/A</t>
    </r>
    <r>
      <rPr>
        <b/>
        <sz val="8"/>
        <color rgb="FF0000FF"/>
        <rFont val="Arial"/>
        <family val="2"/>
      </rPr>
      <t/>
    </r>
  </si>
  <si>
    <t>Stage 6</t>
  </si>
  <si>
    <t>Stage 7</t>
  </si>
  <si>
    <t>Stage 8</t>
  </si>
  <si>
    <t>Stage 4</t>
  </si>
  <si>
    <r>
      <t xml:space="preserve">MCU - 174 Dwelling houses, &amp; Lot reconfig - 174 Lots (plus park lots) </t>
    </r>
    <r>
      <rPr>
        <b/>
        <sz val="8"/>
        <rFont val="Arial"/>
        <family val="2"/>
      </rPr>
      <t>Stage 4 (23 Lots)</t>
    </r>
    <r>
      <rPr>
        <sz val="8"/>
        <rFont val="Arial"/>
        <family val="2"/>
      </rPr>
      <t xml:space="preserve">, </t>
    </r>
  </si>
  <si>
    <r>
      <t xml:space="preserve">MCU - 174 Dwelling houses, &amp; Lot reconfig - 174 Lots (plus park lots)  </t>
    </r>
    <r>
      <rPr>
        <b/>
        <sz val="8"/>
        <rFont val="Arial"/>
        <family val="2"/>
      </rPr>
      <t>Stage 5 (22 Lots)</t>
    </r>
    <r>
      <rPr>
        <sz val="8"/>
        <rFont val="Arial"/>
        <family val="2"/>
      </rPr>
      <t xml:space="preserve">, </t>
    </r>
  </si>
  <si>
    <r>
      <t xml:space="preserve">MCU - 174 Dwelling houses, &amp; Lot reconfig - 174 Lots (plus park lots) </t>
    </r>
    <r>
      <rPr>
        <b/>
        <sz val="8"/>
        <rFont val="Arial"/>
        <family val="2"/>
      </rPr>
      <t>Stage 6 (28 Lots)</t>
    </r>
  </si>
  <si>
    <r>
      <t xml:space="preserve">MCU - 174 Dwelling houses, &amp; Lot reconfig - 174 Lots (plus park lots) </t>
    </r>
    <r>
      <rPr>
        <b/>
        <sz val="8"/>
        <rFont val="Arial"/>
        <family val="2"/>
      </rPr>
      <t>Stage 7 (21 lots)</t>
    </r>
    <r>
      <rPr>
        <sz val="8"/>
        <rFont val="Arial"/>
        <family val="2"/>
      </rPr>
      <t>,</t>
    </r>
  </si>
  <si>
    <r>
      <t xml:space="preserve">MCU - 174 Dwelling houses, &amp; Lot reconfig - 174 Lots (plus park lots) </t>
    </r>
    <r>
      <rPr>
        <b/>
        <sz val="8"/>
        <rFont val="Arial"/>
        <family val="2"/>
      </rPr>
      <t>Stage 8 (14 Lots)</t>
    </r>
  </si>
  <si>
    <t xml:space="preserve">N/A
(3 lots applied in whole development calc) </t>
  </si>
  <si>
    <r>
      <rPr>
        <b/>
        <sz val="8"/>
        <rFont val="Arial"/>
        <family val="2"/>
      </rPr>
      <t>Bal Stg 8 = 14 lots</t>
    </r>
    <r>
      <rPr>
        <sz val="8"/>
        <rFont val="Arial"/>
        <family val="2"/>
      </rPr>
      <t xml:space="preserve">
March 06 - $1000 per residential lots x 174 lots = $174,000
Paymens in Stages 1-8
</t>
    </r>
    <r>
      <rPr>
        <b/>
        <sz val="8"/>
        <color rgb="FFFF0000"/>
        <rFont val="Arial"/>
        <family val="2"/>
      </rPr>
      <t>Payment prior to OP Works</t>
    </r>
  </si>
  <si>
    <r>
      <rPr>
        <b/>
        <sz val="8"/>
        <rFont val="Arial"/>
        <family val="2"/>
      </rPr>
      <t>Bal Stg 7 = 21 lots</t>
    </r>
    <r>
      <rPr>
        <sz val="8"/>
        <rFont val="Arial"/>
        <family val="2"/>
      </rPr>
      <t xml:space="preserve">
March 06 - $1000 per residential lots x 174 lots = $174,000
Paymens in Stages 1-8
</t>
    </r>
    <r>
      <rPr>
        <b/>
        <sz val="8"/>
        <color rgb="FFFF0000"/>
        <rFont val="Arial"/>
        <family val="2"/>
      </rPr>
      <t>Payment prior to OP Works</t>
    </r>
  </si>
  <si>
    <r>
      <rPr>
        <b/>
        <sz val="8"/>
        <rFont val="Arial"/>
        <family val="2"/>
      </rPr>
      <t>Bal Stg 6 = 28 lots</t>
    </r>
    <r>
      <rPr>
        <sz val="8"/>
        <rFont val="Arial"/>
        <family val="2"/>
      </rPr>
      <t xml:space="preserve">
March 06 - $1000 per residential lots x 174 lots = $174,000
Paymens in Stages 1-8
</t>
    </r>
    <r>
      <rPr>
        <b/>
        <sz val="8"/>
        <color rgb="FFFF0000"/>
        <rFont val="Arial"/>
        <family val="2"/>
      </rPr>
      <t>Payment prior to OP Works</t>
    </r>
  </si>
  <si>
    <r>
      <rPr>
        <b/>
        <sz val="8"/>
        <color rgb="FF0000FF"/>
        <rFont val="Arial"/>
        <family val="2"/>
      </rPr>
      <t>STAGE 2 = 17 x Industrial Lots</t>
    </r>
    <r>
      <rPr>
        <sz val="8"/>
        <rFont val="Arial"/>
        <family val="2"/>
      </rPr>
      <t xml:space="preserve">
W&amp;S Headworks Contributions based on Lot area of </t>
    </r>
    <r>
      <rPr>
        <sz val="8"/>
        <color rgb="FF0000FF"/>
        <rFont val="Arial"/>
        <family val="2"/>
      </rPr>
      <t xml:space="preserve">38,578 </t>
    </r>
    <r>
      <rPr>
        <sz val="8"/>
        <rFont val="Arial"/>
        <family val="2"/>
      </rPr>
      <t xml:space="preserve">m2 Open Space, Pathway &amp; Roads Contributions based on 40% Site Cover = </t>
    </r>
    <r>
      <rPr>
        <sz val="8"/>
        <color rgb="FF0000FF"/>
        <rFont val="Arial"/>
        <family val="2"/>
      </rPr>
      <t xml:space="preserve">15,431 </t>
    </r>
    <r>
      <rPr>
        <sz val="8"/>
        <rFont val="Arial"/>
        <family val="2"/>
      </rPr>
      <t>m2 gfa</t>
    </r>
  </si>
  <si>
    <r>
      <rPr>
        <b/>
        <sz val="8"/>
        <color rgb="FF0000FF"/>
        <rFont val="Arial"/>
        <family val="2"/>
      </rPr>
      <t>STAGE 3 = 2 x Industrial Lots</t>
    </r>
    <r>
      <rPr>
        <sz val="8"/>
        <rFont val="Arial"/>
        <family val="2"/>
      </rPr>
      <t xml:space="preserve">
W&amp;S Headworks Contributions based on Lot area of </t>
    </r>
    <r>
      <rPr>
        <sz val="8"/>
        <color rgb="FF0000FF"/>
        <rFont val="Arial"/>
        <family val="2"/>
      </rPr>
      <t>4,490</t>
    </r>
    <r>
      <rPr>
        <sz val="8"/>
        <rFont val="Arial"/>
        <family val="2"/>
      </rPr>
      <t xml:space="preserve"> m2 Open Space, Pathway &amp; Roads Contributions based on 40% Site Cover = </t>
    </r>
    <r>
      <rPr>
        <sz val="8"/>
        <color rgb="FF0000FF"/>
        <rFont val="Arial"/>
        <family val="2"/>
      </rPr>
      <t xml:space="preserve">1,796 </t>
    </r>
    <r>
      <rPr>
        <sz val="8"/>
        <rFont val="Arial"/>
        <family val="2"/>
      </rPr>
      <t>m2 gfa</t>
    </r>
  </si>
  <si>
    <t xml:space="preserve">Shop &amp; Restaurant - 216m2 gfa (commercial retail) + Office - 170m2 gfa
No increase to impervious area </t>
  </si>
  <si>
    <r>
      <rPr>
        <b/>
        <sz val="10"/>
        <color rgb="FF0000FF"/>
        <rFont val="Arial"/>
        <family val="2"/>
      </rPr>
      <t xml:space="preserve">N </t>
    </r>
    <r>
      <rPr>
        <b/>
        <sz val="10"/>
        <rFont val="Arial"/>
        <family val="2"/>
      </rPr>
      <t xml:space="preserve">1071
</t>
    </r>
    <r>
      <rPr>
        <sz val="10"/>
        <rFont val="Arial"/>
        <family val="2"/>
      </rPr>
      <t xml:space="preserve">+
</t>
    </r>
    <r>
      <rPr>
        <sz val="10"/>
        <color rgb="FF0000FF"/>
        <rFont val="Arial"/>
        <family val="2"/>
      </rPr>
      <t xml:space="preserve"> ICP &amp; PSPs in original approval 06/2361</t>
    </r>
  </si>
  <si>
    <t>51990.143.01</t>
  </si>
  <si>
    <t>Retail Business Type 2 – Shop &amp; Salon (1,469.6m2 = 1,470m2)</t>
  </si>
  <si>
    <t>Retail Business Type 2 – Shop &amp; Salon (1,416m2)</t>
  </si>
  <si>
    <t>Jalam Pty Ltd</t>
  </si>
  <si>
    <t>Lot 1 RP 225095</t>
  </si>
  <si>
    <t>63 St Andrews Drive
TEWANTIN</t>
  </si>
  <si>
    <t>Rebate apportionment for Community Groups use granted for 6 days/week</t>
  </si>
  <si>
    <t>Rebates for Eligible Community Organisations (aged care) Use component only</t>
  </si>
  <si>
    <r>
      <rPr>
        <strike/>
        <sz val="10"/>
        <rFont val="Arial"/>
        <family val="2"/>
      </rPr>
      <t>9/06/2019</t>
    </r>
    <r>
      <rPr>
        <sz val="10"/>
        <rFont val="Arial"/>
        <family val="2"/>
      </rPr>
      <t xml:space="preserve">
</t>
    </r>
    <r>
      <rPr>
        <sz val="10"/>
        <color rgb="FF0000FF"/>
        <rFont val="Arial"/>
        <family val="2"/>
      </rPr>
      <t>25/09/2019</t>
    </r>
  </si>
  <si>
    <r>
      <rPr>
        <strike/>
        <sz val="10"/>
        <rFont val="Arial"/>
        <family val="2"/>
      </rPr>
      <t>9/06/2015</t>
    </r>
    <r>
      <rPr>
        <sz val="10"/>
        <rFont val="Arial"/>
        <family val="2"/>
      </rPr>
      <t xml:space="preserve">
</t>
    </r>
    <r>
      <rPr>
        <sz val="10"/>
        <color rgb="FF0000FF"/>
        <rFont val="Arial"/>
        <family val="2"/>
      </rPr>
      <t>25/09/2015</t>
    </r>
  </si>
  <si>
    <t>MCU15/0082</t>
  </si>
  <si>
    <t>Cooroy Noosa Genealogical &amp; Historical Society</t>
  </si>
  <si>
    <t>C/- Max Waterson &amp; Associates
PO Box 639
COOROY QLD 4563</t>
  </si>
  <si>
    <t>Lot 1 SP 275863</t>
  </si>
  <si>
    <t>17 Emerald Street
COOROY</t>
  </si>
  <si>
    <t>Wellbeing Type 2 - Social = 180m2 gfa + 190m2 impervious</t>
  </si>
  <si>
    <t>Vacant non-res lot = Nil</t>
  </si>
  <si>
    <r>
      <t xml:space="preserve">264
</t>
    </r>
    <r>
      <rPr>
        <sz val="10"/>
        <color rgb="FFFF0000"/>
        <rFont val="Arial"/>
        <family val="2"/>
      </rPr>
      <t>PC15/0847 building Application dated 25/11/2015</t>
    </r>
  </si>
  <si>
    <r>
      <rPr>
        <b/>
        <sz val="10"/>
        <color rgb="FF0000FF"/>
        <rFont val="Arial"/>
        <family val="2"/>
      </rPr>
      <t xml:space="preserve">N </t>
    </r>
    <r>
      <rPr>
        <b/>
        <sz val="10"/>
        <rFont val="Arial"/>
        <family val="2"/>
      </rPr>
      <t>1151</t>
    </r>
    <r>
      <rPr>
        <sz val="11"/>
        <color theme="1"/>
        <rFont val="Calibri"/>
        <family val="2"/>
        <scheme val="minor"/>
      </rPr>
      <t/>
    </r>
  </si>
  <si>
    <r>
      <rPr>
        <b/>
        <sz val="10"/>
        <color rgb="FF0000FF"/>
        <rFont val="Arial"/>
        <family val="2"/>
      </rPr>
      <t xml:space="preserve">N </t>
    </r>
    <r>
      <rPr>
        <b/>
        <sz val="10"/>
        <rFont val="Arial"/>
        <family val="2"/>
      </rPr>
      <t>1156</t>
    </r>
    <r>
      <rPr>
        <sz val="11"/>
        <color theme="1"/>
        <rFont val="Calibri"/>
        <family val="2"/>
        <scheme val="minor"/>
      </rPr>
      <t/>
    </r>
  </si>
  <si>
    <r>
      <rPr>
        <b/>
        <sz val="10"/>
        <color rgb="FF0000FF"/>
        <rFont val="Arial"/>
        <family val="2"/>
      </rPr>
      <t xml:space="preserve">N </t>
    </r>
    <r>
      <rPr>
        <b/>
        <sz val="10"/>
        <rFont val="Arial"/>
        <family val="2"/>
      </rPr>
      <t>1157</t>
    </r>
    <r>
      <rPr>
        <sz val="11"/>
        <color theme="1"/>
        <rFont val="Calibri"/>
        <family val="2"/>
        <scheme val="minor"/>
      </rPr>
      <t/>
    </r>
  </si>
  <si>
    <r>
      <rPr>
        <b/>
        <sz val="10"/>
        <color rgb="FF0000FF"/>
        <rFont val="Arial"/>
        <family val="2"/>
      </rPr>
      <t xml:space="preserve">N </t>
    </r>
    <r>
      <rPr>
        <b/>
        <sz val="10"/>
        <rFont val="Arial"/>
        <family val="2"/>
      </rPr>
      <t>1158</t>
    </r>
    <r>
      <rPr>
        <sz val="11"/>
        <color theme="1"/>
        <rFont val="Calibri"/>
        <family val="2"/>
        <scheme val="minor"/>
      </rPr>
      <t/>
    </r>
  </si>
  <si>
    <r>
      <rPr>
        <b/>
        <sz val="10"/>
        <color rgb="FF0000FF"/>
        <rFont val="Arial"/>
        <family val="2"/>
      </rPr>
      <t xml:space="preserve">N </t>
    </r>
    <r>
      <rPr>
        <b/>
        <sz val="10"/>
        <rFont val="Arial"/>
        <family val="2"/>
      </rPr>
      <t>1165</t>
    </r>
    <r>
      <rPr>
        <sz val="11"/>
        <color theme="1"/>
        <rFont val="Calibri"/>
        <family val="2"/>
        <scheme val="minor"/>
      </rPr>
      <t/>
    </r>
  </si>
  <si>
    <r>
      <rPr>
        <b/>
        <sz val="10"/>
        <color rgb="FF0000FF"/>
        <rFont val="Arial"/>
        <family val="2"/>
      </rPr>
      <t xml:space="preserve">N </t>
    </r>
    <r>
      <rPr>
        <b/>
        <sz val="10"/>
        <rFont val="Arial"/>
        <family val="2"/>
      </rPr>
      <t>1166</t>
    </r>
    <r>
      <rPr>
        <sz val="11"/>
        <color theme="1"/>
        <rFont val="Calibri"/>
        <family val="2"/>
        <scheme val="minor"/>
      </rPr>
      <t/>
    </r>
  </si>
  <si>
    <r>
      <rPr>
        <b/>
        <sz val="10"/>
        <color rgb="FF0000FF"/>
        <rFont val="Arial"/>
        <family val="2"/>
      </rPr>
      <t xml:space="preserve">N </t>
    </r>
    <r>
      <rPr>
        <b/>
        <sz val="10"/>
        <rFont val="Arial"/>
        <family val="2"/>
      </rPr>
      <t>1167</t>
    </r>
    <r>
      <rPr>
        <sz val="11"/>
        <color theme="1"/>
        <rFont val="Calibri"/>
        <family val="2"/>
        <scheme val="minor"/>
      </rPr>
      <t/>
    </r>
  </si>
  <si>
    <r>
      <rPr>
        <b/>
        <sz val="10"/>
        <color rgb="FF0000FF"/>
        <rFont val="Arial"/>
        <family val="2"/>
      </rPr>
      <t xml:space="preserve">N </t>
    </r>
    <r>
      <rPr>
        <b/>
        <sz val="10"/>
        <rFont val="Arial"/>
        <family val="2"/>
      </rPr>
      <t>1169</t>
    </r>
    <r>
      <rPr>
        <sz val="11"/>
        <color theme="1"/>
        <rFont val="Calibri"/>
        <family val="2"/>
        <scheme val="minor"/>
      </rPr>
      <t/>
    </r>
  </si>
  <si>
    <r>
      <rPr>
        <b/>
        <sz val="10"/>
        <color rgb="FF0000FF"/>
        <rFont val="Arial"/>
        <family val="2"/>
      </rPr>
      <t xml:space="preserve">N </t>
    </r>
    <r>
      <rPr>
        <b/>
        <sz val="10"/>
        <rFont val="Arial"/>
        <family val="2"/>
      </rPr>
      <t>1174</t>
    </r>
    <r>
      <rPr>
        <sz val="11"/>
        <color theme="1"/>
        <rFont val="Calibri"/>
        <family val="2"/>
        <scheme val="minor"/>
      </rPr>
      <t/>
    </r>
  </si>
  <si>
    <r>
      <rPr>
        <b/>
        <sz val="10"/>
        <color rgb="FF0000FF"/>
        <rFont val="Arial"/>
        <family val="2"/>
      </rPr>
      <t xml:space="preserve">N </t>
    </r>
    <r>
      <rPr>
        <b/>
        <sz val="10"/>
        <rFont val="Arial"/>
        <family val="2"/>
      </rPr>
      <t>1177</t>
    </r>
    <r>
      <rPr>
        <sz val="11"/>
        <color theme="1"/>
        <rFont val="Calibri"/>
        <family val="2"/>
        <scheme val="minor"/>
      </rPr>
      <t/>
    </r>
  </si>
  <si>
    <r>
      <rPr>
        <b/>
        <sz val="10"/>
        <color rgb="FF0000FF"/>
        <rFont val="Arial"/>
        <family val="2"/>
      </rPr>
      <t xml:space="preserve">N </t>
    </r>
    <r>
      <rPr>
        <b/>
        <sz val="10"/>
        <rFont val="Arial"/>
        <family val="2"/>
      </rPr>
      <t>1179</t>
    </r>
    <r>
      <rPr>
        <sz val="11"/>
        <color theme="1"/>
        <rFont val="Calibri"/>
        <family val="2"/>
        <scheme val="minor"/>
      </rPr>
      <t/>
    </r>
  </si>
  <si>
    <r>
      <rPr>
        <b/>
        <sz val="10"/>
        <color rgb="FF0000FF"/>
        <rFont val="Arial"/>
        <family val="2"/>
      </rPr>
      <t xml:space="preserve">N </t>
    </r>
    <r>
      <rPr>
        <b/>
        <sz val="10"/>
        <rFont val="Arial"/>
        <family val="2"/>
      </rPr>
      <t>1181</t>
    </r>
    <r>
      <rPr>
        <sz val="11"/>
        <color theme="1"/>
        <rFont val="Calibri"/>
        <family val="2"/>
        <scheme val="minor"/>
      </rPr>
      <t/>
    </r>
  </si>
  <si>
    <r>
      <rPr>
        <b/>
        <sz val="10"/>
        <color rgb="FF0000FF"/>
        <rFont val="Arial"/>
        <family val="2"/>
      </rPr>
      <t xml:space="preserve">N </t>
    </r>
    <r>
      <rPr>
        <b/>
        <sz val="10"/>
        <rFont val="Arial"/>
        <family val="2"/>
      </rPr>
      <t>1189</t>
    </r>
    <r>
      <rPr>
        <sz val="11"/>
        <color theme="1"/>
        <rFont val="Calibri"/>
        <family val="2"/>
        <scheme val="minor"/>
      </rPr>
      <t/>
    </r>
  </si>
  <si>
    <r>
      <rPr>
        <b/>
        <sz val="10"/>
        <color rgb="FF0000FF"/>
        <rFont val="Arial"/>
        <family val="2"/>
      </rPr>
      <t xml:space="preserve">N </t>
    </r>
    <r>
      <rPr>
        <b/>
        <sz val="10"/>
        <rFont val="Arial"/>
        <family val="2"/>
      </rPr>
      <t>1192</t>
    </r>
    <r>
      <rPr>
        <sz val="11"/>
        <color theme="1"/>
        <rFont val="Calibri"/>
        <family val="2"/>
        <scheme val="minor"/>
      </rPr>
      <t/>
    </r>
  </si>
  <si>
    <r>
      <rPr>
        <b/>
        <sz val="10"/>
        <color rgb="FF0000FF"/>
        <rFont val="Arial"/>
        <family val="2"/>
      </rPr>
      <t xml:space="preserve">N </t>
    </r>
    <r>
      <rPr>
        <b/>
        <sz val="10"/>
        <rFont val="Arial"/>
        <family val="2"/>
      </rPr>
      <t>1193</t>
    </r>
    <r>
      <rPr>
        <sz val="11"/>
        <color theme="1"/>
        <rFont val="Calibri"/>
        <family val="2"/>
        <scheme val="minor"/>
      </rPr>
      <t/>
    </r>
  </si>
  <si>
    <t>8 Jubilee Court
TEWANTIN</t>
  </si>
  <si>
    <r>
      <t xml:space="preserve">23616 DA
132003.221132
(Stage C4)
</t>
    </r>
    <r>
      <rPr>
        <sz val="7"/>
        <color rgb="FF0000FF"/>
        <rFont val="Arial"/>
        <family val="2"/>
      </rPr>
      <t>(change to staging 132003.220653.08)</t>
    </r>
  </si>
  <si>
    <r>
      <t xml:space="preserve">23616 DA
132003.221132
(Stage C5)
</t>
    </r>
    <r>
      <rPr>
        <sz val="7"/>
        <color rgb="FF0000FF"/>
        <rFont val="Arial"/>
        <family val="2"/>
      </rPr>
      <t>(change to staging 132003.220653.08)</t>
    </r>
  </si>
  <si>
    <r>
      <t xml:space="preserve">23616 DA
132003.221132
(Stage C6)
</t>
    </r>
    <r>
      <rPr>
        <sz val="7"/>
        <color rgb="FF0000FF"/>
        <rFont val="Arial"/>
        <family val="2"/>
      </rPr>
      <t>(change to staging 132003.220653.08)</t>
    </r>
  </si>
  <si>
    <t>December 2015 Total =</t>
  </si>
  <si>
    <r>
      <t xml:space="preserve">Change to Existing Approval
</t>
    </r>
    <r>
      <rPr>
        <b/>
        <sz val="8"/>
        <rFont val="Arial"/>
        <family val="2"/>
      </rPr>
      <t xml:space="preserve">(Stage 2) </t>
    </r>
    <r>
      <rPr>
        <b/>
        <sz val="8"/>
        <color rgb="FFFF0000"/>
        <rFont val="Arial"/>
        <family val="2"/>
      </rPr>
      <t>(Now Stg 1)</t>
    </r>
    <r>
      <rPr>
        <sz val="8"/>
        <rFont val="Arial"/>
        <family val="2"/>
      </rPr>
      <t xml:space="preserve">
</t>
    </r>
    <r>
      <rPr>
        <sz val="8"/>
        <color rgb="FF0000FF"/>
        <rFont val="Arial"/>
        <family val="2"/>
      </rPr>
      <t>Also refer to AICN. N1084 for Extension 152007.1626.3</t>
    </r>
  </si>
  <si>
    <r>
      <t xml:space="preserve">Change to Existing Approval
</t>
    </r>
    <r>
      <rPr>
        <b/>
        <sz val="8"/>
        <rFont val="Arial"/>
        <family val="2"/>
      </rPr>
      <t xml:space="preserve">(Stage 1) </t>
    </r>
    <r>
      <rPr>
        <b/>
        <sz val="8"/>
        <color rgb="FFFF0000"/>
        <rFont val="Arial"/>
        <family val="2"/>
      </rPr>
      <t>(Now Stg 2)</t>
    </r>
    <r>
      <rPr>
        <sz val="8"/>
        <rFont val="Arial"/>
        <family val="2"/>
      </rPr>
      <t xml:space="preserve">
</t>
    </r>
    <r>
      <rPr>
        <sz val="8"/>
        <color rgb="FF0000FF"/>
        <rFont val="Arial"/>
        <family val="2"/>
      </rPr>
      <t>Also refer to AICN. N1083 for Extension 152007.1626.3</t>
    </r>
  </si>
  <si>
    <r>
      <rPr>
        <b/>
        <sz val="10"/>
        <color rgb="FF0000FF"/>
        <rFont val="Arial"/>
        <family val="2"/>
      </rPr>
      <t xml:space="preserve">N </t>
    </r>
    <r>
      <rPr>
        <b/>
        <sz val="10"/>
        <rFont val="Arial"/>
        <family val="2"/>
      </rPr>
      <t xml:space="preserve">1083
</t>
    </r>
    <r>
      <rPr>
        <b/>
        <sz val="10"/>
        <color rgb="FF0000FF"/>
        <rFont val="Arial"/>
        <family val="2"/>
      </rPr>
      <t xml:space="preserve">(Stage 1) </t>
    </r>
    <r>
      <rPr>
        <b/>
        <sz val="10"/>
        <color rgb="FFFF0000"/>
        <rFont val="Arial"/>
        <family val="2"/>
      </rPr>
      <t>(Now Stg 2)</t>
    </r>
    <r>
      <rPr>
        <b/>
        <sz val="10"/>
        <color rgb="FF0000FF"/>
        <rFont val="Arial"/>
        <family val="2"/>
      </rPr>
      <t xml:space="preserve">
</t>
    </r>
    <r>
      <rPr>
        <sz val="10"/>
        <color rgb="FF0000FF"/>
        <rFont val="Arial"/>
        <family val="2"/>
      </rPr>
      <t>Also refer to ICP 705 &amp; PSP Contributions</t>
    </r>
  </si>
  <si>
    <t>Nil - Additional to existing development</t>
  </si>
  <si>
    <t>Replaces original MCU approval 07/1841 DA &amp; IC986 applying to this lot 
PC15/0145 - BA dated 16/4/2015 CoC issued &amp; use commenced PAYMENT DUE 31/08/2015
STAGED PAYMENTS AGREED 12/08/2015</t>
  </si>
  <si>
    <t xml:space="preserve">Credit of 1 vacant lot for Parks network component only as paid previously under earlier subdivision approval 23134 DA
</t>
  </si>
  <si>
    <r>
      <t xml:space="preserve">Tenancy 1, 2, 3, &amp; 4 are </t>
    </r>
    <r>
      <rPr>
        <b/>
        <u/>
        <sz val="10"/>
        <color rgb="FF0000FF"/>
        <rFont val="Arial"/>
        <family val="2"/>
      </rPr>
      <t>all approved for:</t>
    </r>
    <r>
      <rPr>
        <sz val="10"/>
        <color rgb="FF0000FF"/>
        <rFont val="Arial"/>
        <family val="2"/>
      </rPr>
      <t xml:space="preserve">  Industrial Business Type 1 Warehouse + Type 2 Production, alteration, repackaging and repairing </t>
    </r>
    <r>
      <rPr>
        <b/>
        <u/>
        <sz val="10"/>
        <color rgb="FF0000FF"/>
        <rFont val="Arial"/>
        <family val="2"/>
      </rPr>
      <t>AND</t>
    </r>
    <r>
      <rPr>
        <sz val="10"/>
        <color rgb="FF0000FF"/>
        <rFont val="Arial"/>
        <family val="2"/>
      </rPr>
      <t xml:space="preserve"> </t>
    </r>
    <r>
      <rPr>
        <u/>
        <sz val="10"/>
        <color rgb="FF0000FF"/>
        <rFont val="Arial"/>
        <family val="2"/>
      </rPr>
      <t>Retail Business - Type 6 - Hardware</t>
    </r>
    <r>
      <rPr>
        <sz val="10"/>
        <color rgb="FF0000FF"/>
        <rFont val="Arial"/>
        <family val="2"/>
      </rPr>
      <t xml:space="preserve">.  
For charging purposes the highest allowable use Applies = Retail Business - Type 6 - Hardware.  
</t>
    </r>
    <r>
      <rPr>
        <b/>
        <sz val="10"/>
        <color rgb="FF0000FF"/>
        <rFont val="Arial"/>
        <family val="2"/>
      </rPr>
      <t xml:space="preserve">
Original ICN Rev 0 </t>
    </r>
    <r>
      <rPr>
        <sz val="10"/>
        <color rgb="FF0000FF"/>
        <rFont val="Arial"/>
        <family val="2"/>
      </rPr>
      <t xml:space="preserve">contained incorrect calc as did not apply Hardware rate for all 4 tenancies concerned. Also incorrectly included full 1 Lot credit where only should be for parks component from earlier subdivision approval.
Corrected In </t>
    </r>
    <r>
      <rPr>
        <b/>
        <sz val="10"/>
        <color rgb="FF0000FF"/>
        <rFont val="Arial"/>
        <family val="2"/>
      </rPr>
      <t xml:space="preserve">ICN REV 1 </t>
    </r>
    <r>
      <rPr>
        <sz val="10"/>
        <color rgb="FF0000FF"/>
        <rFont val="Arial"/>
        <family val="2"/>
      </rPr>
      <t xml:space="preserve">$306,517 on change .01
</t>
    </r>
    <r>
      <rPr>
        <b/>
        <sz val="10"/>
        <color rgb="FF0000FF"/>
        <rFont val="Arial"/>
        <family val="2"/>
      </rPr>
      <t xml:space="preserve">ICN Rev 2 </t>
    </r>
    <r>
      <rPr>
        <sz val="10"/>
        <color rgb="FF0000FF"/>
        <rFont val="Arial"/>
        <family val="2"/>
      </rPr>
      <t>removes hardware use on change .02</t>
    </r>
  </si>
  <si>
    <t xml:space="preserve">C/- Max Watterson &amp; Associates
PO Box 639
COOROY QLD 4563
</t>
  </si>
  <si>
    <t>PC15/0951</t>
  </si>
  <si>
    <t>10 x Retirement Village Units 
(6 x 3 BR Units + 4 x 2 BR Units)</t>
  </si>
  <si>
    <t>December 2015
Total =</t>
  </si>
  <si>
    <r>
      <rPr>
        <b/>
        <u/>
        <sz val="10"/>
        <color rgb="FF0000FF"/>
        <rFont val="Arial"/>
        <family val="2"/>
      </rPr>
      <t xml:space="preserve">Also linked to MCU15/0032 </t>
    </r>
    <r>
      <rPr>
        <sz val="10"/>
        <color rgb="FF0000FF"/>
        <rFont val="Arial"/>
        <family val="2"/>
      </rPr>
      <t xml:space="preserve">
Should payment of ICN.N1074 for MCU15/0032 be made </t>
    </r>
    <r>
      <rPr>
        <b/>
        <u/>
        <sz val="10"/>
        <color rgb="FF0000FF"/>
        <rFont val="Arial"/>
        <family val="2"/>
      </rPr>
      <t>prior to</t>
    </r>
    <r>
      <rPr>
        <sz val="10"/>
        <color rgb="FF0000FF"/>
        <rFont val="Arial"/>
        <family val="2"/>
      </rPr>
      <t xml:space="preserve"> REC15/0007 then ICN.N1075 for REC15/0007 is not payable.</t>
    </r>
  </si>
  <si>
    <t>132005.304.01
(Change to Existing Approval)</t>
  </si>
  <si>
    <t>Corp Of The Tte's Of Roman Catholic Archdiocese Of Brisbane</t>
  </si>
  <si>
    <t>C/- Martoo Consulting Pty Ltd
C/- Nadine Gorton
PO Box 1684
NOOSA HEADS  QLD  4567</t>
  </si>
  <si>
    <r>
      <rPr>
        <b/>
        <sz val="10"/>
        <color rgb="FF0000FF"/>
        <rFont val="Arial"/>
        <family val="2"/>
      </rPr>
      <t>50% Rebate</t>
    </r>
    <r>
      <rPr>
        <sz val="10"/>
        <color rgb="FF0000FF"/>
        <rFont val="Arial"/>
        <family val="2"/>
      </rPr>
      <t xml:space="preserve"> under Council Poicy for Community Organisation</t>
    </r>
  </si>
  <si>
    <r>
      <t xml:space="preserve">Additions to Education Establishment = 456 m2 gfa + 490m2 Impervious area
</t>
    </r>
    <r>
      <rPr>
        <i/>
        <sz val="10"/>
        <rFont val="Arial"/>
        <family val="2"/>
      </rPr>
      <t>Gymnasium (206m2) + Chapel (250m2)</t>
    </r>
  </si>
  <si>
    <r>
      <t xml:space="preserve">Only relates to </t>
    </r>
    <r>
      <rPr>
        <b/>
        <sz val="10"/>
        <color rgb="FF0000FF"/>
        <rFont val="Arial"/>
        <family val="2"/>
      </rPr>
      <t xml:space="preserve">missing Public Transport &amp; Stormwater </t>
    </r>
    <r>
      <rPr>
        <sz val="10"/>
        <color rgb="FF0000FF"/>
        <rFont val="Arial"/>
        <family val="2"/>
      </rPr>
      <t xml:space="preserve">networks not included in previous approval &amp; ic payments MCU 2004/5744
</t>
    </r>
    <r>
      <rPr>
        <sz val="10"/>
        <color rgb="FFFF0000"/>
        <rFont val="Arial"/>
        <family val="2"/>
      </rPr>
      <t xml:space="preserve">Indexation Applies as total amount remains below permissible SPRP maximum </t>
    </r>
  </si>
  <si>
    <t>Indexation Applies as total amount remains below permissible SPRP maximum (Due to reductions)</t>
  </si>
  <si>
    <r>
      <t xml:space="preserve">Representation dated 18 Nov 2015 for rebate consideration &amp; Agreed.
</t>
    </r>
    <r>
      <rPr>
        <sz val="10"/>
        <color rgb="FFFF0000"/>
        <rFont val="Arial"/>
        <family val="2"/>
      </rPr>
      <t>Indexation Applies as total amount remains below permissible SPRP maximum (Due to reductions)</t>
    </r>
  </si>
  <si>
    <r>
      <rPr>
        <b/>
        <sz val="8"/>
        <rFont val="Arial"/>
        <family val="2"/>
      </rPr>
      <t>$23,000 Bal Stg 4 = 23 lots Paid 12/06/08</t>
    </r>
    <r>
      <rPr>
        <sz val="8"/>
        <rFont val="Arial"/>
        <family val="2"/>
      </rPr>
      <t xml:space="preserve">
March 06 - $1000 per residential lots x 174 lots = $174,000
Paymens in Stages 1-8
</t>
    </r>
    <r>
      <rPr>
        <b/>
        <sz val="8"/>
        <color rgb="FFFF0000"/>
        <rFont val="Arial"/>
        <family val="2"/>
      </rPr>
      <t>Payment prior to OP Works</t>
    </r>
  </si>
  <si>
    <r>
      <rPr>
        <b/>
        <sz val="8"/>
        <rFont val="Arial"/>
        <family val="2"/>
      </rPr>
      <t>Bal Stg 5 = 22 lots</t>
    </r>
    <r>
      <rPr>
        <sz val="8"/>
        <rFont val="Arial"/>
        <family val="2"/>
      </rPr>
      <t xml:space="preserve">
March 06 - $1000 per residential lots x 174 lots = $174,000
Paymens in Stages 1-8
</t>
    </r>
    <r>
      <rPr>
        <b/>
        <sz val="9"/>
        <color rgb="FFFF0000"/>
        <rFont val="Arial"/>
        <family val="2"/>
      </rPr>
      <t xml:space="preserve">Less </t>
    </r>
    <r>
      <rPr>
        <b/>
        <i/>
        <sz val="9"/>
        <color rgb="FFFF0000"/>
        <rFont val="Arial"/>
        <family val="2"/>
      </rPr>
      <t>IA #5 Road Offset = $25,933 @ CPI Mar 15</t>
    </r>
    <r>
      <rPr>
        <b/>
        <sz val="10"/>
        <color rgb="FFFF0000"/>
        <rFont val="Arial"/>
        <family val="2"/>
      </rPr>
      <t xml:space="preserve">
</t>
    </r>
    <r>
      <rPr>
        <b/>
        <sz val="8"/>
        <color rgb="FFFF0000"/>
        <rFont val="Arial"/>
        <family val="2"/>
      </rPr>
      <t>Payment prior to OP Works</t>
    </r>
  </si>
  <si>
    <r>
      <t xml:space="preserve">Part paid
</t>
    </r>
    <r>
      <rPr>
        <sz val="8"/>
        <color rgb="FF0000FF"/>
        <rFont val="Arial"/>
        <family val="2"/>
      </rPr>
      <t xml:space="preserve">Roads stage 3+4.
Pathways
</t>
    </r>
  </si>
  <si>
    <t>12-Jun-08
11Dec-15</t>
  </si>
  <si>
    <t>404758
404741
1175080 &amp; 1175081</t>
  </si>
  <si>
    <r>
      <rPr>
        <b/>
        <strike/>
        <sz val="8"/>
        <rFont val="Arial"/>
        <family val="2"/>
      </rPr>
      <t>$32,725  Mar-06</t>
    </r>
    <r>
      <rPr>
        <b/>
        <sz val="8"/>
        <rFont val="Arial"/>
        <family val="2"/>
      </rPr>
      <t xml:space="preserve">
</t>
    </r>
    <r>
      <rPr>
        <b/>
        <sz val="8"/>
        <color rgb="FF0000FF"/>
        <rFont val="Arial"/>
        <family val="2"/>
      </rPr>
      <t>IA#7 = $16,140 Transport
@Mar-11</t>
    </r>
  </si>
  <si>
    <t>IA#7 = $6,40 Stormwater
@Mar-11</t>
  </si>
  <si>
    <r>
      <rPr>
        <strike/>
        <sz val="8"/>
        <rFont val="Arial"/>
        <family val="2"/>
      </rPr>
      <t>$3,798 Mar-06</t>
    </r>
    <r>
      <rPr>
        <sz val="8"/>
        <rFont val="Arial"/>
        <family val="2"/>
      </rPr>
      <t xml:space="preserve">
</t>
    </r>
    <r>
      <rPr>
        <b/>
        <sz val="8"/>
        <color rgb="FF0000FF"/>
        <rFont val="Arial"/>
        <family val="2"/>
      </rPr>
      <t>IA#7 = $4,279  Parks
@Mar-11</t>
    </r>
  </si>
  <si>
    <r>
      <rPr>
        <strike/>
        <sz val="8"/>
        <rFont val="Arial"/>
        <family val="2"/>
      </rPr>
      <t>$4,532 Mar-06</t>
    </r>
    <r>
      <rPr>
        <sz val="8"/>
        <rFont val="Arial"/>
        <family val="2"/>
      </rPr>
      <t xml:space="preserve">
</t>
    </r>
    <r>
      <rPr>
        <b/>
        <sz val="8"/>
        <color rgb="FF0000FF"/>
        <rFont val="Arial"/>
        <family val="2"/>
      </rPr>
      <t>IA#7 = $5,368  Water Supply
@Mar-11</t>
    </r>
  </si>
  <si>
    <r>
      <rPr>
        <strike/>
        <sz val="8"/>
        <rFont val="Arial"/>
        <family val="2"/>
      </rPr>
      <t>$9,013 Mar-06</t>
    </r>
    <r>
      <rPr>
        <sz val="8"/>
        <rFont val="Arial"/>
        <family val="2"/>
      </rPr>
      <t xml:space="preserve">
</t>
    </r>
    <r>
      <rPr>
        <b/>
        <sz val="8"/>
        <color rgb="FF0000FF"/>
        <rFont val="Arial"/>
        <family val="2"/>
      </rPr>
      <t>IA#7 = $8,083  Sewerage
@Mar-11</t>
    </r>
  </si>
  <si>
    <t>IA 7
18/09/2012</t>
  </si>
  <si>
    <t>06/0215 (DA)
132006.215</t>
  </si>
  <si>
    <t>Subject to Infrastructure Agreement - 
TRANSFER PSPs &amp; ICP to ADOPTED CHARGE 
(EXCLUDING Car Parking contribution condition 20)</t>
  </si>
  <si>
    <t>216 David Low Way
PEREGIAN BEACH</t>
  </si>
  <si>
    <t>c/- Dillon Folker Stephen Town Planners PO Box 605 MAROOCHYDORE  QLD  4558</t>
  </si>
  <si>
    <t xml:space="preserve">PO Box 57 PEREGIAN BEACH  QLD  4573 </t>
  </si>
  <si>
    <r>
      <t xml:space="preserve">Lynette Marilyn Wildman &amp; Narelle Emily Gates
</t>
    </r>
    <r>
      <rPr>
        <i/>
        <sz val="10"/>
        <rFont val="Arial"/>
        <family val="2"/>
      </rPr>
      <t>(paid by Lyn Wildman Superannuation Fund)</t>
    </r>
  </si>
  <si>
    <r>
      <t xml:space="preserve">IC 400
+ 
</t>
    </r>
    <r>
      <rPr>
        <b/>
        <sz val="8"/>
        <color rgb="FF0000FF"/>
        <rFont val="Arial"/>
        <family val="2"/>
      </rPr>
      <t xml:space="preserve">IA 22a 
</t>
    </r>
    <r>
      <rPr>
        <sz val="8"/>
        <color rgb="FF0000FF"/>
        <rFont val="Arial"/>
        <family val="2"/>
      </rPr>
      <t xml:space="preserve">12/12/2013
</t>
    </r>
    <r>
      <rPr>
        <b/>
        <sz val="8"/>
        <color rgb="FFFF0000"/>
        <rFont val="Arial"/>
        <family val="2"/>
      </rPr>
      <t xml:space="preserve">+ 
</t>
    </r>
    <r>
      <rPr>
        <sz val="8"/>
        <color rgb="FFFF0000"/>
        <rFont val="Arial"/>
        <family val="2"/>
      </rPr>
      <t xml:space="preserve">IA 22b 
SCRC BnB (17/12/13) </t>
    </r>
    <r>
      <rPr>
        <b/>
        <sz val="8"/>
        <color rgb="FFFF0000"/>
        <rFont val="Arial"/>
        <family val="2"/>
      </rPr>
      <t>LAPSED 30/06/2015</t>
    </r>
  </si>
  <si>
    <r>
      <t xml:space="preserve">Court Order 118/2006 Approved 6/2/09
</t>
    </r>
    <r>
      <rPr>
        <b/>
        <sz val="8"/>
        <color rgb="FF0000FF"/>
        <rFont val="Arial"/>
        <family val="2"/>
      </rPr>
      <t xml:space="preserve">Extn IA for Missing: 
- Stormwater 
</t>
    </r>
    <r>
      <rPr>
        <b/>
        <sz val="8"/>
        <color rgb="FFFF0000"/>
        <rFont val="Arial"/>
        <family val="2"/>
      </rPr>
      <t xml:space="preserve">+ 
</t>
    </r>
    <r>
      <rPr>
        <sz val="8"/>
        <color rgb="FFFF0000"/>
        <rFont val="Arial"/>
        <family val="2"/>
      </rPr>
      <t>SCRC Build &amp; Benefit Stormwater Reduction</t>
    </r>
    <r>
      <rPr>
        <b/>
        <sz val="8"/>
        <color rgb="FFFF0000"/>
        <rFont val="Arial"/>
        <family val="2"/>
      </rPr>
      <t xml:space="preserve">
(LAPSED 30/06/2015)</t>
    </r>
  </si>
  <si>
    <t>REC15/0011</t>
  </si>
  <si>
    <t>C/- RPS Group
PO Box 6149
MERIDAN PLAINS QLD 4551</t>
  </si>
  <si>
    <t>Lot 1 RP 220516</t>
  </si>
  <si>
    <t>1 George Street, TEWANTIN, QLD 4565</t>
  </si>
  <si>
    <t>11 x Detached House lots</t>
  </si>
  <si>
    <t>1 x Detached House Lot</t>
  </si>
  <si>
    <r>
      <t xml:space="preserve">152010.912
</t>
    </r>
    <r>
      <rPr>
        <sz val="10"/>
        <color rgb="FF0000FF"/>
        <rFont val="Arial"/>
        <family val="2"/>
      </rPr>
      <t>152010.912.01 Extn</t>
    </r>
  </si>
  <si>
    <r>
      <rPr>
        <strike/>
        <sz val="10"/>
        <rFont val="Arial"/>
        <family val="2"/>
      </rPr>
      <t>22/09/2015</t>
    </r>
    <r>
      <rPr>
        <sz val="10"/>
        <rFont val="Arial"/>
        <family val="2"/>
      </rPr>
      <t xml:space="preserve">
</t>
    </r>
    <r>
      <rPr>
        <sz val="10"/>
        <color rgb="FF0000FF"/>
        <rFont val="Arial"/>
        <family val="2"/>
      </rPr>
      <t>30/11/2019</t>
    </r>
  </si>
  <si>
    <t xml:space="preserve">Bordertown Barbecue
</t>
  </si>
  <si>
    <t>C/- RG Strategic
PO Box 1363
NOOSA HEADS  QLD  4567</t>
  </si>
  <si>
    <t>Lot 236 RP 840284</t>
  </si>
  <si>
    <t>Entertainment &amp; dining business type 1 - food &amp; beverages = 100m2 gfa + 
Covered Outdoor dining area = 28m2 gfa (converting previous carparking) 
(Uncovered outdoor dining area = 31m2 not considered gfa)</t>
  </si>
  <si>
    <t>Retail business type 2 shop &amp; salon = 100m2</t>
  </si>
  <si>
    <t>No change in impervious area</t>
  </si>
  <si>
    <t>DD 23/12/2015 Receipted 4/01/2016</t>
  </si>
  <si>
    <t>January 2016
Total =</t>
  </si>
  <si>
    <r>
      <rPr>
        <b/>
        <sz val="10"/>
        <color rgb="FF0000FF"/>
        <rFont val="Arial"/>
        <family val="2"/>
      </rPr>
      <t xml:space="preserve">N </t>
    </r>
    <r>
      <rPr>
        <b/>
        <sz val="10"/>
        <rFont val="Arial"/>
        <family val="2"/>
      </rPr>
      <t xml:space="preserve">1066
</t>
    </r>
    <r>
      <rPr>
        <b/>
        <sz val="10"/>
        <color rgb="FFFF0000"/>
        <rFont val="Arial"/>
        <family val="2"/>
      </rPr>
      <t>Use commenced 5/1/2015</t>
    </r>
    <r>
      <rPr>
        <b/>
        <sz val="10"/>
        <rFont val="Arial"/>
        <family val="2"/>
      </rPr>
      <t xml:space="preserve">
</t>
    </r>
    <r>
      <rPr>
        <sz val="8"/>
        <color rgb="FFFF0000"/>
        <rFont val="Arial"/>
        <family val="2"/>
      </rPr>
      <t>BA Issued PC15/0553 dated 14/08/2015</t>
    </r>
  </si>
  <si>
    <r>
      <t xml:space="preserve">Incorrectly gave credt for 1 vacant industrial lot which should not apply therefore: 
</t>
    </r>
    <r>
      <rPr>
        <sz val="10"/>
        <color rgb="FFFF0000"/>
        <rFont val="Arial"/>
        <family val="2"/>
      </rPr>
      <t>Indexation Applies as total amount remains below permissible SPRP maximum</t>
    </r>
  </si>
  <si>
    <t>January 2016 Total =</t>
  </si>
  <si>
    <t>51998.2462.03 (Change to an Existing Approval)</t>
  </si>
  <si>
    <t>Noosa Blue Management P/L TTE</t>
  </si>
  <si>
    <t xml:space="preserve">1 x 1 Bedroom Ancillary Dwelling Unit </t>
  </si>
  <si>
    <t>1 x 2 bed &amp; 1 x 1 bed units
(i.e. Additional 2 bedroom Ancillary Dwelling Unit)</t>
  </si>
  <si>
    <r>
      <rPr>
        <b/>
        <sz val="10"/>
        <color rgb="FF0000FF"/>
        <rFont val="Arial"/>
        <family val="2"/>
      </rPr>
      <t xml:space="preserve">N </t>
    </r>
    <r>
      <rPr>
        <b/>
        <sz val="10"/>
        <rFont val="Arial"/>
        <family val="2"/>
      </rPr>
      <t xml:space="preserve">1017
</t>
    </r>
    <r>
      <rPr>
        <b/>
        <sz val="10"/>
        <color rgb="FF0000FF"/>
        <rFont val="Arial"/>
        <family val="2"/>
      </rPr>
      <t xml:space="preserve">Alternative Stg 1 
</t>
    </r>
    <r>
      <rPr>
        <b/>
        <u/>
        <sz val="10"/>
        <color rgb="FF0000FF"/>
        <rFont val="Arial"/>
        <family val="2"/>
      </rPr>
      <t>REPLACES</t>
    </r>
    <r>
      <rPr>
        <b/>
        <sz val="10"/>
        <color rgb="FF0000FF"/>
        <rFont val="Arial"/>
        <family val="2"/>
      </rPr>
      <t xml:space="preserve"> 
132007.1259 IC 916 +
MCU12/0023 AICN 256
</t>
    </r>
    <r>
      <rPr>
        <b/>
        <sz val="10"/>
        <color rgb="FFFF0000"/>
        <rFont val="Arial"/>
        <family val="2"/>
      </rPr>
      <t xml:space="preserve">PC16/0006 issued for MCU13/0251 </t>
    </r>
  </si>
  <si>
    <t xml:space="preserve">07/1259 (DA)
132007.1259
</t>
  </si>
  <si>
    <r>
      <t xml:space="preserve">MCU
</t>
    </r>
    <r>
      <rPr>
        <b/>
        <sz val="8"/>
        <color rgb="FF0000FF"/>
        <rFont val="Arial"/>
        <family val="2"/>
      </rPr>
      <t>(STAGE 3)</t>
    </r>
  </si>
  <si>
    <r>
      <t xml:space="preserve">IC 1034
</t>
    </r>
    <r>
      <rPr>
        <b/>
        <sz val="8"/>
        <color rgb="FF0000FF"/>
        <rFont val="Arial"/>
        <family val="2"/>
      </rPr>
      <t>(STAGE 3)</t>
    </r>
  </si>
  <si>
    <r>
      <t xml:space="preserve">MCU
</t>
    </r>
    <r>
      <rPr>
        <b/>
        <sz val="8"/>
        <color rgb="FF0000FF"/>
        <rFont val="Arial"/>
        <family val="2"/>
      </rPr>
      <t>(STAGE 2)</t>
    </r>
  </si>
  <si>
    <r>
      <t xml:space="preserve">IC 1033
</t>
    </r>
    <r>
      <rPr>
        <b/>
        <sz val="8"/>
        <color rgb="FF0000FF"/>
        <rFont val="Arial"/>
        <family val="2"/>
      </rPr>
      <t>(STAGE 2)</t>
    </r>
  </si>
  <si>
    <r>
      <t xml:space="preserve">MCU/Lot reconfig
</t>
    </r>
    <r>
      <rPr>
        <b/>
        <sz val="8"/>
        <color rgb="FF0000FF"/>
        <rFont val="Arial"/>
        <family val="2"/>
      </rPr>
      <t>(STAGE 5)</t>
    </r>
  </si>
  <si>
    <r>
      <t xml:space="preserve">MCU/Lot reconfig
</t>
    </r>
    <r>
      <rPr>
        <b/>
        <sz val="8"/>
        <color rgb="FF0000FF"/>
        <rFont val="Arial"/>
        <family val="2"/>
      </rPr>
      <t>(STAGE 6)</t>
    </r>
  </si>
  <si>
    <r>
      <t xml:space="preserve">MCU/Lot reconfig
</t>
    </r>
    <r>
      <rPr>
        <b/>
        <sz val="8"/>
        <color rgb="FF0000FF"/>
        <rFont val="Arial"/>
        <family val="2"/>
      </rPr>
      <t>(STAGE 7)</t>
    </r>
  </si>
  <si>
    <r>
      <t xml:space="preserve">MCU/Lot reconfig
</t>
    </r>
    <r>
      <rPr>
        <b/>
        <sz val="8"/>
        <color rgb="FF0000FF"/>
        <rFont val="Arial"/>
        <family val="2"/>
      </rPr>
      <t>(STAGE 8)</t>
    </r>
  </si>
  <si>
    <r>
      <t xml:space="preserve">IC 916 
</t>
    </r>
    <r>
      <rPr>
        <b/>
        <sz val="8"/>
        <color rgb="FF0000FF"/>
        <rFont val="Arial"/>
        <family val="2"/>
      </rPr>
      <t>Rev 1
Stage 1</t>
    </r>
  </si>
  <si>
    <r>
      <t xml:space="preserve">07/1259 (DA)
132007.1259
</t>
    </r>
    <r>
      <rPr>
        <b/>
        <sz val="8"/>
        <color rgb="FF0000FF"/>
        <rFont val="Arial"/>
        <family val="2"/>
      </rPr>
      <t>Stage 1</t>
    </r>
  </si>
  <si>
    <r>
      <t xml:space="preserve">IC 922
</t>
    </r>
    <r>
      <rPr>
        <b/>
        <sz val="8"/>
        <color rgb="FF0000FF"/>
        <rFont val="Arial"/>
        <family val="2"/>
      </rPr>
      <t>+ 
IA No.32   3/07/2014</t>
    </r>
  </si>
  <si>
    <r>
      <rPr>
        <b/>
        <sz val="8"/>
        <color rgb="FF0000FF"/>
        <rFont val="Arial"/>
        <family val="2"/>
      </rPr>
      <t>IC Paid</t>
    </r>
    <r>
      <rPr>
        <b/>
        <sz val="8"/>
        <color indexed="10"/>
        <rFont val="Arial"/>
        <family val="2"/>
      </rPr>
      <t xml:space="preserve">
Contributions Paid including IA 
</t>
    </r>
    <r>
      <rPr>
        <b/>
        <sz val="8"/>
        <color rgb="FF0000FF"/>
        <rFont val="Arial"/>
        <family val="2"/>
      </rPr>
      <t xml:space="preserve">Extn IA for Missing:
- Stormwater 
- Public Transport </t>
    </r>
  </si>
  <si>
    <t>Mr GJ Drosten &amp; Ms RL Drosten</t>
  </si>
  <si>
    <t>Lot 1 RP 55198</t>
  </si>
  <si>
    <t>75 Poinciana Ave TEWANTIN QLD 4565</t>
  </si>
  <si>
    <t>1 x detached dwelling house</t>
  </si>
  <si>
    <t>Operational Works Associated with Material Change of Use</t>
  </si>
  <si>
    <t>PO Box 54, Peregian Beach Q 4573</t>
  </si>
  <si>
    <t>215 David Low Way</t>
  </si>
  <si>
    <t>Associated with MCU Offest given for contruction of bus stop. This payment refunds part of the offset relating to shelter supply that is now provided by Council.</t>
  </si>
  <si>
    <t>6/01/2016
Journal 27/01/2016</t>
  </si>
  <si>
    <t>GJ004514
PJ500608</t>
  </si>
  <si>
    <t>OPW15/0031
Associated with MCU13/0251</t>
  </si>
  <si>
    <r>
      <t xml:space="preserve">Condition 5: 
Option to pay Council to provide bus shelter.
</t>
    </r>
    <r>
      <rPr>
        <sz val="10"/>
        <color rgb="FFFF0000"/>
        <rFont val="Arial"/>
        <family val="2"/>
      </rPr>
      <t>Payment received unindexed but ok due to Council delay to receive applicant's payment.</t>
    </r>
    <r>
      <rPr>
        <sz val="10"/>
        <rFont val="Arial"/>
        <family val="2"/>
      </rPr>
      <t xml:space="preserve">
</t>
    </r>
  </si>
  <si>
    <t>February 2016
Total =</t>
  </si>
  <si>
    <t>MCU16/0005</t>
  </si>
  <si>
    <t>Mr DJ Hobbins, Ms LCDS Hobbins</t>
  </si>
  <si>
    <t>3 Martin St
COORAN  QLD  4569</t>
  </si>
  <si>
    <t>Lot 17 RP 805803</t>
  </si>
  <si>
    <t xml:space="preserve">3 Martin St COORAN QLD 4569 </t>
  </si>
  <si>
    <t>1 x detached dwelling house 
(4 bedroom)</t>
  </si>
  <si>
    <t>Revison to correct details of properties on which the development &amp; charge applies</t>
  </si>
  <si>
    <r>
      <rPr>
        <sz val="10"/>
        <color rgb="FF0000FF"/>
        <rFont val="Arial"/>
        <family val="2"/>
      </rPr>
      <t>Lot 509 SP 120748 &amp;
Lot 207 SP 120748</t>
    </r>
    <r>
      <rPr>
        <strike/>
        <sz val="10"/>
        <rFont val="Arial"/>
        <family val="2"/>
      </rPr>
      <t xml:space="preserve">
SP120748</t>
    </r>
    <r>
      <rPr>
        <sz val="10"/>
        <rFont val="Arial"/>
        <family val="2"/>
      </rPr>
      <t xml:space="preserve">
</t>
    </r>
    <r>
      <rPr>
        <sz val="10"/>
        <color rgb="FF0000FF"/>
        <rFont val="Arial"/>
        <family val="2"/>
      </rPr>
      <t>(Formerly Lot 4 RP 122292)</t>
    </r>
  </si>
  <si>
    <r>
      <rPr>
        <strike/>
        <sz val="10"/>
        <rFont val="Arial"/>
        <family val="2"/>
      </rPr>
      <t>8/02/2016</t>
    </r>
    <r>
      <rPr>
        <sz val="10"/>
        <rFont val="Arial"/>
        <family val="2"/>
      </rPr>
      <t xml:space="preserve">
</t>
    </r>
    <r>
      <rPr>
        <sz val="10"/>
        <color rgb="FF0000FF"/>
        <rFont val="Arial"/>
        <family val="2"/>
      </rPr>
      <t>11/02/2016</t>
    </r>
  </si>
  <si>
    <r>
      <t xml:space="preserve">Visitor Accommidation = </t>
    </r>
    <r>
      <rPr>
        <strike/>
        <sz val="10"/>
        <rFont val="Arial"/>
        <family val="2"/>
      </rPr>
      <t>2 bedrooms</t>
    </r>
    <r>
      <rPr>
        <sz val="10"/>
        <rFont val="Arial"/>
        <family val="2"/>
      </rPr>
      <t xml:space="preserve"> 
</t>
    </r>
    <r>
      <rPr>
        <sz val="10"/>
        <color rgb="FF0000FF"/>
        <rFont val="Arial"/>
        <family val="2"/>
      </rPr>
      <t>1 x 2 bed suite</t>
    </r>
    <r>
      <rPr>
        <sz val="10"/>
        <rFont val="Arial"/>
        <family val="2"/>
      </rPr>
      <t xml:space="preserve">
+ balance house = 1 bedroom</t>
    </r>
  </si>
  <si>
    <r>
      <t xml:space="preserve">2 bedrooms changing to visitor accommodation &amp; one bedroom into visitor lounge room.
Remaining bedroom for owners residence.
</t>
    </r>
    <r>
      <rPr>
        <i/>
        <u/>
        <sz val="10"/>
        <color rgb="FF0000FF"/>
        <rFont val="Arial"/>
        <family val="2"/>
      </rPr>
      <t>Negotiated on Representations dated 10/02/2016</t>
    </r>
    <r>
      <rPr>
        <i/>
        <sz val="10"/>
        <color rgb="FF0000FF"/>
        <rFont val="Arial"/>
        <family val="2"/>
      </rPr>
      <t xml:space="preserve"> advising the visitor accommodation is to be operated as a 2 bed suite let to a single party and not as individual rooms let to individual parties.</t>
    </r>
  </si>
  <si>
    <r>
      <rPr>
        <strike/>
        <sz val="10"/>
        <rFont val="Arial"/>
        <family val="2"/>
      </rPr>
      <t>12/01/2016</t>
    </r>
    <r>
      <rPr>
        <sz val="10"/>
        <rFont val="Arial"/>
        <family val="2"/>
      </rPr>
      <t xml:space="preserve">
</t>
    </r>
    <r>
      <rPr>
        <sz val="10"/>
        <color rgb="FF0000FF"/>
        <rFont val="Arial"/>
        <family val="2"/>
      </rPr>
      <t>16/02/2016</t>
    </r>
  </si>
  <si>
    <r>
      <rPr>
        <b/>
        <sz val="10"/>
        <color rgb="FF0000FF"/>
        <rFont val="Arial"/>
        <family val="2"/>
      </rPr>
      <t xml:space="preserve">N </t>
    </r>
    <r>
      <rPr>
        <b/>
        <sz val="10"/>
        <rFont val="Arial"/>
        <family val="2"/>
      </rPr>
      <t xml:space="preserve">1051
</t>
    </r>
    <r>
      <rPr>
        <b/>
        <sz val="10"/>
        <color rgb="FF0000FF"/>
        <rFont val="Arial"/>
        <family val="2"/>
      </rPr>
      <t xml:space="preserve">IA# 55
FINAL STAGED PAYMENT 4 
Due 31 May 2015 
</t>
    </r>
    <r>
      <rPr>
        <sz val="10"/>
        <color rgb="FF0000FF"/>
        <rFont val="Arial"/>
        <family val="2"/>
      </rPr>
      <t>(incl interest from 31/08/2015)</t>
    </r>
  </si>
  <si>
    <r>
      <t>24/01/2008</t>
    </r>
    <r>
      <rPr>
        <sz val="8"/>
        <rFont val="Arial"/>
        <family val="2"/>
      </rPr>
      <t xml:space="preserve">
</t>
    </r>
    <r>
      <rPr>
        <strike/>
        <sz val="8"/>
        <rFont val="Arial"/>
        <family val="2"/>
      </rPr>
      <t>14/72008</t>
    </r>
    <r>
      <rPr>
        <sz val="8"/>
        <rFont val="Arial"/>
        <family val="2"/>
      </rPr>
      <t xml:space="preserve">
</t>
    </r>
    <r>
      <rPr>
        <sz val="8"/>
        <color rgb="FF0000FF"/>
        <rFont val="Arial"/>
        <family val="2"/>
      </rPr>
      <t>5/7/2013</t>
    </r>
  </si>
  <si>
    <t>30% Retirement use reduction for Transport &amp; Public Parks &amp; LFC networks per Resolution.</t>
  </si>
  <si>
    <r>
      <t xml:space="preserve">Decision Notice &amp; </t>
    </r>
    <r>
      <rPr>
        <b/>
        <sz val="8"/>
        <rFont val="Arial"/>
        <family val="2"/>
      </rPr>
      <t xml:space="preserve">INFRASTRUCTURE CHARGE NOTICE
</t>
    </r>
    <r>
      <rPr>
        <sz val="8"/>
        <color rgb="FF0000FF"/>
        <rFont val="Arial"/>
        <family val="2"/>
      </rPr>
      <t>Extn to Relevant Period</t>
    </r>
    <r>
      <rPr>
        <b/>
        <sz val="8"/>
        <color rgb="FF0000FF"/>
        <rFont val="Arial"/>
        <family val="2"/>
      </rPr>
      <t xml:space="preserve">
Change to Existing Approval</t>
    </r>
  </si>
  <si>
    <r>
      <rPr>
        <strike/>
        <sz val="8"/>
        <rFont val="Arial"/>
        <family val="2"/>
      </rPr>
      <t xml:space="preserve">Starco Developments Pty Ltd </t>
    </r>
    <r>
      <rPr>
        <sz val="8"/>
        <rFont val="Arial"/>
        <family val="2"/>
      </rPr>
      <t xml:space="preserve">
Altum Constructions</t>
    </r>
  </si>
  <si>
    <t>50 Gateway Drive NOOSAVILLE</t>
  </si>
  <si>
    <r>
      <t xml:space="preserve">132006.2361.02
Ext
</t>
    </r>
    <r>
      <rPr>
        <sz val="10"/>
        <color rgb="FF0000FF"/>
        <rFont val="Arial"/>
        <family val="2"/>
      </rPr>
      <t>(PC15/0775)</t>
    </r>
  </si>
  <si>
    <t>IA 58 - Allow plan sealing to occur prior to payment of ICN. ICN to be paid on settlement of sale.
Interest to commence on any outstanding balance after 3 months from the date Council approves to plans for sealing. 
Plan Sealing approved 18 Feb 2016</t>
  </si>
  <si>
    <t>March 2016
Total =</t>
  </si>
  <si>
    <r>
      <t xml:space="preserve">07/1626 (DA)
</t>
    </r>
    <r>
      <rPr>
        <sz val="8"/>
        <rFont val="Arial"/>
        <family val="2"/>
      </rPr>
      <t>152007.1626.2
Change</t>
    </r>
    <r>
      <rPr>
        <b/>
        <sz val="8"/>
        <rFont val="Arial"/>
        <family val="2"/>
      </rPr>
      <t xml:space="preserve">
- </t>
    </r>
    <r>
      <rPr>
        <b/>
        <sz val="8"/>
        <color rgb="FF0000FF"/>
        <rFont val="Arial"/>
        <family val="2"/>
      </rPr>
      <t>STAGE 2=10 Lots</t>
    </r>
    <r>
      <rPr>
        <sz val="8"/>
        <color rgb="FF0000FF"/>
        <rFont val="Arial"/>
        <family val="2"/>
      </rPr>
      <t xml:space="preserve">
</t>
    </r>
    <r>
      <rPr>
        <b/>
        <sz val="8"/>
        <color rgb="FFFF0000"/>
        <rFont val="Arial"/>
        <family val="2"/>
      </rPr>
      <t>(Now Stg 1)</t>
    </r>
    <r>
      <rPr>
        <sz val="8"/>
        <color rgb="FF0000FF"/>
        <rFont val="Arial"/>
        <family val="2"/>
      </rPr>
      <t xml:space="preserve">
152007.1226.3 Extension</t>
    </r>
  </si>
  <si>
    <r>
      <rPr>
        <b/>
        <sz val="10"/>
        <color rgb="FF0000FF"/>
        <rFont val="Arial"/>
        <family val="2"/>
      </rPr>
      <t xml:space="preserve">N </t>
    </r>
    <r>
      <rPr>
        <b/>
        <sz val="10"/>
        <rFont val="Arial"/>
        <family val="2"/>
      </rPr>
      <t xml:space="preserve">1084
</t>
    </r>
    <r>
      <rPr>
        <b/>
        <sz val="10"/>
        <color rgb="FF0000FF"/>
        <rFont val="Arial"/>
        <family val="2"/>
      </rPr>
      <t xml:space="preserve">(Stage 2) </t>
    </r>
    <r>
      <rPr>
        <b/>
        <sz val="10"/>
        <color rgb="FFFF0000"/>
        <rFont val="Arial"/>
        <family val="2"/>
      </rPr>
      <t>(Now Stg 1)</t>
    </r>
    <r>
      <rPr>
        <b/>
        <sz val="10"/>
        <color rgb="FF0000FF"/>
        <rFont val="Arial"/>
        <family val="2"/>
      </rPr>
      <t xml:space="preserve">
</t>
    </r>
    <r>
      <rPr>
        <sz val="10"/>
        <color rgb="FF0000FF"/>
        <rFont val="Arial"/>
        <family val="2"/>
      </rPr>
      <t xml:space="preserve">Also refer to ICP 1002 &amp; PSP Contributions </t>
    </r>
  </si>
  <si>
    <r>
      <t xml:space="preserve">Industry Zone Vacant Land - 1 vacant lot (0 m2 use area)
</t>
    </r>
    <r>
      <rPr>
        <sz val="8"/>
        <color rgb="FFFF0000"/>
        <rFont val="Arial"/>
        <family val="2"/>
      </rPr>
      <t>(As of right given for
previous water &amp;
sewerage headworks
contributions acquired
from call in of bond
applicable to Rezoning
Deed, R 228)</t>
    </r>
  </si>
  <si>
    <r>
      <t xml:space="preserve">Nil 
</t>
    </r>
    <r>
      <rPr>
        <sz val="10"/>
        <color rgb="FFFF0000"/>
        <rFont val="Arial"/>
        <family val="2"/>
      </rPr>
      <t>(As of right given for
previous water &amp;
sewerage headworks
contributions acquired
from call in of bond
applicable to Rezoning
Deed, R 228)</t>
    </r>
  </si>
  <si>
    <r>
      <t xml:space="preserve">152007.1626.3
</t>
    </r>
    <r>
      <rPr>
        <sz val="10"/>
        <color rgb="FF0000FF"/>
        <rFont val="Arial"/>
        <family val="2"/>
      </rPr>
      <t>Extension to Relevant Period
07/1626</t>
    </r>
  </si>
  <si>
    <r>
      <t xml:space="preserve">07/1626 (DA) 
</t>
    </r>
    <r>
      <rPr>
        <sz val="8"/>
        <rFont val="Arial"/>
        <family val="2"/>
      </rPr>
      <t>152007.1626.2
Change -</t>
    </r>
    <r>
      <rPr>
        <b/>
        <sz val="8"/>
        <rFont val="Arial"/>
        <family val="2"/>
      </rPr>
      <t xml:space="preserve"> 
</t>
    </r>
    <r>
      <rPr>
        <b/>
        <sz val="8"/>
        <color rgb="FF0000FF"/>
        <rFont val="Arial"/>
        <family val="2"/>
      </rPr>
      <t xml:space="preserve">STAGE 1=7 Lots
</t>
    </r>
    <r>
      <rPr>
        <b/>
        <sz val="8"/>
        <color rgb="FFFF0000"/>
        <rFont val="Arial"/>
        <family val="2"/>
      </rPr>
      <t>(Now Stg 2)</t>
    </r>
    <r>
      <rPr>
        <sz val="8"/>
        <color rgb="FF0000FF"/>
        <rFont val="Arial"/>
        <family val="2"/>
      </rPr>
      <t xml:space="preserve">
152007.1226.3 Extension</t>
    </r>
  </si>
  <si>
    <r>
      <t xml:space="preserve">Industry Zone Vacant Land - 1 vacant lot (0 m2 use area)
</t>
    </r>
    <r>
      <rPr>
        <sz val="8"/>
        <color rgb="FFFF0000"/>
        <rFont val="Arial"/>
        <family val="2"/>
      </rPr>
      <t>(As of right given for
previous water &amp;
sewerage headworks
contributions acquired
from call in of bond
applicable to Rezoning
Deed, R 228)</t>
    </r>
    <r>
      <rPr>
        <sz val="8"/>
        <rFont val="Arial"/>
        <family val="2"/>
      </rPr>
      <t xml:space="preserve">
</t>
    </r>
  </si>
  <si>
    <t>51988.63.01 (DNA108 Change)</t>
  </si>
  <si>
    <t>Noosa Gymnastics Club Inc</t>
  </si>
  <si>
    <t xml:space="preserve">PO Box 1025
NOOSAVILLE DC  QLD  4566
</t>
  </si>
  <si>
    <t>Lot 23 SP 208258</t>
  </si>
  <si>
    <t xml:space="preserve">Bicentennial Hall Bicentennial Dr SUNSHINE BEACH QLD 4567 </t>
  </si>
  <si>
    <t xml:space="preserve">Entertainment and Dining Business Type 2 – Recreation, Amusement &amp; Fitness (Gymnastic club) 
1748m² GFA (Court area 1204m²)
</t>
  </si>
  <si>
    <t xml:space="preserve">Entertainment and Dining Business Type 2 – Recreation, Amusement &amp; Fitness (Gymnastic club) 
850m² GFA (Court Area 497m²)
</t>
  </si>
  <si>
    <t xml:space="preserve"> Use Exempt from Parks charge
&amp; balance
100% Rebate for Community Organisation</t>
  </si>
  <si>
    <t xml:space="preserve">54 Cullinane Street 
TEWANTIN
Address renumbered to:
8 Cullinane St.
</t>
  </si>
  <si>
    <t>REC15/0024</t>
  </si>
  <si>
    <t>DL Amato Ali &amp; Mr V Amato Ali</t>
  </si>
  <si>
    <t>Lot 210 RP 136750</t>
  </si>
  <si>
    <t xml:space="preserve">71 Cooroy Noosa Rd TEWANTIN  QLD  4565 </t>
  </si>
  <si>
    <t>April 2016
Total =</t>
  </si>
  <si>
    <r>
      <rPr>
        <b/>
        <sz val="10"/>
        <color rgb="FF0000FF"/>
        <rFont val="Arial"/>
        <family val="2"/>
      </rPr>
      <t xml:space="preserve">N </t>
    </r>
    <r>
      <rPr>
        <b/>
        <sz val="10"/>
        <rFont val="Arial"/>
        <family val="2"/>
      </rPr>
      <t xml:space="preserve">1052
</t>
    </r>
    <r>
      <rPr>
        <sz val="10"/>
        <color rgb="FFFF0000"/>
        <rFont val="Arial"/>
        <family val="2"/>
      </rPr>
      <t xml:space="preserve">Refer to IA 58 Delayed Payment </t>
    </r>
    <r>
      <rPr>
        <b/>
        <sz val="10"/>
        <color rgb="FFFF0000"/>
        <rFont val="Arial"/>
        <family val="2"/>
      </rPr>
      <t xml:space="preserve">
</t>
    </r>
    <r>
      <rPr>
        <strike/>
        <sz val="10"/>
        <color rgb="FFFF0000"/>
        <rFont val="Arial"/>
        <family val="2"/>
      </rPr>
      <t>Compound interest comences 18 May 2016 if not paid</t>
    </r>
  </si>
  <si>
    <t xml:space="preserve">MCU14/0091
</t>
  </si>
  <si>
    <r>
      <t xml:space="preserve">MCU14/0077
</t>
    </r>
    <r>
      <rPr>
        <sz val="10"/>
        <color rgb="FF0000FF"/>
        <rFont val="Arial"/>
        <family val="2"/>
      </rPr>
      <t>(PC16/0101)</t>
    </r>
  </si>
  <si>
    <r>
      <t xml:space="preserve">05/1514 DA
132005.1514
</t>
    </r>
    <r>
      <rPr>
        <sz val="8"/>
        <color rgb="FF0000FF"/>
        <rFont val="Arial"/>
        <family val="2"/>
      </rPr>
      <t xml:space="preserve">(Ext: 132005.1514.05)
</t>
    </r>
  </si>
  <si>
    <r>
      <t>24/02/2006</t>
    </r>
    <r>
      <rPr>
        <sz val="8"/>
        <rFont val="Arial"/>
        <family val="2"/>
      </rPr>
      <t xml:space="preserve">
</t>
    </r>
    <r>
      <rPr>
        <strike/>
        <sz val="8"/>
        <rFont val="Arial"/>
        <family val="2"/>
      </rPr>
      <t>2/2/2010</t>
    </r>
    <r>
      <rPr>
        <sz val="8"/>
        <rFont val="Arial"/>
        <family val="2"/>
      </rPr>
      <t xml:space="preserve">
</t>
    </r>
    <r>
      <rPr>
        <strike/>
        <sz val="8"/>
        <rFont val="Arial"/>
        <family val="2"/>
      </rPr>
      <t>30/06/2014</t>
    </r>
    <r>
      <rPr>
        <sz val="8"/>
        <rFont val="Arial"/>
        <family val="2"/>
      </rPr>
      <t xml:space="preserve">
25/03/2018</t>
    </r>
  </si>
  <si>
    <r>
      <t>24/02/2010</t>
    </r>
    <r>
      <rPr>
        <sz val="8"/>
        <rFont val="Arial"/>
        <family val="2"/>
      </rPr>
      <t xml:space="preserve">
</t>
    </r>
    <r>
      <rPr>
        <strike/>
        <sz val="8"/>
        <rFont val="Arial"/>
        <family val="2"/>
      </rPr>
      <t>24/2/2014</t>
    </r>
    <r>
      <rPr>
        <sz val="8"/>
        <rFont val="Arial"/>
        <family val="2"/>
      </rPr>
      <t xml:space="preserve">
</t>
    </r>
    <r>
      <rPr>
        <strike/>
        <sz val="8"/>
        <rFont val="Arial"/>
        <family val="2"/>
      </rPr>
      <t>24/02/2016</t>
    </r>
    <r>
      <rPr>
        <sz val="8"/>
        <rFont val="Arial"/>
        <family val="2"/>
      </rPr>
      <t xml:space="preserve">
24/03/2018
</t>
    </r>
  </si>
  <si>
    <r>
      <t xml:space="preserve">05/1516 DA
132005.1516
</t>
    </r>
    <r>
      <rPr>
        <sz val="8"/>
        <color rgb="FF0000FF"/>
        <rFont val="Arial"/>
        <family val="2"/>
      </rPr>
      <t xml:space="preserve">(Ext: 132005.1516.05)
</t>
    </r>
  </si>
  <si>
    <r>
      <rPr>
        <strike/>
        <sz val="8"/>
        <rFont val="Arial"/>
        <family val="2"/>
      </rPr>
      <t>24/02/2006</t>
    </r>
    <r>
      <rPr>
        <sz val="8"/>
        <rFont val="Arial"/>
        <family val="2"/>
      </rPr>
      <t xml:space="preserve">
</t>
    </r>
    <r>
      <rPr>
        <strike/>
        <sz val="8"/>
        <rFont val="Arial"/>
        <family val="2"/>
      </rPr>
      <t>24/09/2014</t>
    </r>
    <r>
      <rPr>
        <sz val="8"/>
        <rFont val="Arial"/>
        <family val="2"/>
      </rPr>
      <t xml:space="preserve">
25/03/2016</t>
    </r>
  </si>
  <si>
    <r>
      <rPr>
        <strike/>
        <sz val="8"/>
        <rFont val="Arial"/>
        <family val="2"/>
      </rPr>
      <t>24/02/2010</t>
    </r>
    <r>
      <rPr>
        <sz val="8"/>
        <rFont val="Arial"/>
        <family val="2"/>
      </rPr>
      <t xml:space="preserve">
</t>
    </r>
    <r>
      <rPr>
        <strike/>
        <sz val="8"/>
        <rFont val="Arial"/>
        <family val="2"/>
      </rPr>
      <t>24/02/2016</t>
    </r>
    <r>
      <rPr>
        <sz val="8"/>
        <rFont val="Arial"/>
        <family val="2"/>
      </rPr>
      <t xml:space="preserve">
04/02/2018</t>
    </r>
  </si>
  <si>
    <t>REC15/0016</t>
  </si>
  <si>
    <t>BE Britton</t>
  </si>
  <si>
    <t>C/- Martoo Consulting Pty Ltd
PO Box 1684
NOOSA HEADS  QLD  4568</t>
  </si>
  <si>
    <t>Lot 3 SP 154219 &amp; Lot 2 SP 253957</t>
  </si>
  <si>
    <t>4 x Residential Dwelling Lots + 1 Park Lot</t>
  </si>
  <si>
    <t xml:space="preserve">2 x Residential Dwelling Lots &amp; Houses </t>
  </si>
  <si>
    <r>
      <rPr>
        <b/>
        <sz val="10"/>
        <color rgb="FF0000FF"/>
        <rFont val="Arial"/>
        <family val="2"/>
      </rPr>
      <t xml:space="preserve">N </t>
    </r>
    <r>
      <rPr>
        <b/>
        <sz val="10"/>
        <rFont val="Arial"/>
        <family val="2"/>
      </rPr>
      <t xml:space="preserve">1081
</t>
    </r>
  </si>
  <si>
    <r>
      <t xml:space="preserve">Compiled Decision Notice &amp;
</t>
    </r>
    <r>
      <rPr>
        <b/>
        <sz val="8"/>
        <rFont val="Arial"/>
        <family val="2"/>
      </rPr>
      <t>INFRASTRUCTURE CHARGE</t>
    </r>
  </si>
  <si>
    <r>
      <rPr>
        <b/>
        <sz val="8"/>
        <color rgb="FF0000FF"/>
        <rFont val="Arial"/>
        <family val="2"/>
      </rPr>
      <t>Stage 5</t>
    </r>
    <r>
      <rPr>
        <b/>
        <sz val="8"/>
        <rFont val="Arial"/>
        <family val="2"/>
      </rPr>
      <t xml:space="preserve">
</t>
    </r>
    <r>
      <rPr>
        <b/>
        <sz val="8"/>
        <color rgb="FF0000FF"/>
        <rFont val="Arial"/>
        <family val="2"/>
      </rPr>
      <t xml:space="preserve">+
IA (Roadworks construction)
</t>
    </r>
    <r>
      <rPr>
        <b/>
        <sz val="8"/>
        <color rgb="FFFF0000"/>
        <rFont val="Arial"/>
        <family val="2"/>
      </rPr>
      <t>+
IA Road Offset = $25,933 @CPI Mar-15 (Provided roadworks completed)</t>
    </r>
  </si>
  <si>
    <r>
      <t xml:space="preserve">10/0529 (DA)
</t>
    </r>
    <r>
      <rPr>
        <sz val="8"/>
        <rFont val="Arial"/>
        <family val="2"/>
      </rPr>
      <t xml:space="preserve">132010.529.2
</t>
    </r>
    <r>
      <rPr>
        <b/>
        <sz val="8"/>
        <rFont val="Arial"/>
        <family val="2"/>
      </rPr>
      <t xml:space="preserve">
</t>
    </r>
    <r>
      <rPr>
        <b/>
        <sz val="8"/>
        <color rgb="FFFF0000"/>
        <rFont val="Arial"/>
        <family val="2"/>
      </rPr>
      <t>Replaced by MCU15/0050</t>
    </r>
  </si>
  <si>
    <r>
      <t xml:space="preserve">MCU15/0050
</t>
    </r>
    <r>
      <rPr>
        <b/>
        <sz val="10"/>
        <color rgb="FFFF0000"/>
        <rFont val="Arial"/>
        <family val="2"/>
      </rPr>
      <t xml:space="preserve">
Replaces 132010.529.2</t>
    </r>
  </si>
  <si>
    <r>
      <rPr>
        <b/>
        <sz val="10"/>
        <color rgb="FF0000FF"/>
        <rFont val="Arial"/>
        <family val="2"/>
      </rPr>
      <t xml:space="preserve">N </t>
    </r>
    <r>
      <rPr>
        <b/>
        <sz val="10"/>
        <rFont val="Arial"/>
        <family val="2"/>
      </rPr>
      <t xml:space="preserve">1082
</t>
    </r>
    <r>
      <rPr>
        <sz val="10"/>
        <color rgb="FFFF0000"/>
        <rFont val="Arial"/>
        <family val="2"/>
      </rPr>
      <t>Building Permit PC16/0287 issued on MCU15/0050</t>
    </r>
  </si>
  <si>
    <t>April 2016 Total =</t>
  </si>
  <si>
    <t>C/- Project Urban
PO Box 6380
MAROOCHYDORE  QLD  4558</t>
  </si>
  <si>
    <t>Lot 204 RP 48113</t>
  </si>
  <si>
    <t xml:space="preserve">9 Duke St SUNSHINE BEACH  QLD  4567 </t>
  </si>
  <si>
    <t>IA 49</t>
  </si>
  <si>
    <t>07/2062 (DA)
132007.2062
(Ext:  132007.2062.02)</t>
  </si>
  <si>
    <t>Lot 219 RP 135364</t>
  </si>
  <si>
    <t>Duplex = 2 x 3 bed units</t>
  </si>
  <si>
    <t>1 Vacant Residential Lot</t>
  </si>
  <si>
    <r>
      <t xml:space="preserve">IC 827
</t>
    </r>
    <r>
      <rPr>
        <b/>
        <sz val="8"/>
        <color rgb="FF0000FF"/>
        <rFont val="Arial"/>
        <family val="2"/>
      </rPr>
      <t xml:space="preserve">+
IA 49 </t>
    </r>
  </si>
  <si>
    <t xml:space="preserve">$1,792.00 (AICN)
IA Stormwater
@ June 2014
</t>
  </si>
  <si>
    <t xml:space="preserve">$237.00 (AICN)
IA Public Transport
@ June 2014
</t>
  </si>
  <si>
    <t>$1,838.00 Dec-15
IA Stormwater (AICN)</t>
  </si>
  <si>
    <r>
      <rPr>
        <sz val="8"/>
        <color rgb="FF0000FF"/>
        <rFont val="Arial"/>
        <family val="2"/>
      </rPr>
      <t>$243.00 Dec-15
IA Public Transport</t>
    </r>
    <r>
      <rPr>
        <b/>
        <sz val="8"/>
        <color rgb="FF0000FF"/>
        <rFont val="Arial"/>
        <family val="2"/>
      </rPr>
      <t xml:space="preserve">
</t>
    </r>
    <r>
      <rPr>
        <sz val="8"/>
        <color rgb="FF0000FF"/>
        <rFont val="Arial"/>
        <family val="2"/>
      </rPr>
      <t>(AICN)</t>
    </r>
  </si>
  <si>
    <r>
      <rPr>
        <strike/>
        <sz val="8"/>
        <rFont val="Arial"/>
        <family val="2"/>
      </rPr>
      <t>S &amp; L Development</t>
    </r>
    <r>
      <rPr>
        <sz val="8"/>
        <rFont val="Arial"/>
        <family val="2"/>
      </rPr>
      <t xml:space="preserve">
</t>
    </r>
    <r>
      <rPr>
        <sz val="8"/>
        <color rgb="FF0000FF"/>
        <rFont val="Arial"/>
        <family val="2"/>
      </rPr>
      <t>Northern Property Group No 1 Pty Ltd</t>
    </r>
  </si>
  <si>
    <t>c/ Ken Hicks &amp; Associates
PO Box 6380
MAROOCHYDORE  QLD  4558</t>
  </si>
  <si>
    <r>
      <t xml:space="preserve">07/1841 DA (Changes)
</t>
    </r>
    <r>
      <rPr>
        <sz val="8"/>
        <color rgb="FF0000FF"/>
        <rFont val="Arial"/>
        <family val="2"/>
      </rPr>
      <t>132007.1841.03</t>
    </r>
  </si>
  <si>
    <r>
      <rPr>
        <strike/>
        <sz val="8"/>
        <rFont val="Arial"/>
        <family val="2"/>
      </rPr>
      <t>Amended Negotiated Decision Notice &amp;</t>
    </r>
    <r>
      <rPr>
        <sz val="8"/>
        <rFont val="Arial"/>
        <family val="2"/>
      </rPr>
      <t xml:space="preserve">
</t>
    </r>
    <r>
      <rPr>
        <b/>
        <sz val="8"/>
        <rFont val="Arial"/>
        <family val="2"/>
      </rPr>
      <t xml:space="preserve">INFRASTRUCTURE CHARGE
</t>
    </r>
    <r>
      <rPr>
        <sz val="8"/>
        <color rgb="FF0000FF"/>
        <rFont val="Arial"/>
        <family val="2"/>
      </rPr>
      <t>Change to Existing Approval</t>
    </r>
  </si>
  <si>
    <r>
      <rPr>
        <strike/>
        <sz val="8"/>
        <rFont val="Arial"/>
        <family val="2"/>
      </rPr>
      <t>4/02/2011</t>
    </r>
    <r>
      <rPr>
        <sz val="8"/>
        <rFont val="Arial"/>
        <family val="2"/>
      </rPr>
      <t xml:space="preserve">
</t>
    </r>
    <r>
      <rPr>
        <sz val="8"/>
        <color rgb="FF0000FF"/>
        <rFont val="Arial"/>
        <family val="2"/>
      </rPr>
      <t>23/03/2012</t>
    </r>
  </si>
  <si>
    <r>
      <t>Decision Notice
Negotiated Decision Notice
Compiled Decision Notice 
Change to DA</t>
    </r>
    <r>
      <rPr>
        <sz val="8"/>
        <rFont val="Arial"/>
        <family val="2"/>
      </rPr>
      <t xml:space="preserve"> 
Change to a DA &amp; </t>
    </r>
    <r>
      <rPr>
        <b/>
        <sz val="8"/>
        <rFont val="Arial"/>
        <family val="2"/>
      </rPr>
      <t xml:space="preserve">INFRASTRUCTURE CHARGE NOTICE
</t>
    </r>
    <r>
      <rPr>
        <sz val="8"/>
        <color rgb="FF0000FF"/>
        <rFont val="Arial"/>
        <family val="2"/>
      </rPr>
      <t>IA for extension</t>
    </r>
  </si>
  <si>
    <r>
      <t>04/11/2004 10/3/2005  
24/08/2005</t>
    </r>
    <r>
      <rPr>
        <sz val="8"/>
        <rFont val="Arial"/>
        <family val="2"/>
      </rPr>
      <t xml:space="preserve">
</t>
    </r>
    <r>
      <rPr>
        <strike/>
        <sz val="8"/>
        <rFont val="Arial"/>
        <family val="2"/>
      </rPr>
      <t>2/8/07</t>
    </r>
    <r>
      <rPr>
        <sz val="8"/>
        <rFont val="Arial"/>
        <family val="2"/>
      </rPr>
      <t xml:space="preserve">
</t>
    </r>
    <r>
      <rPr>
        <strike/>
        <sz val="8"/>
        <rFont val="Arial"/>
        <family val="2"/>
      </rPr>
      <t>1/7/2010
21/12/2011</t>
    </r>
    <r>
      <rPr>
        <sz val="8"/>
        <rFont val="Arial"/>
        <family val="2"/>
      </rPr>
      <t xml:space="preserve">
</t>
    </r>
    <r>
      <rPr>
        <sz val="8"/>
        <color rgb="FF0000FF"/>
        <rFont val="Arial"/>
        <family val="2"/>
      </rPr>
      <t>30/04/2014</t>
    </r>
  </si>
  <si>
    <r>
      <t>Negotiated Decision Notice</t>
    </r>
    <r>
      <rPr>
        <sz val="8"/>
        <rFont val="Arial"/>
        <family val="2"/>
      </rPr>
      <t xml:space="preserve"> 
Change to an Existing Approval &amp; </t>
    </r>
    <r>
      <rPr>
        <b/>
        <sz val="8"/>
        <rFont val="Arial"/>
        <family val="2"/>
      </rPr>
      <t xml:space="preserve">INFRASTRUCTURE CHARGE NOTICE
</t>
    </r>
    <r>
      <rPr>
        <sz val="8"/>
        <color rgb="FF0000FF"/>
        <rFont val="Arial"/>
        <family val="2"/>
      </rPr>
      <t>IA for extension</t>
    </r>
  </si>
  <si>
    <t xml:space="preserve">Detached House Vacant Land 
(credit for 2 Detached House per Lot Reconfiguration 23118 DA)
</t>
  </si>
  <si>
    <r>
      <rPr>
        <sz val="8"/>
        <rFont val="Arial"/>
        <family val="2"/>
      </rPr>
      <t>Previous dedication re 23118 DA</t>
    </r>
    <r>
      <rPr>
        <sz val="8"/>
        <color rgb="FFFF0000"/>
        <rFont val="Arial"/>
        <family val="2"/>
      </rPr>
      <t xml:space="preserve">
(incorrectly credited refer IA 56)</t>
    </r>
  </si>
  <si>
    <t>Previously Paid re 23118 DA rezoning deed R67</t>
  </si>
  <si>
    <r>
      <rPr>
        <b/>
        <sz val="8"/>
        <color rgb="FF0000FF"/>
        <rFont val="Arial"/>
        <family val="2"/>
      </rPr>
      <t xml:space="preserve">IA 11
17/06/13
Variation 3/06/14 </t>
    </r>
    <r>
      <rPr>
        <sz val="8"/>
        <rFont val="Arial"/>
        <family val="2"/>
      </rPr>
      <t xml:space="preserve">
(IC 331 &amp; other contributions paid)</t>
    </r>
  </si>
  <si>
    <r>
      <t xml:space="preserve">05/0699 
132005.699
</t>
    </r>
    <r>
      <rPr>
        <sz val="8"/>
        <color rgb="FF0000FF"/>
        <rFont val="Arial"/>
        <family val="2"/>
      </rPr>
      <t>(Extn: 
132005.699.06
132005.699.08)
(Change = .09)</t>
    </r>
    <r>
      <rPr>
        <sz val="8"/>
        <rFont val="Arial"/>
        <family val="2"/>
      </rPr>
      <t xml:space="preserve">
</t>
    </r>
  </si>
  <si>
    <t>Detached House Vacant Land 
(credit for 1 Detached House per Lot Reconfiguration 23118 DA)</t>
  </si>
  <si>
    <r>
      <t xml:space="preserve">Multiple dwellings </t>
    </r>
    <r>
      <rPr>
        <strike/>
        <sz val="8"/>
        <rFont val="Arial"/>
        <family val="2"/>
      </rPr>
      <t>42 units = 41 x 3 bed + 1 x 2 bed</t>
    </r>
    <r>
      <rPr>
        <sz val="8"/>
        <rFont val="Arial"/>
        <family val="2"/>
      </rPr>
      <t xml:space="preserve">
</t>
    </r>
    <r>
      <rPr>
        <sz val="8"/>
        <color rgb="FFFF0000"/>
        <rFont val="Arial"/>
        <family val="2"/>
      </rPr>
      <t xml:space="preserve">(36 x 3 bed units - refer delegated report 132005.699.09) 
</t>
    </r>
    <r>
      <rPr>
        <sz val="8"/>
        <color rgb="FF0000FF"/>
        <rFont val="Arial"/>
        <family val="2"/>
      </rPr>
      <t>Stage 1 = “Iluka” building (completed) 22 Units</t>
    </r>
    <r>
      <rPr>
        <sz val="8"/>
        <color rgb="FFFF0000"/>
        <rFont val="Arial"/>
        <family val="2"/>
      </rPr>
      <t xml:space="preserve">
Stage 2 = “Emerald” building 14 Units</t>
    </r>
  </si>
  <si>
    <t>$73,370.00 Sep-10
Paid 30/08/11 
965386</t>
  </si>
  <si>
    <r>
      <rPr>
        <strike/>
        <sz val="8"/>
        <rFont val="Arial"/>
        <family val="2"/>
      </rPr>
      <t>Decision Notice &amp;</t>
    </r>
    <r>
      <rPr>
        <sz val="8"/>
        <rFont val="Arial"/>
        <family val="2"/>
      </rPr>
      <t xml:space="preserve"> 
</t>
    </r>
    <r>
      <rPr>
        <strike/>
        <sz val="8"/>
        <rFont val="Arial"/>
        <family val="2"/>
      </rPr>
      <t xml:space="preserve">Change to an existing 
Change to an existing 
</t>
    </r>
    <r>
      <rPr>
        <b/>
        <sz val="8"/>
        <rFont val="Arial"/>
        <family val="2"/>
      </rPr>
      <t>INFRASTRUCTURE CHARGE NOTICE</t>
    </r>
    <r>
      <rPr>
        <sz val="8"/>
        <color rgb="FF0000FF"/>
        <rFont val="Arial"/>
        <family val="2"/>
      </rPr>
      <t xml:space="preserve">
Change to Existing
IA for extension</t>
    </r>
  </si>
  <si>
    <r>
      <rPr>
        <strike/>
        <sz val="8"/>
        <rFont val="Arial"/>
        <family val="2"/>
      </rPr>
      <t>13/10/2005
19/12/2008
7/07/2013
9/03/2010</t>
    </r>
    <r>
      <rPr>
        <sz val="8"/>
        <rFont val="Arial"/>
        <family val="2"/>
      </rPr>
      <t xml:space="preserve">
</t>
    </r>
    <r>
      <rPr>
        <strike/>
        <sz val="8"/>
        <rFont val="Arial"/>
        <family val="2"/>
      </rPr>
      <t>4/06/2014</t>
    </r>
    <r>
      <rPr>
        <sz val="8"/>
        <color rgb="FF0000FF"/>
        <rFont val="Arial"/>
        <family val="2"/>
      </rPr>
      <t xml:space="preserve">
16/03/2015</t>
    </r>
  </si>
  <si>
    <r>
      <rPr>
        <strike/>
        <sz val="8"/>
        <rFont val="Arial"/>
        <family val="2"/>
      </rPr>
      <t>13/10/2009
2/12/2015</t>
    </r>
    <r>
      <rPr>
        <sz val="8"/>
        <color rgb="FF0000FF"/>
        <rFont val="Arial"/>
        <family val="2"/>
      </rPr>
      <t xml:space="preserve">
2/12/2016</t>
    </r>
  </si>
  <si>
    <t>Entertainment &amp; Dining Business - Type 1 - Food &amp; Beverage 999 m2 Use area
(Restaurant 570 m2 + Conference Facility/Function room 429m2)
Entertainment &amp; Dining Business - Type 2 - Recreation, Amusement &amp; Fitness  425 m2 Use area (Health Club)
Retail Business - Type 2 - Shop &amp; Salon 50 m2 Use area
Visitors Accommodation - Type 4 - Conventional 90 x Accommodation units (double bedrooms = equiv 180 single beds) 
+ 58 x 1 bedroom units 
+ 51 x 2 bedroom units</t>
  </si>
  <si>
    <r>
      <t xml:space="preserve">Paid 
</t>
    </r>
    <r>
      <rPr>
        <sz val="10"/>
        <color rgb="FF0000FF"/>
        <rFont val="Arial"/>
        <family val="2"/>
      </rPr>
      <t>By Bond releases
BAGS 006157 
BAGS006211</t>
    </r>
  </si>
  <si>
    <t>Mr AT Murnane &amp; Mrs KA Murnane</t>
  </si>
  <si>
    <t>Lot 7 RP 835350</t>
  </si>
  <si>
    <t>470 Middle Creek Rd FEDERAL  QLD 4568</t>
  </si>
  <si>
    <t>MCU15/0085</t>
  </si>
  <si>
    <t>Will not lapse
Use commenced &amp; IC due</t>
  </si>
  <si>
    <t>AH Forge</t>
  </si>
  <si>
    <t>Lot 2 RP 193949</t>
  </si>
  <si>
    <t>44 Nandroya Rd, COOROY</t>
  </si>
  <si>
    <t xml:space="preserve">Addition to existing Transport Depot
535 m2 GFA + 775 impervious area
</t>
  </si>
  <si>
    <t>Application relates to unapproved works</t>
  </si>
  <si>
    <t>REC15/0022</t>
  </si>
  <si>
    <t>Lot 30 SP 170751</t>
  </si>
  <si>
    <t>2 x Industrial Lots</t>
  </si>
  <si>
    <r>
      <t xml:space="preserve">Vacant industrial Lot
</t>
    </r>
    <r>
      <rPr>
        <sz val="10"/>
        <color rgb="FF0000FF"/>
        <rFont val="Arial"/>
        <family val="2"/>
      </rPr>
      <t>Paid PSP contributions ONLY for Parks, Water &amp; Sewerage networks on lot reconfiguration 23134 DA (re Stage 3 creation of lot 30)</t>
    </r>
  </si>
  <si>
    <t>Synergy Property Partners</t>
  </si>
  <si>
    <t>C/- TFA Group
PO Box 301
ALBION QLD  4010</t>
  </si>
  <si>
    <t xml:space="preserve">6/2/2018
</t>
  </si>
  <si>
    <r>
      <rPr>
        <strike/>
        <sz val="10"/>
        <rFont val="Arial"/>
        <family val="2"/>
      </rPr>
      <t>22/02/2016</t>
    </r>
    <r>
      <rPr>
        <sz val="10"/>
        <rFont val="Arial"/>
        <family val="2"/>
      </rPr>
      <t xml:space="preserve">
</t>
    </r>
    <r>
      <rPr>
        <sz val="10"/>
        <color rgb="FF0000FF"/>
        <rFont val="Arial"/>
        <family val="2"/>
      </rPr>
      <t>22/02/2020</t>
    </r>
  </si>
  <si>
    <r>
      <t xml:space="preserve">132009.1335
</t>
    </r>
    <r>
      <rPr>
        <sz val="10"/>
        <color rgb="FF0000FF"/>
        <rFont val="Arial"/>
        <family val="2"/>
      </rPr>
      <t>132009.1335.01 Ext</t>
    </r>
  </si>
  <si>
    <t xml:space="preserve">4 carparking spaces in Lieu
PSP 13 @ January 2007 = $6,500 / space @ June 2006
</t>
  </si>
  <si>
    <r>
      <t xml:space="preserve">STAGE 2
</t>
    </r>
    <r>
      <rPr>
        <sz val="8"/>
        <color rgb="FF0000FF"/>
        <rFont val="Arial"/>
        <family val="2"/>
      </rPr>
      <t xml:space="preserve">Letter received 6/02/2009 Not intending to proceed with Stage 2 of application
</t>
    </r>
    <r>
      <rPr>
        <b/>
        <sz val="8"/>
        <color rgb="FF0000FF"/>
        <rFont val="Arial"/>
        <family val="2"/>
      </rPr>
      <t>HOWEVER APPROVAL CONTINUES DUE TO STG 1</t>
    </r>
  </si>
  <si>
    <r>
      <t xml:space="preserve">MCU15/0032
</t>
    </r>
    <r>
      <rPr>
        <sz val="10"/>
        <color rgb="FF0000FF"/>
        <rFont val="Arial"/>
        <family val="2"/>
      </rPr>
      <t>(PC16/0431 - for 5 of the 10 Units)</t>
    </r>
  </si>
  <si>
    <r>
      <t xml:space="preserve">563
</t>
    </r>
    <r>
      <rPr>
        <sz val="10"/>
        <color rgb="FF0000FF"/>
        <rFont val="Arial"/>
        <family val="2"/>
      </rPr>
      <t xml:space="preserve">
Water supply only
Referred directly to 
Unitywater </t>
    </r>
  </si>
  <si>
    <t>May 2016
Total =</t>
  </si>
  <si>
    <r>
      <t xml:space="preserve">06/2307 (DA)
</t>
    </r>
    <r>
      <rPr>
        <b/>
        <strike/>
        <sz val="8"/>
        <rFont val="Arial"/>
        <family val="2"/>
      </rPr>
      <t xml:space="preserve">05/483 DA (Preliminary approval)
</t>
    </r>
    <r>
      <rPr>
        <sz val="8"/>
        <rFont val="Arial"/>
        <family val="2"/>
      </rPr>
      <t xml:space="preserve">132006.2307
</t>
    </r>
    <r>
      <rPr>
        <sz val="8"/>
        <color rgb="FF0000FF"/>
        <rFont val="Arial"/>
        <family val="2"/>
      </rPr>
      <t>132006.2307.04</t>
    </r>
  </si>
  <si>
    <t>May 2016 Total =</t>
  </si>
  <si>
    <t>Paid Contribution conditions 26 &amp; 31
Paythways &amp; Parks only</t>
  </si>
  <si>
    <r>
      <rPr>
        <strike/>
        <sz val="8"/>
        <color rgb="FF0000FF"/>
        <rFont val="Arial"/>
        <family val="2"/>
      </rPr>
      <t xml:space="preserve">Extn granted when council resolution applied $50,000 threshold for IC assessment </t>
    </r>
    <r>
      <rPr>
        <sz val="8"/>
        <color rgb="FF0000FF"/>
        <rFont val="Arial"/>
        <family val="2"/>
      </rPr>
      <t xml:space="preserve">
</t>
    </r>
    <r>
      <rPr>
        <b/>
        <u/>
        <sz val="8"/>
        <color rgb="FF0000FF"/>
        <rFont val="Arial"/>
        <family val="2"/>
      </rPr>
      <t xml:space="preserve">ALSO </t>
    </r>
    <r>
      <rPr>
        <sz val="8"/>
        <color rgb="FF0000FF"/>
        <rFont val="Arial"/>
        <family val="2"/>
      </rPr>
      <t xml:space="preserve">
Refer AICN.N1050 for 132006.2307.03
(extention to relevant period) Additional missing networks
On 11/05/2016 - Only Paid Pathways &amp; Parks contribs</t>
    </r>
  </si>
  <si>
    <t>$2,924.00 
@ Jun-06
Paid 11/05/2016</t>
  </si>
  <si>
    <t>$1,314.00 
@ Jun-06
Paid 11/05/2016</t>
  </si>
  <si>
    <t>Paid $1,687.00 
@ Mar-16
Paid 11/05/2016</t>
  </si>
  <si>
    <t>Paid $3,754.00 
@ Mar-16
Paid 11/05/2016</t>
  </si>
  <si>
    <t xml:space="preserve">$2,976.00 
@ Jun-06
Paid Unitywater directly </t>
  </si>
  <si>
    <t xml:space="preserve">$2,533.00 
@ Jun-06
Paid Unitywater directly </t>
  </si>
  <si>
    <r>
      <rPr>
        <strike/>
        <sz val="8"/>
        <color rgb="FF0000FF"/>
        <rFont val="Arial"/>
        <family val="2"/>
      </rPr>
      <t xml:space="preserve">Extn granted when council resolution applied $50,000 threshold for IC assessment </t>
    </r>
    <r>
      <rPr>
        <sz val="8"/>
        <color rgb="FF0000FF"/>
        <rFont val="Arial"/>
        <family val="2"/>
      </rPr>
      <t xml:space="preserve">
</t>
    </r>
    <r>
      <rPr>
        <b/>
        <u/>
        <sz val="8"/>
        <color rgb="FFFF0000"/>
        <rFont val="Arial"/>
        <family val="2"/>
      </rPr>
      <t xml:space="preserve">ALSO </t>
    </r>
    <r>
      <rPr>
        <sz val="8"/>
        <color rgb="FFFF0000"/>
        <rFont val="Arial"/>
        <family val="2"/>
      </rPr>
      <t xml:space="preserve">
Refer AICN.N1050 for 132006.2307.03
(extention to relevant period) Additional missing networks</t>
    </r>
    <r>
      <rPr>
        <sz val="8"/>
        <color rgb="FF0000FF"/>
        <rFont val="Arial"/>
        <family val="2"/>
      </rPr>
      <t xml:space="preserve">
On 11/05/2016 - Only Paid Pathways &amp; Parks contribs</t>
    </r>
  </si>
  <si>
    <r>
      <t xml:space="preserve">IC 362
(REV 1)
</t>
    </r>
    <r>
      <rPr>
        <b/>
        <sz val="8"/>
        <color rgb="FFFF0000"/>
        <rFont val="Arial"/>
        <family val="2"/>
      </rPr>
      <t>+
Refer AICN.N1050</t>
    </r>
  </si>
  <si>
    <r>
      <rPr>
        <b/>
        <sz val="10"/>
        <color rgb="FF0000FF"/>
        <rFont val="Arial"/>
        <family val="2"/>
      </rPr>
      <t xml:space="preserve">N </t>
    </r>
    <r>
      <rPr>
        <b/>
        <sz val="10"/>
        <rFont val="Arial"/>
        <family val="2"/>
      </rPr>
      <t xml:space="preserve">1050
</t>
    </r>
    <r>
      <rPr>
        <sz val="10"/>
        <color rgb="FF0000FF"/>
        <rFont val="Arial"/>
        <family val="2"/>
      </rPr>
      <t>+
ICP 362 re 06/2307</t>
    </r>
  </si>
  <si>
    <t>Paid Unitywater directly</t>
  </si>
  <si>
    <t>51983.3225.06
(Change to TPC 1632)</t>
  </si>
  <si>
    <t>Redevelopment of Unit 15 only</t>
  </si>
  <si>
    <t>Mr G Proos, H Proos</t>
  </si>
  <si>
    <t>Lot 15 GTP 1154</t>
  </si>
  <si>
    <t>Unit 15 – 30 Hastings Street NOOSA HEADS</t>
  </si>
  <si>
    <t>1 x 3 bedroom unit 
(2 beds + closed study)</t>
  </si>
  <si>
    <t>1 x 2 bedroom unit</t>
  </si>
  <si>
    <t>MCU15/0108</t>
  </si>
  <si>
    <t>Lots 1 &amp; 2 SP 230068</t>
  </si>
  <si>
    <t>Multiple Housing Type 2 - Duplex (4 x 3 bedroom units)</t>
  </si>
  <si>
    <t>Semi-attached Housing (2 x vacant lots)</t>
  </si>
  <si>
    <t>C/- Project Urban
PO Box  6380
MAROOCHYDORE BC  QLD  4558</t>
  </si>
  <si>
    <t>PC16/0362</t>
  </si>
  <si>
    <t>PAUL &amp; KATE HENTSCHEL</t>
  </si>
  <si>
    <t>87 KELLY ROAD
AMAMOOR 4570</t>
  </si>
  <si>
    <t>LOT 2 RP 105734</t>
  </si>
  <si>
    <t>13 MARY RIVER ROAD COOROY 4563</t>
  </si>
  <si>
    <t>CHANGE OF CLASSIFICATION - 1A to CLASS 6 RETAIL SHOP (139m²) &amp; CLASS 4 CARETAKERS RESIDENCE (165m²).</t>
  </si>
  <si>
    <t xml:space="preserve">Previous MCU 132008-1973 has applied contributions/charges for Roads, Pathways &amp; Parks networks &amp; IA for missing Stormwater networks. </t>
  </si>
  <si>
    <t>Extn IA for Missing Stormwater 
Refer also ICN.N1123 for Missing Public Transport</t>
  </si>
  <si>
    <r>
      <t xml:space="preserve">08/1973 (DA)
132008.1973
</t>
    </r>
    <r>
      <rPr>
        <sz val="8"/>
        <color rgb="FF0000FF"/>
        <rFont val="Arial"/>
        <family val="2"/>
      </rPr>
      <t xml:space="preserve">(132008.1973.01)
</t>
    </r>
    <r>
      <rPr>
        <b/>
        <sz val="8"/>
        <color rgb="FF0000FF"/>
        <rFont val="Arial"/>
        <family val="2"/>
      </rPr>
      <t>Refer also ICN.N1123 re PC16/0362</t>
    </r>
  </si>
  <si>
    <r>
      <t xml:space="preserve">replaces original MCU approval 07/1841 DA &amp; IC986 applying to this lot 
PC15/0145 - BA dated 16/4/2015 CoC issued &amp; use commenced PAYMENT DUE 31/08/2015
</t>
    </r>
    <r>
      <rPr>
        <b/>
        <sz val="10"/>
        <color rgb="FF0000FF"/>
        <rFont val="Arial"/>
        <family val="2"/>
      </rPr>
      <t>STAGED PAYMENT AGREEMENT 12/08/2015</t>
    </r>
  </si>
  <si>
    <t>Extn IA for Missing:
- Stormwater 
- Public Transport
Refer AICN Paid</t>
  </si>
  <si>
    <t>PC16/0522</t>
  </si>
  <si>
    <t>PO Box 84
BALLARAT VIC 3353</t>
  </si>
  <si>
    <t>Lot 2 SP 162077</t>
  </si>
  <si>
    <t xml:space="preserve">35 Walter Hay Drive
NOOSAVILLE </t>
  </si>
  <si>
    <t>Retirement - 1 INDEPENDENT LIVING UNIT (Unit No: 200 - Caretakers Unit)</t>
  </si>
  <si>
    <t>Nil - additional to existing development &amp; credit used up by original development</t>
  </si>
  <si>
    <t>Credit for previous contributions under 2004/5744 MCU = Transport 96% (Road ICP &amp; Pathway) &amp; Parks 100%</t>
  </si>
  <si>
    <t>$1,795 Dec-2013
IA Missing Stormwater 
paid refer sheet 4) AICN payments</t>
  </si>
  <si>
    <t>$3,579 
Sep-2005
Not paid</t>
  </si>
  <si>
    <t>$396 Dec -2013
IA Missing Public Transport 
paid refer sheet 4) AICN payments</t>
  </si>
  <si>
    <t>Paid contributions only</t>
  </si>
  <si>
    <t>IA Missing Stormwater 
paid $1,862 Mar-2016 refer sheet 4) AICN payments</t>
  </si>
  <si>
    <t>IA Missing Public Transport 
paid $383 Mar-2016 refer sheet 4) AICN payments</t>
  </si>
  <si>
    <t>$1,260 @ Sep 2005
Paid 31/5/2016</t>
  </si>
  <si>
    <t>$2,802 @ Sep 2005
Paid 31/5/2016</t>
  </si>
  <si>
    <t>paid $1,675.00 
@ Mar-16
Paid 31/05/2016</t>
  </si>
  <si>
    <t>paid $3,726.00 
@ Mar-16
Paid 31/05/2016</t>
  </si>
  <si>
    <r>
      <rPr>
        <sz val="8"/>
        <color rgb="FF0000FF"/>
        <rFont val="Arial"/>
        <family val="2"/>
      </rPr>
      <t xml:space="preserve">Extn IA for Missing:
- Stormwater 
- Public Transport
Contribs &amp; IA paid 31/05/16
</t>
    </r>
    <r>
      <rPr>
        <sz val="8"/>
        <color rgb="FFFF0000"/>
        <rFont val="Arial"/>
        <family val="2"/>
      </rPr>
      <t>ICP Remains</t>
    </r>
    <r>
      <rPr>
        <b/>
        <sz val="8"/>
        <color rgb="FF0000FF"/>
        <rFont val="Arial"/>
        <family val="2"/>
      </rPr>
      <t xml:space="preserve">
</t>
    </r>
  </si>
  <si>
    <t>IA #38</t>
  </si>
  <si>
    <t xml:space="preserve"> 9/07/2014</t>
  </si>
  <si>
    <t>Carma Building Group Pty Ltd</t>
  </si>
  <si>
    <t>Suite 2/199 Gympie Terrace
NOOSAVILLE  QLD  4566</t>
  </si>
  <si>
    <r>
      <rPr>
        <sz val="8"/>
        <color rgb="FF0000FF"/>
        <rFont val="Arial"/>
        <family val="2"/>
      </rPr>
      <t>Extn IA for Missing:
- Stormwater 
- Public Transport</t>
    </r>
    <r>
      <rPr>
        <b/>
        <sz val="8"/>
        <color rgb="FF0000FF"/>
        <rFont val="Arial"/>
        <family val="2"/>
      </rPr>
      <t xml:space="preserve">
</t>
    </r>
    <r>
      <rPr>
        <sz val="8"/>
        <color rgb="FF0000FF"/>
        <rFont val="Arial"/>
        <family val="2"/>
      </rPr>
      <t>Paid IA &amp; Contribs only 31/05/2016</t>
    </r>
    <r>
      <rPr>
        <sz val="8"/>
        <color rgb="FFFF0000"/>
        <rFont val="Arial"/>
        <family val="2"/>
      </rPr>
      <t xml:space="preserve">
</t>
    </r>
    <r>
      <rPr>
        <b/>
        <sz val="8"/>
        <color rgb="FFFF0000"/>
        <rFont val="Arial"/>
        <family val="2"/>
      </rPr>
      <t>IC364 remains</t>
    </r>
    <r>
      <rPr>
        <b/>
        <sz val="8"/>
        <color rgb="FF0000FF"/>
        <rFont val="Arial"/>
        <family val="2"/>
      </rPr>
      <t xml:space="preserve">
</t>
    </r>
  </si>
  <si>
    <t>Contributions for Missing Stormwater &amp;Public Transport networks only</t>
  </si>
  <si>
    <t>June 2016
Total =</t>
  </si>
  <si>
    <t>MCU16/0024</t>
  </si>
  <si>
    <t>Ms NR Bellerby &amp; Mr P Bellerby</t>
  </si>
  <si>
    <t>Lot 113 MCH 464</t>
  </si>
  <si>
    <t>171 Ewerts Rd COORAN  QLD  4569</t>
  </si>
  <si>
    <t>1 x Detached House 
Visitor Accommodation Type 3: Rural = 1 x 1 bedroom cottage; and 
1 x 2 bedroom cottage.</t>
  </si>
  <si>
    <r>
      <t xml:space="preserve">132006.2307.03
</t>
    </r>
    <r>
      <rPr>
        <sz val="10"/>
        <color rgb="FF0000FF"/>
        <rFont val="Arial"/>
        <family val="2"/>
      </rPr>
      <t xml:space="preserve">(extention to relevant period) +   
</t>
    </r>
    <r>
      <rPr>
        <i/>
        <sz val="10"/>
        <color rgb="FF0000FF"/>
        <rFont val="Arial"/>
        <family val="2"/>
      </rPr>
      <t>PC16/0259</t>
    </r>
  </si>
  <si>
    <r>
      <t xml:space="preserve">Offset for PIP PT Bus Stop 2 &amp; map 1 for trunk infrastructure to be provided under Condition 42 c) of development approval.
</t>
    </r>
    <r>
      <rPr>
        <sz val="10"/>
        <color rgb="FFFF0000"/>
        <rFont val="Arial"/>
        <family val="2"/>
      </rPr>
      <t>Note:</t>
    </r>
    <r>
      <rPr>
        <b/>
        <sz val="10"/>
        <color rgb="FFFF0000"/>
        <rFont val="Arial"/>
        <family val="2"/>
      </rPr>
      <t xml:space="preserve"> OPW15/0031 </t>
    </r>
    <r>
      <rPr>
        <sz val="10"/>
        <color rgb="FFFF0000"/>
        <rFont val="Arial"/>
        <family val="2"/>
      </rPr>
      <t xml:space="preserve">Condition 5:  In lie of supply and installation of the required bus shelter, the applicant/developer must contribute to Council $18,513.82 (subject to CPI Index increases) due for payment prior to the Prestart Meeting. 
(Neg Decision dated 27/10/15 = @ CPI Jun-15) Direct Payment to be made to works
</t>
    </r>
    <r>
      <rPr>
        <sz val="10"/>
        <color rgb="FF0000FF"/>
        <rFont val="Arial"/>
        <family val="2"/>
      </rPr>
      <t>Journal Receipted payment to ICA3 Transport in January 2016</t>
    </r>
  </si>
  <si>
    <t>Miss KL Weller</t>
  </si>
  <si>
    <t>66 Noosa Drive
NOOSA HEADS</t>
  </si>
  <si>
    <t>Retail Business - Type 5 Vehicle Uses (Car Rental = 115 m2)</t>
  </si>
  <si>
    <t xml:space="preserve">Charges only based the changes happening on the specified part of the site (As per Drawing Number 1.02 - Issue 3 - Project No 16-039) </t>
  </si>
  <si>
    <t>REC16/0001</t>
  </si>
  <si>
    <t>Ms K Spinks</t>
  </si>
  <si>
    <t>Lot 52 RP 136456</t>
  </si>
  <si>
    <t>7 Amaroo Place Cooroibah</t>
  </si>
  <si>
    <r>
      <rPr>
        <b/>
        <sz val="10"/>
        <color rgb="FF0000FF"/>
        <rFont val="Arial"/>
        <family val="2"/>
      </rPr>
      <t xml:space="preserve">N </t>
    </r>
    <r>
      <rPr>
        <b/>
        <sz val="10"/>
        <rFont val="Arial"/>
        <family val="2"/>
      </rPr>
      <t>1121</t>
    </r>
    <r>
      <rPr>
        <b/>
        <sz val="10"/>
        <color rgb="FFFF0000"/>
        <rFont val="Arial"/>
        <family val="2"/>
      </rPr>
      <t>a</t>
    </r>
  </si>
  <si>
    <t>Contributions paid on 18 June 2008 Rec 405361 under earlier subdivision approval 2007/2411 which subsequently lapsed but contributions not returned.</t>
  </si>
  <si>
    <t>Additional credit for payment previoulsy made for Park, Pathways &amp; Roads &amp; only Stormwater &amp; Public Transport networks apply for this approval</t>
  </si>
  <si>
    <t>Entertainment &amp; Dining Business - 
Type 1 Food &amp; Beverages Café 63 m2
Retail Business Type 5 - Vehicle Uses
Motorbike Showroom &amp; Display 52 m2 No change to Impervious Area</t>
  </si>
  <si>
    <t>Paid Stage No.3</t>
  </si>
  <si>
    <r>
      <t xml:space="preserve">Court Order No.4884of2014 dated 23 January 2015
</t>
    </r>
    <r>
      <rPr>
        <b/>
        <sz val="8"/>
        <color rgb="FF0000FF"/>
        <rFont val="Arial"/>
        <family val="2"/>
      </rPr>
      <t>STAGED PAYMENT AGREEMENT 31/03/2015</t>
    </r>
    <r>
      <rPr>
        <sz val="8"/>
        <color rgb="FF0000FF"/>
        <rFont val="Arial"/>
        <family val="2"/>
      </rPr>
      <t xml:space="preserve">
</t>
    </r>
    <r>
      <rPr>
        <b/>
        <sz val="10"/>
        <color rgb="FFFF0000"/>
        <rFont val="Arial"/>
        <family val="2"/>
      </rPr>
      <t>STAGED PAYMENT No.3</t>
    </r>
  </si>
  <si>
    <t>June 2016 Total =</t>
  </si>
  <si>
    <r>
      <rPr>
        <strike/>
        <sz val="10"/>
        <rFont val="Arial"/>
        <family val="2"/>
      </rPr>
      <t>6/05/2016</t>
    </r>
    <r>
      <rPr>
        <sz val="10"/>
        <rFont val="Arial"/>
        <family val="2"/>
      </rPr>
      <t xml:space="preserve">
15/06/16</t>
    </r>
  </si>
  <si>
    <t>MCU15/0116</t>
  </si>
  <si>
    <t>Glenroe Holdings Pty Ltd Tte</t>
  </si>
  <si>
    <t>Lot 3 SP 119455</t>
  </si>
  <si>
    <t>Donovan Court 3/9 Lionel Donovan Dr NOOSAVILLE  QLD  4566</t>
  </si>
  <si>
    <t>Industrial Business Type 1 Warehouse &amp; Type 2 Production, alteration, repackaging &amp; reparing = 232 m2 gfa</t>
  </si>
  <si>
    <t xml:space="preserve">Industrial Business Type 1 Warehouse &amp; Type 2 Production, alteration, repackaging &amp; reparing = 221 m2 
&amp;
Retail business Type 2 - Shop = 11 m2 
</t>
  </si>
  <si>
    <t>No change to impervious area</t>
  </si>
  <si>
    <r>
      <rPr>
        <b/>
        <sz val="10"/>
        <color rgb="FF0000FF"/>
        <rFont val="Arial"/>
        <family val="2"/>
      </rPr>
      <t xml:space="preserve">N </t>
    </r>
    <r>
      <rPr>
        <b/>
        <sz val="10"/>
        <rFont val="Arial"/>
        <family val="2"/>
      </rPr>
      <t xml:space="preserve">1119
</t>
    </r>
    <r>
      <rPr>
        <b/>
        <sz val="10"/>
        <color rgb="FFFF0000"/>
        <rFont val="Arial"/>
        <family val="2"/>
      </rPr>
      <t xml:space="preserve">
USE COMMENCED PAYMENT DUE 29 July 2016</t>
    </r>
  </si>
  <si>
    <t>paid</t>
  </si>
  <si>
    <t>31/06/16</t>
  </si>
  <si>
    <t>REC16/0017</t>
  </si>
  <si>
    <t>Graham Leonard</t>
  </si>
  <si>
    <t>Lot 7 RP 35080</t>
  </si>
  <si>
    <t>2 Hill St POMONA  QLD  4568</t>
  </si>
  <si>
    <t>2 residential lots</t>
  </si>
  <si>
    <t>1 residential lot</t>
  </si>
  <si>
    <r>
      <rPr>
        <b/>
        <sz val="8"/>
        <color rgb="FF0000FF"/>
        <rFont val="Arial"/>
        <family val="2"/>
      </rPr>
      <t xml:space="preserve">Use Commenced </t>
    </r>
    <r>
      <rPr>
        <sz val="8"/>
        <color rgb="FF0000FF"/>
        <rFont val="Arial"/>
        <family val="2"/>
      </rPr>
      <t xml:space="preserve">Outstanding Ltr Issued
Staged Payment Agreement
</t>
    </r>
    <r>
      <rPr>
        <b/>
        <sz val="10"/>
        <color rgb="FFFF0000"/>
        <rFont val="Arial"/>
        <family val="2"/>
      </rPr>
      <t>Stage Payment No. 5 (Final)
Due Dec 2016</t>
    </r>
  </si>
  <si>
    <r>
      <t xml:space="preserve">Court Order No.4884of2014 dated 23 January 2015
</t>
    </r>
    <r>
      <rPr>
        <b/>
        <sz val="8"/>
        <color rgb="FFFF0000"/>
        <rFont val="Arial"/>
        <family val="2"/>
      </rPr>
      <t>STAGED PAYMENT AGREEMENT 31/03/2015</t>
    </r>
    <r>
      <rPr>
        <sz val="8"/>
        <color rgb="FFFF0000"/>
        <rFont val="Arial"/>
        <family val="2"/>
      </rPr>
      <t xml:space="preserve">
</t>
    </r>
    <r>
      <rPr>
        <b/>
        <sz val="8"/>
        <color rgb="FFFF0000"/>
        <rFont val="Arial"/>
        <family val="2"/>
      </rPr>
      <t>STAGED PAYMENT No.4</t>
    </r>
  </si>
  <si>
    <r>
      <t xml:space="preserve">Court Order No.4884of2014 dated 23 January 2015
</t>
    </r>
    <r>
      <rPr>
        <b/>
        <sz val="8"/>
        <color rgb="FFFF0000"/>
        <rFont val="Arial"/>
        <family val="2"/>
      </rPr>
      <t>STAGED PAYMENT AGREEMENT 31/03/2015</t>
    </r>
    <r>
      <rPr>
        <sz val="8"/>
        <color rgb="FFFF0000"/>
        <rFont val="Arial"/>
        <family val="2"/>
      </rPr>
      <t xml:space="preserve">
</t>
    </r>
    <r>
      <rPr>
        <b/>
        <sz val="8"/>
        <color rgb="FFFF0000"/>
        <rFont val="Arial"/>
        <family val="2"/>
      </rPr>
      <t>STAGED PAYMENT No.5 (Final)</t>
    </r>
  </si>
  <si>
    <r>
      <t xml:space="preserve">282
</t>
    </r>
    <r>
      <rPr>
        <b/>
        <sz val="10"/>
        <color rgb="FF0000FF"/>
        <rFont val="Arial"/>
        <family val="2"/>
      </rPr>
      <t xml:space="preserve">IA#54
</t>
    </r>
    <r>
      <rPr>
        <sz val="10"/>
        <color rgb="FF0000FF"/>
        <rFont val="Arial"/>
        <family val="2"/>
      </rPr>
      <t>Staged Payment Agreement 30/03/2015</t>
    </r>
    <r>
      <rPr>
        <b/>
        <sz val="10"/>
        <color rgb="FF0000FF"/>
        <rFont val="Arial"/>
        <family val="2"/>
      </rPr>
      <t xml:space="preserve">
</t>
    </r>
    <r>
      <rPr>
        <b/>
        <sz val="10"/>
        <color rgb="FFFF0000"/>
        <rFont val="Arial"/>
        <family val="2"/>
      </rPr>
      <t>STAGE PAYMENT  5 (Final)</t>
    </r>
  </si>
  <si>
    <t>(Ext: 152008.1939.02)</t>
  </si>
  <si>
    <r>
      <t xml:space="preserve">06/1581 (DA)
</t>
    </r>
    <r>
      <rPr>
        <sz val="8"/>
        <color rgb="FF0000FF"/>
        <rFont val="Arial"/>
        <family val="2"/>
      </rPr>
      <t>Extn's</t>
    </r>
    <r>
      <rPr>
        <b/>
        <sz val="8"/>
        <rFont val="Arial"/>
        <family val="2"/>
      </rPr>
      <t xml:space="preserve">
</t>
    </r>
    <r>
      <rPr>
        <sz val="8"/>
        <color rgb="FF0000FF"/>
        <rFont val="Arial"/>
        <family val="2"/>
      </rPr>
      <t>132006.1581.04</t>
    </r>
  </si>
  <si>
    <r>
      <t>8/11/2006</t>
    </r>
    <r>
      <rPr>
        <sz val="8"/>
        <rFont val="Arial"/>
        <family val="2"/>
      </rPr>
      <t xml:space="preserve">
</t>
    </r>
    <r>
      <rPr>
        <strike/>
        <sz val="8"/>
        <rFont val="Arial"/>
        <family val="2"/>
      </rPr>
      <t>16/12/2010</t>
    </r>
    <r>
      <rPr>
        <sz val="8"/>
        <rFont val="Arial"/>
        <family val="2"/>
      </rPr>
      <t xml:space="preserve">
</t>
    </r>
    <r>
      <rPr>
        <strike/>
        <sz val="8"/>
        <rFont val="Arial"/>
        <family val="2"/>
      </rPr>
      <t>24/09/2014</t>
    </r>
    <r>
      <rPr>
        <sz val="8"/>
        <rFont val="Arial"/>
        <family val="2"/>
      </rPr>
      <t xml:space="preserve">
</t>
    </r>
    <r>
      <rPr>
        <sz val="8"/>
        <color rgb="FF0000FF"/>
        <rFont val="Arial"/>
        <family val="2"/>
      </rPr>
      <t>06/2016</t>
    </r>
    <r>
      <rPr>
        <sz val="8"/>
        <rFont val="Arial"/>
        <family val="2"/>
      </rPr>
      <t xml:space="preserve">
</t>
    </r>
  </si>
  <si>
    <t>1 x Detached house lot</t>
  </si>
  <si>
    <t>Multiple Housing Type 4 - Conventional = 22 x 3 bedroom units</t>
  </si>
  <si>
    <t>CBD Settlers Cove Development Pty Ltd</t>
  </si>
  <si>
    <t xml:space="preserve">Lot 8 SP 195871
</t>
  </si>
  <si>
    <t>Multiple Housing Type 4 - Conventional = 19 x 3 bedroom units</t>
  </si>
  <si>
    <t>REC16/0004</t>
  </si>
  <si>
    <t>Ms SSS Johnstone &amp; Mr S Johnstone</t>
  </si>
  <si>
    <t>C/- Pacific BCQ
PO Box 1901
NOOSAVILLE BC  QLD  4566</t>
  </si>
  <si>
    <t>Lot 654 RP 225122</t>
  </si>
  <si>
    <t>66 Southern Cross Pde SUNRISE BEACH  QLD  4567</t>
  </si>
  <si>
    <t>Multiple Housing - Type 2 Duplex = 2 x 4 bed units</t>
  </si>
  <si>
    <t>July 2016
Total =</t>
  </si>
  <si>
    <t xml:space="preserve"> 22/07/2016</t>
  </si>
  <si>
    <r>
      <t xml:space="preserve">Mar-16
Road = $28,754
</t>
    </r>
    <r>
      <rPr>
        <sz val="8"/>
        <color rgb="FFFF0000"/>
        <rFont val="Arial"/>
        <family val="2"/>
      </rPr>
      <t>Less IA #5 = $26,370</t>
    </r>
  </si>
  <si>
    <t>July 2016 Total =</t>
  </si>
  <si>
    <t>MCU15/0111</t>
  </si>
  <si>
    <t>Palm Lake Works</t>
  </si>
  <si>
    <t>PO Box 10479
SOUTHPORT  QLD  4215</t>
  </si>
  <si>
    <t>Lots 1 &amp; 4 RP 215922; and Lots 1 &amp; 2 RP 165418</t>
  </si>
  <si>
    <t>2 &amp; 4 Lamonts Road and 19 &amp; 20 Trading Post Road, COOROY 4563</t>
  </si>
  <si>
    <t xml:space="preserve">Retirement Independent units = 220 x 2 bed + study units (equiv 3 bed units)
Caretakers dwelling x 1 (assume same as other dwellings)
Aged Care Facility (120 beds) = 8,950 m2 gfa + 12,960 m2 impervious area
+ 1 detached house &amp; lot </t>
  </si>
  <si>
    <t xml:space="preserve">Contributions paid on 19 October 2015 (Receipt: 1173523) under Deed of Variation dated 9 March 2015 (IA #31c) under earlier approval 132007.2398 for:
Retirement Independent units = 46+78+40 = 164 x 2 bed + study units (equiv 3 bed units)
Aged Care Facility (120 beds) = 9,800 m2 gfa + 13,300 m2 impervious area
Note: Credit included for 2 x detached house &amp; lots (Lot 1 RP 215922, 19 Trading Post Road &amp; 2 RP 165418, 4 Lamonts Rd) </t>
  </si>
  <si>
    <t>Retirement 30% reduction for Transport &amp; Parks networks included</t>
  </si>
  <si>
    <r>
      <t xml:space="preserve">Only relates to the Missing </t>
    </r>
    <r>
      <rPr>
        <u/>
        <sz val="10"/>
        <color rgb="FF0000FF"/>
        <rFont val="Arial"/>
        <family val="2"/>
      </rPr>
      <t>Public Transport Network</t>
    </r>
    <r>
      <rPr>
        <sz val="10"/>
        <color rgb="FF0000FF"/>
        <rFont val="Arial"/>
        <family val="2"/>
      </rPr>
      <t xml:space="preserve">. 
</t>
    </r>
    <r>
      <rPr>
        <sz val="10"/>
        <color rgb="FFFF0000"/>
        <rFont val="Arial"/>
        <family val="2"/>
      </rPr>
      <t>Indexation Applies as total amount remains below permissible SPRP maximum</t>
    </r>
  </si>
  <si>
    <r>
      <t xml:space="preserve">This application introduces 2 additional existing residential lots:
- 1 RP 165418, 2 Lamonts Rd, &amp;
- Lot 4 RP 215922, 20 Trading Post Road - However this lot under the reconfiguration will simply be reduced in size to maintain a seperate residential lot for the existing house.
Therefore this charge calculation will include credit for the existing 2 lots but re-instate charge for the 1 lot that is being created to maintain the existing house &amp; lot. 
</t>
    </r>
    <r>
      <rPr>
        <sz val="10"/>
        <color rgb="FFFF0000"/>
        <rFont val="Arial"/>
        <family val="2"/>
      </rPr>
      <t xml:space="preserve">Indexation Applies as total amount remains below permissible SPRP maximum </t>
    </r>
  </si>
  <si>
    <t>Inline Property Development P/L TTE</t>
  </si>
  <si>
    <t>Lot 4 SP 159610 &amp; Lot 31 SP 170751</t>
  </si>
  <si>
    <t>139 Eumundi Noosa Road, Noosaville</t>
  </si>
  <si>
    <t>Part of mcu14/0102.02
Industrial business types 1 &amp; 2 = 2240m²</t>
  </si>
  <si>
    <t>Change &amp; charge relates to Tenancy 3</t>
  </si>
  <si>
    <t>253 &amp; 255 David Low Way &amp; 5-7 Rufous St, 
PEREGIAN BEACH QLD 4573</t>
  </si>
  <si>
    <t>Lot 94 SP 137431, Lot 95 SP 137431, Lot 1 SP 215942</t>
  </si>
  <si>
    <r>
      <t xml:space="preserve">MCU16/0044
</t>
    </r>
    <r>
      <rPr>
        <b/>
        <sz val="10"/>
        <color rgb="FF0000FF"/>
        <rFont val="Arial"/>
        <family val="2"/>
      </rPr>
      <t>(STAGE 1)</t>
    </r>
  </si>
  <si>
    <r>
      <rPr>
        <b/>
        <sz val="10"/>
        <rFont val="Arial"/>
        <family val="2"/>
      </rPr>
      <t>Lot 1</t>
    </r>
    <r>
      <rPr>
        <sz val="10"/>
        <rFont val="Arial"/>
        <family val="2"/>
      </rPr>
      <t xml:space="preserve"> SP 215942   (255 David Low Way) = Wellbeing Type 2 – Social community house = 385 m2 gfa + 441 m2 impervious
</t>
    </r>
    <r>
      <rPr>
        <b/>
        <sz val="10"/>
        <rFont val="Arial"/>
        <family val="2"/>
      </rPr>
      <t>Lot 95</t>
    </r>
    <r>
      <rPr>
        <sz val="10"/>
        <rFont val="Arial"/>
        <family val="2"/>
      </rPr>
      <t xml:space="preserve"> SP 137431 (253 David Low Way) = Transport Type 2 – Carpark = 1223 m² impervious 
</t>
    </r>
    <r>
      <rPr>
        <b/>
        <sz val="10"/>
        <rFont val="Arial"/>
        <family val="2"/>
      </rPr>
      <t xml:space="preserve">Lot 94 </t>
    </r>
    <r>
      <rPr>
        <sz val="10"/>
        <rFont val="Arial"/>
        <family val="2"/>
      </rPr>
      <t>SP 137431 (5-7 Rufous St) = entertainment and dining business type 2 – bowls club = 570 m2 gfa + 797 m2 impervious</t>
    </r>
  </si>
  <si>
    <r>
      <rPr>
        <b/>
        <sz val="10"/>
        <rFont val="Arial"/>
        <family val="2"/>
      </rPr>
      <t>STAGE 1</t>
    </r>
    <r>
      <rPr>
        <sz val="10"/>
        <rFont val="Arial"/>
        <family val="2"/>
      </rPr>
      <t xml:space="preserve">
</t>
    </r>
    <r>
      <rPr>
        <b/>
        <sz val="10"/>
        <rFont val="Arial"/>
        <family val="2"/>
      </rPr>
      <t xml:space="preserve">Lot 1 </t>
    </r>
    <r>
      <rPr>
        <sz val="10"/>
        <rFont val="Arial"/>
        <family val="2"/>
      </rPr>
      <t xml:space="preserve">SP 215942 (255 David Low Way) = Wellbeing Type 2 – Social community house = 385 m2 gfa + 411 m2 impervious
</t>
    </r>
    <r>
      <rPr>
        <b/>
        <sz val="10"/>
        <rFont val="Arial"/>
        <family val="2"/>
      </rPr>
      <t>Lot 95</t>
    </r>
    <r>
      <rPr>
        <sz val="10"/>
        <rFont val="Arial"/>
        <family val="2"/>
      </rPr>
      <t xml:space="preserve"> SP 137431 (253 David Low Way) = Commercial business type 1 – office = 864 m2 gfa + Entertainment and dining type 1 – restaurant (or office use) = 30 m2 gfa + impervious area (2376+864+411) = 3651 m2 </t>
    </r>
  </si>
  <si>
    <r>
      <t xml:space="preserve">Car Park component located on Future reconfigured lot 3 (current </t>
    </r>
    <r>
      <rPr>
        <b/>
        <sz val="10"/>
        <color rgb="FF0000FF"/>
        <rFont val="Arial"/>
        <family val="2"/>
      </rPr>
      <t>lot 94</t>
    </r>
    <r>
      <rPr>
        <sz val="10"/>
        <color rgb="FF0000FF"/>
        <rFont val="Arial"/>
        <family val="2"/>
      </rPr>
      <t xml:space="preserve"> SP 137431 on 5-7 Rufous St) is deemed Community Infrastructure being Exempt from Infrastructure Charges
= est 30% of 2376 = 715 m2 impervious area</t>
    </r>
  </si>
  <si>
    <r>
      <rPr>
        <b/>
        <sz val="10"/>
        <rFont val="Arial"/>
        <family val="2"/>
      </rPr>
      <t>From STAGE 1</t>
    </r>
    <r>
      <rPr>
        <sz val="10"/>
        <rFont val="Arial"/>
        <family val="2"/>
      </rPr>
      <t xml:space="preserve">
</t>
    </r>
    <r>
      <rPr>
        <b/>
        <sz val="10"/>
        <rFont val="Arial"/>
        <family val="2"/>
      </rPr>
      <t xml:space="preserve">Lot 1 </t>
    </r>
    <r>
      <rPr>
        <sz val="10"/>
        <rFont val="Arial"/>
        <family val="2"/>
      </rPr>
      <t xml:space="preserve">SP 215942 (255 David Low Way) = Wellbeing Type 2 – Social community house = 385 m2 gfa + 411 m2 impervious
</t>
    </r>
    <r>
      <rPr>
        <b/>
        <sz val="10"/>
        <rFont val="Arial"/>
        <family val="2"/>
      </rPr>
      <t>Lot 95</t>
    </r>
    <r>
      <rPr>
        <sz val="10"/>
        <rFont val="Arial"/>
        <family val="2"/>
      </rPr>
      <t xml:space="preserve"> SP 137431 (253 David Low Way) = Commercial business type 1 – office = 864 m2 gfa + Entertainment and dining type 1 – restaurant (or office use) = 30 m2 gfa + impervious area (2376+864+411) = 3651 m2 </t>
    </r>
  </si>
  <si>
    <r>
      <t xml:space="preserve">Community House located on Future reconfigured lot 3 (curent </t>
    </r>
    <r>
      <rPr>
        <b/>
        <sz val="10"/>
        <color rgb="FF0000FF"/>
        <rFont val="Arial"/>
        <family val="2"/>
      </rPr>
      <t>lot 94</t>
    </r>
    <r>
      <rPr>
        <sz val="10"/>
        <color rgb="FF0000FF"/>
        <rFont val="Arial"/>
        <family val="2"/>
      </rPr>
      <t xml:space="preserve"> SP 137431) is subject to rebate under Council Policy “Infrastructure Charges Rebates for Community Organisations”  
= 618 m2 gfa + 932 m2 impervious</t>
    </r>
  </si>
  <si>
    <r>
      <rPr>
        <b/>
        <sz val="10"/>
        <rFont val="Arial"/>
        <family val="2"/>
      </rPr>
      <t>Stage 2</t>
    </r>
    <r>
      <rPr>
        <sz val="10"/>
        <rFont val="Arial"/>
        <family val="2"/>
      </rPr>
      <t xml:space="preserve">
</t>
    </r>
    <r>
      <rPr>
        <b/>
        <sz val="10"/>
        <rFont val="Arial"/>
        <family val="2"/>
      </rPr>
      <t>Lot 1</t>
    </r>
    <r>
      <rPr>
        <sz val="10"/>
        <rFont val="Arial"/>
        <family val="2"/>
      </rPr>
      <t xml:space="preserve"> SP 215942 &amp; </t>
    </r>
    <r>
      <rPr>
        <b/>
        <sz val="10"/>
        <rFont val="Arial"/>
        <family val="2"/>
      </rPr>
      <t xml:space="preserve">Lot 95 </t>
    </r>
    <r>
      <rPr>
        <sz val="10"/>
        <rFont val="Arial"/>
        <family val="2"/>
      </rPr>
      <t xml:space="preserve">SP 137431 
Commercial business type 1 – office = 1364 m2 gfa + Entertainment and dining type 1 – restaurant (or office use) = 30 m2 gfa
+  (Digital hub 2376+1364 = 3740 m2 impervious area 
</t>
    </r>
    <r>
      <rPr>
        <b/>
        <sz val="10"/>
        <rFont val="Arial"/>
        <family val="2"/>
      </rPr>
      <t>Lot 94</t>
    </r>
    <r>
      <rPr>
        <sz val="10"/>
        <rFont val="Arial"/>
        <family val="2"/>
      </rPr>
      <t xml:space="preserve"> SP 137431 = Wellbeing Type 2 – Social community house = 618 m2 gfa + 932 m2 impervious </t>
    </r>
  </si>
  <si>
    <r>
      <t xml:space="preserve">PC16/0541
</t>
    </r>
    <r>
      <rPr>
        <b/>
        <sz val="10"/>
        <color rgb="FF0000FF"/>
        <rFont val="Arial"/>
        <family val="2"/>
      </rPr>
      <t>(STAGE 4)</t>
    </r>
  </si>
  <si>
    <t xml:space="preserve">Noosa Domain Pty Ltd
</t>
  </si>
  <si>
    <t>PO Box 84
BALLERAT QLD 3353</t>
  </si>
  <si>
    <t>35 Walter Hay Drive 
NOOSAVILLE</t>
  </si>
  <si>
    <t>Nil - additional to existing development &amp; credit used up by original development
Credit for previous contributions under 2004/5744 MCU = Transport 96% (Road ICP &amp; Pathway) &amp; Parks 100%</t>
  </si>
  <si>
    <t xml:space="preserve">Retirement - 18 INDEPENDENT LIVING UNITS - STAGE 4:
SUMMARY = 10 x 3 bed or more + 8 x 2 bed </t>
  </si>
  <si>
    <t>August 2016
Total =</t>
  </si>
  <si>
    <t>REC16/0019</t>
  </si>
  <si>
    <t>Indexation Applies as total amount remains below permissible SPRP maximum</t>
  </si>
  <si>
    <t xml:space="preserve">Mr TA Bassett &amp; Mrs HABassett </t>
  </si>
  <si>
    <t>C/- Murray &amp; Associates (QLD) Pty Ltd
PO Box 246
NAMBOUR QLD 4560</t>
  </si>
  <si>
    <t>Lot 35 RP 136462</t>
  </si>
  <si>
    <r>
      <rPr>
        <b/>
        <sz val="10"/>
        <color rgb="FFFF0000"/>
        <rFont val="Arial"/>
        <family val="2"/>
      </rPr>
      <t xml:space="preserve">Y = CPI </t>
    </r>
    <r>
      <rPr>
        <b/>
        <sz val="10"/>
        <color indexed="12"/>
        <rFont val="Arial"/>
        <family val="2"/>
      </rPr>
      <t>or 
N = AICS
Month &amp; Year</t>
    </r>
  </si>
  <si>
    <r>
      <t>Charge
Index
(</t>
    </r>
    <r>
      <rPr>
        <b/>
        <sz val="10"/>
        <color rgb="FFFF0000"/>
        <rFont val="Arial"/>
        <family val="2"/>
      </rPr>
      <t xml:space="preserve">CPI </t>
    </r>
    <r>
      <rPr>
        <b/>
        <sz val="10"/>
        <color indexed="12"/>
        <rFont val="Arial"/>
        <family val="2"/>
      </rPr>
      <t>or AICS)</t>
    </r>
  </si>
  <si>
    <r>
      <rPr>
        <b/>
        <sz val="10"/>
        <rFont val="Arial"/>
        <family val="2"/>
      </rPr>
      <t xml:space="preserve">Charge
Index
</t>
    </r>
    <r>
      <rPr>
        <b/>
        <sz val="10"/>
        <color rgb="FFFF0000"/>
        <rFont val="Arial"/>
        <family val="2"/>
      </rPr>
      <t xml:space="preserve">(CPI </t>
    </r>
    <r>
      <rPr>
        <b/>
        <sz val="10"/>
        <rFont val="Arial"/>
        <family val="2"/>
      </rPr>
      <t>or AICS)</t>
    </r>
  </si>
  <si>
    <r>
      <rPr>
        <b/>
        <sz val="10"/>
        <color rgb="FFFF0000"/>
        <rFont val="Arial"/>
        <family val="2"/>
      </rPr>
      <t xml:space="preserve">CPI </t>
    </r>
    <r>
      <rPr>
        <b/>
        <sz val="10"/>
        <rFont val="Arial"/>
        <family val="2"/>
      </rPr>
      <t>or ACIS
Date</t>
    </r>
  </si>
  <si>
    <r>
      <rPr>
        <b/>
        <sz val="10"/>
        <color rgb="FF0000FF"/>
        <rFont val="Arial"/>
        <family val="2"/>
      </rPr>
      <t xml:space="preserve">N </t>
    </r>
    <r>
      <rPr>
        <b/>
        <sz val="10"/>
        <rFont val="Arial"/>
        <family val="2"/>
      </rPr>
      <t>1202</t>
    </r>
    <r>
      <rPr>
        <sz val="11"/>
        <color theme="1"/>
        <rFont val="Calibri"/>
        <family val="2"/>
        <scheme val="minor"/>
      </rPr>
      <t/>
    </r>
  </si>
  <si>
    <r>
      <rPr>
        <b/>
        <sz val="10"/>
        <color rgb="FF0000FF"/>
        <rFont val="Arial"/>
        <family val="2"/>
      </rPr>
      <t xml:space="preserve">N </t>
    </r>
    <r>
      <rPr>
        <b/>
        <sz val="10"/>
        <rFont val="Arial"/>
        <family val="2"/>
      </rPr>
      <t>1205</t>
    </r>
    <r>
      <rPr>
        <sz val="11"/>
        <color theme="1"/>
        <rFont val="Calibri"/>
        <family val="2"/>
        <scheme val="minor"/>
      </rPr>
      <t/>
    </r>
  </si>
  <si>
    <r>
      <rPr>
        <b/>
        <sz val="10"/>
        <color rgb="FF0000FF"/>
        <rFont val="Arial"/>
        <family val="2"/>
      </rPr>
      <t xml:space="preserve">N </t>
    </r>
    <r>
      <rPr>
        <b/>
        <sz val="10"/>
        <rFont val="Arial"/>
        <family val="2"/>
      </rPr>
      <t>1207</t>
    </r>
    <r>
      <rPr>
        <sz val="11"/>
        <color theme="1"/>
        <rFont val="Calibri"/>
        <family val="2"/>
        <scheme val="minor"/>
      </rPr>
      <t/>
    </r>
  </si>
  <si>
    <r>
      <rPr>
        <b/>
        <sz val="10"/>
        <color rgb="FF0000FF"/>
        <rFont val="Arial"/>
        <family val="2"/>
      </rPr>
      <t xml:space="preserve">N </t>
    </r>
    <r>
      <rPr>
        <b/>
        <sz val="10"/>
        <rFont val="Arial"/>
        <family val="2"/>
      </rPr>
      <t>1208</t>
    </r>
    <r>
      <rPr>
        <sz val="11"/>
        <color theme="1"/>
        <rFont val="Calibri"/>
        <family val="2"/>
        <scheme val="minor"/>
      </rPr>
      <t/>
    </r>
  </si>
  <si>
    <r>
      <rPr>
        <b/>
        <sz val="10"/>
        <color rgb="FF0000FF"/>
        <rFont val="Arial"/>
        <family val="2"/>
      </rPr>
      <t xml:space="preserve">N </t>
    </r>
    <r>
      <rPr>
        <b/>
        <sz val="10"/>
        <rFont val="Arial"/>
        <family val="2"/>
      </rPr>
      <t>1209</t>
    </r>
    <r>
      <rPr>
        <sz val="11"/>
        <color theme="1"/>
        <rFont val="Calibri"/>
        <family val="2"/>
        <scheme val="minor"/>
      </rPr>
      <t/>
    </r>
  </si>
  <si>
    <r>
      <rPr>
        <b/>
        <sz val="10"/>
        <color rgb="FF0000FF"/>
        <rFont val="Arial"/>
        <family val="2"/>
      </rPr>
      <t xml:space="preserve">N </t>
    </r>
    <r>
      <rPr>
        <b/>
        <sz val="10"/>
        <rFont val="Arial"/>
        <family val="2"/>
      </rPr>
      <t>1210</t>
    </r>
    <r>
      <rPr>
        <sz val="11"/>
        <color theme="1"/>
        <rFont val="Calibri"/>
        <family val="2"/>
        <scheme val="minor"/>
      </rPr>
      <t/>
    </r>
  </si>
  <si>
    <r>
      <rPr>
        <b/>
        <sz val="10"/>
        <color rgb="FF0000FF"/>
        <rFont val="Arial"/>
        <family val="2"/>
      </rPr>
      <t xml:space="preserve">N </t>
    </r>
    <r>
      <rPr>
        <b/>
        <sz val="10"/>
        <rFont val="Arial"/>
        <family val="2"/>
      </rPr>
      <t>1214</t>
    </r>
    <r>
      <rPr>
        <sz val="11"/>
        <color theme="1"/>
        <rFont val="Calibri"/>
        <family val="2"/>
        <scheme val="minor"/>
      </rPr>
      <t/>
    </r>
  </si>
  <si>
    <r>
      <rPr>
        <b/>
        <sz val="10"/>
        <color rgb="FF0000FF"/>
        <rFont val="Arial"/>
        <family val="2"/>
      </rPr>
      <t xml:space="preserve">N </t>
    </r>
    <r>
      <rPr>
        <b/>
        <sz val="10"/>
        <rFont val="Arial"/>
        <family val="2"/>
      </rPr>
      <t>1216</t>
    </r>
    <r>
      <rPr>
        <sz val="11"/>
        <color theme="1"/>
        <rFont val="Calibri"/>
        <family val="2"/>
        <scheme val="minor"/>
      </rPr>
      <t/>
    </r>
  </si>
  <si>
    <r>
      <rPr>
        <b/>
        <sz val="10"/>
        <color rgb="FF0000FF"/>
        <rFont val="Arial"/>
        <family val="2"/>
      </rPr>
      <t xml:space="preserve">N </t>
    </r>
    <r>
      <rPr>
        <b/>
        <sz val="10"/>
        <rFont val="Arial"/>
        <family val="2"/>
      </rPr>
      <t>1217</t>
    </r>
    <r>
      <rPr>
        <sz val="11"/>
        <color theme="1"/>
        <rFont val="Calibri"/>
        <family val="2"/>
        <scheme val="minor"/>
      </rPr>
      <t/>
    </r>
  </si>
  <si>
    <r>
      <rPr>
        <b/>
        <sz val="10"/>
        <color rgb="FF0000FF"/>
        <rFont val="Arial"/>
        <family val="2"/>
      </rPr>
      <t xml:space="preserve">N </t>
    </r>
    <r>
      <rPr>
        <b/>
        <sz val="10"/>
        <rFont val="Arial"/>
        <family val="2"/>
      </rPr>
      <t>1218</t>
    </r>
    <r>
      <rPr>
        <sz val="11"/>
        <color theme="1"/>
        <rFont val="Calibri"/>
        <family val="2"/>
        <scheme val="minor"/>
      </rPr>
      <t/>
    </r>
  </si>
  <si>
    <r>
      <rPr>
        <b/>
        <sz val="10"/>
        <color rgb="FF0000FF"/>
        <rFont val="Arial"/>
        <family val="2"/>
      </rPr>
      <t xml:space="preserve">N </t>
    </r>
    <r>
      <rPr>
        <b/>
        <sz val="10"/>
        <rFont val="Arial"/>
        <family val="2"/>
      </rPr>
      <t>1221</t>
    </r>
    <r>
      <rPr>
        <sz val="11"/>
        <color theme="1"/>
        <rFont val="Calibri"/>
        <family val="2"/>
        <scheme val="minor"/>
      </rPr>
      <t/>
    </r>
  </si>
  <si>
    <r>
      <rPr>
        <b/>
        <sz val="10"/>
        <color rgb="FF0000FF"/>
        <rFont val="Arial"/>
        <family val="2"/>
      </rPr>
      <t xml:space="preserve">N </t>
    </r>
    <r>
      <rPr>
        <b/>
        <sz val="10"/>
        <rFont val="Arial"/>
        <family val="2"/>
      </rPr>
      <t>1225</t>
    </r>
    <r>
      <rPr>
        <sz val="11"/>
        <color theme="1"/>
        <rFont val="Calibri"/>
        <family val="2"/>
        <scheme val="minor"/>
      </rPr>
      <t/>
    </r>
  </si>
  <si>
    <r>
      <rPr>
        <b/>
        <sz val="10"/>
        <color rgb="FF0000FF"/>
        <rFont val="Arial"/>
        <family val="2"/>
      </rPr>
      <t xml:space="preserve">N </t>
    </r>
    <r>
      <rPr>
        <b/>
        <sz val="10"/>
        <rFont val="Arial"/>
        <family val="2"/>
      </rPr>
      <t>1227</t>
    </r>
    <r>
      <rPr>
        <sz val="11"/>
        <color theme="1"/>
        <rFont val="Calibri"/>
        <family val="2"/>
        <scheme val="minor"/>
      </rPr>
      <t/>
    </r>
  </si>
  <si>
    <r>
      <rPr>
        <b/>
        <sz val="10"/>
        <color rgb="FF0000FF"/>
        <rFont val="Arial"/>
        <family val="2"/>
      </rPr>
      <t xml:space="preserve">N </t>
    </r>
    <r>
      <rPr>
        <b/>
        <sz val="10"/>
        <rFont val="Arial"/>
        <family val="2"/>
      </rPr>
      <t>1231</t>
    </r>
    <r>
      <rPr>
        <sz val="11"/>
        <color theme="1"/>
        <rFont val="Calibri"/>
        <family val="2"/>
        <scheme val="minor"/>
      </rPr>
      <t/>
    </r>
  </si>
  <si>
    <r>
      <rPr>
        <b/>
        <sz val="10"/>
        <color rgb="FF0000FF"/>
        <rFont val="Arial"/>
        <family val="2"/>
      </rPr>
      <t xml:space="preserve">N </t>
    </r>
    <r>
      <rPr>
        <b/>
        <sz val="10"/>
        <rFont val="Arial"/>
        <family val="2"/>
      </rPr>
      <t>1234</t>
    </r>
    <r>
      <rPr>
        <sz val="11"/>
        <color theme="1"/>
        <rFont val="Calibri"/>
        <family val="2"/>
        <scheme val="minor"/>
      </rPr>
      <t/>
    </r>
  </si>
  <si>
    <r>
      <rPr>
        <b/>
        <sz val="10"/>
        <color rgb="FF0000FF"/>
        <rFont val="Arial"/>
        <family val="2"/>
      </rPr>
      <t xml:space="preserve">N </t>
    </r>
    <r>
      <rPr>
        <b/>
        <sz val="10"/>
        <rFont val="Arial"/>
        <family val="2"/>
      </rPr>
      <t>1240</t>
    </r>
    <r>
      <rPr>
        <sz val="11"/>
        <color theme="1"/>
        <rFont val="Calibri"/>
        <family val="2"/>
        <scheme val="minor"/>
      </rPr>
      <t/>
    </r>
  </si>
  <si>
    <r>
      <rPr>
        <b/>
        <sz val="10"/>
        <color rgb="FF0000FF"/>
        <rFont val="Arial"/>
        <family val="2"/>
      </rPr>
      <t xml:space="preserve">N </t>
    </r>
    <r>
      <rPr>
        <b/>
        <sz val="10"/>
        <rFont val="Arial"/>
        <family val="2"/>
      </rPr>
      <t>1248</t>
    </r>
    <r>
      <rPr>
        <sz val="11"/>
        <color theme="1"/>
        <rFont val="Calibri"/>
        <family val="2"/>
        <scheme val="minor"/>
      </rPr>
      <t/>
    </r>
  </si>
  <si>
    <t>Charge only for Missing Networks = 
Public Transport 4% (inside Coastal PIA) 
&amp; Stormwater 100%</t>
  </si>
  <si>
    <t>$64,296
IA Stormwater 
@ Mar-11</t>
  </si>
  <si>
    <t>$4,176
Mar-14
IA Missing
Public Transport</t>
  </si>
  <si>
    <t xml:space="preserve">$71,078
IA Stormwater 
@ June 2016
See AICN Paid sheet
</t>
  </si>
  <si>
    <t>August 2016 Total =</t>
  </si>
  <si>
    <t>IA #11 DoV 3 June 2016</t>
  </si>
  <si>
    <r>
      <t xml:space="preserve">132005.699
</t>
    </r>
    <r>
      <rPr>
        <sz val="10"/>
        <color rgb="FF0000FF"/>
        <rFont val="Arial"/>
        <family val="2"/>
      </rPr>
      <t>132005.699.08</t>
    </r>
  </si>
  <si>
    <t>PO Box 1923 Noosa Heads, QLD 4567</t>
  </si>
  <si>
    <t>10 Serenity Cl, NOOSA HEADS</t>
  </si>
  <si>
    <t>Extension to relevant period &amp; applies to missing Public transport &amp; Stormwater networks</t>
  </si>
  <si>
    <t xml:space="preserve">Stage 2 = “Emerald” building 14 Units
</t>
  </si>
  <si>
    <t>Nil Stage 1 completed previously</t>
  </si>
  <si>
    <t>AICS
July 2016</t>
  </si>
  <si>
    <t>Jul-2014
CPI =
(Mar-2014)</t>
  </si>
  <si>
    <t>Jun-2012
Staged Payment applied interest</t>
  </si>
  <si>
    <r>
      <t xml:space="preserve">$74,448
IA Stormwater
@ Mar 2011
</t>
    </r>
    <r>
      <rPr>
        <sz val="8"/>
        <color rgb="FFFF0000"/>
        <rFont val="Arial"/>
        <family val="2"/>
      </rPr>
      <t xml:space="preserve">SCRC BnB LAPSED on 30/06/2015 so nil reduction for Stormwater IA
</t>
    </r>
    <r>
      <rPr>
        <sz val="8"/>
        <color rgb="FF0000FF"/>
        <rFont val="Arial"/>
        <family val="2"/>
      </rPr>
      <t>refer 2) AICN</t>
    </r>
  </si>
  <si>
    <r>
      <t xml:space="preserve">$82,301
IA Stormwater
@ June 2016
</t>
    </r>
    <r>
      <rPr>
        <sz val="8"/>
        <color rgb="FFFF0000"/>
        <rFont val="Arial"/>
        <family val="2"/>
      </rPr>
      <t xml:space="preserve">
</t>
    </r>
    <r>
      <rPr>
        <sz val="8"/>
        <color rgb="FF0000FF"/>
        <rFont val="Arial"/>
        <family val="2"/>
      </rPr>
      <t>refer 2) AICN</t>
    </r>
  </si>
  <si>
    <t>IA #22a</t>
  </si>
  <si>
    <t xml:space="preserve">Mar-2011
</t>
  </si>
  <si>
    <r>
      <t xml:space="preserve">23686 DA
</t>
    </r>
    <r>
      <rPr>
        <sz val="10"/>
        <color rgb="FF0000FF"/>
        <rFont val="Arial"/>
        <family val="2"/>
      </rPr>
      <t>152004.240011</t>
    </r>
  </si>
  <si>
    <t>31 SP 156204,        73 RP 71151 &amp;    
83 SP 71151</t>
  </si>
  <si>
    <t>Extension to relevant period &amp; applies to missing Stormwater networks</t>
  </si>
  <si>
    <t>Into 48 Lots (residential) + 2 Lots (park)</t>
  </si>
  <si>
    <t xml:space="preserve">Into 48 Lots (residential) + 2 Lots (park)
</t>
  </si>
  <si>
    <t>AICS 
July 2016</t>
  </si>
  <si>
    <r>
      <rPr>
        <strike/>
        <sz val="10"/>
        <rFont val="Arial"/>
        <family val="2"/>
      </rPr>
      <t>2/06/2014</t>
    </r>
    <r>
      <rPr>
        <sz val="10"/>
        <rFont val="Arial"/>
        <family val="2"/>
      </rPr>
      <t xml:space="preserve">
</t>
    </r>
    <r>
      <rPr>
        <sz val="10"/>
        <color rgb="FF0000FF"/>
        <rFont val="Arial"/>
        <family val="2"/>
      </rPr>
      <t>11/07/2014
Negotiated</t>
    </r>
  </si>
  <si>
    <t xml:space="preserve">Replacement for 132007.1259 Stage 1
Negotiated AICN Rev 1 to include offset for Bus Stop trunk infrastructure per condition 42c) of development permit.
 </t>
  </si>
  <si>
    <t>Building Suncoast Green</t>
  </si>
  <si>
    <t>6 Lorraine Avenue</t>
  </si>
  <si>
    <t>Lot 11 SP 216079</t>
  </si>
  <si>
    <t>25 Venture Drive 
NOOSAVILLE</t>
  </si>
  <si>
    <t>Industrial business type 2 – production, alteration etc 815m² gfa
1433m² hard pavement and roof. (241m² of landscaping)</t>
  </si>
  <si>
    <t>[vacant land 1 x vacant Non-Res lot
Lot reconfiguration 152007.1626.3 paid contributions for a Detached House Lot but only for Transport &amp; Parks networks (NOT stormwater) = equivalent to 0.9 x Res or Non-Res lot</t>
  </si>
  <si>
    <t>MCU16/0012</t>
  </si>
  <si>
    <t>Creekgold Pty Ltd TTE</t>
  </si>
  <si>
    <t>C/- Saunders Havill Group Pty Ltd
9 Thompson Street
BOWEN HILLS QLD  4006</t>
  </si>
  <si>
    <t>Lot 14 RP 845961</t>
  </si>
  <si>
    <t>Industrial Business Type 1 &amp; 2
1,807 m2 gfa
2,901 m2 impervious area</t>
  </si>
  <si>
    <t>Retail Business Type 2 - Shop
1,272 m2 gfa
2,656 m2 impervious area</t>
  </si>
  <si>
    <r>
      <t xml:space="preserve">51988.63.02 (Change DNA108)
</t>
    </r>
    <r>
      <rPr>
        <b/>
        <sz val="10"/>
        <rFont val="Arial"/>
        <family val="2"/>
      </rPr>
      <t>STAGE 1</t>
    </r>
  </si>
  <si>
    <t xml:space="preserve">Replaces earlier approval 51988.63.01 &amp; ICN.N1114 </t>
  </si>
  <si>
    <t>N/A - charge calculated on increase only</t>
  </si>
  <si>
    <r>
      <t xml:space="preserve">Entertainment and Dining Business Type 2 – Recreation, Amusement &amp; Fitness (Gymnastic club) 
</t>
    </r>
    <r>
      <rPr>
        <b/>
        <sz val="10"/>
        <rFont val="Arial"/>
        <family val="2"/>
      </rPr>
      <t>STAGE 2</t>
    </r>
    <r>
      <rPr>
        <sz val="10"/>
        <rFont val="Arial"/>
        <family val="2"/>
      </rPr>
      <t xml:space="preserve"> = Additional 
202m² GFA Court area + 
191m2 GFA Non-court area
202m2 Impervious area
</t>
    </r>
  </si>
  <si>
    <r>
      <t xml:space="preserve">Entertainment and Dining Business Type 2 – Recreation, Amusement &amp; Fitness (Gymnastic club) 
</t>
    </r>
    <r>
      <rPr>
        <b/>
        <sz val="10"/>
        <rFont val="Arial"/>
        <family val="2"/>
      </rPr>
      <t xml:space="preserve">STAGE 1 </t>
    </r>
    <r>
      <rPr>
        <sz val="10"/>
        <rFont val="Arial"/>
        <family val="2"/>
      </rPr>
      <t xml:space="preserve">= Additional
505m² GFA Court area +
505m2 Impervious area
</t>
    </r>
  </si>
  <si>
    <t xml:space="preserve">REPLACED BY ICN.N1140 &amp; 1141 Re: 51988.63.02 </t>
  </si>
  <si>
    <r>
      <t xml:space="preserve">MCU16/0018
</t>
    </r>
    <r>
      <rPr>
        <sz val="10"/>
        <color rgb="FF0000FF"/>
        <rFont val="Arial"/>
        <family val="2"/>
      </rPr>
      <t>(PC16/0578)</t>
    </r>
  </si>
  <si>
    <t>Industrial business type 2 – production, alteration etc 743m² gfa
1394m² hard pavement and roof. (256m² of landscaping)</t>
  </si>
  <si>
    <t>Use Exempt from Parks charge
&amp; balance
100% Rebate for Community Organisation</t>
  </si>
  <si>
    <t>6 Lorraine Avenue
MARCOOLA QLD 4564</t>
  </si>
  <si>
    <t>Lot 15 SP 216079</t>
  </si>
  <si>
    <t>24 Venture Drive
NOOSAVILLE QLD 4566</t>
  </si>
  <si>
    <r>
      <t xml:space="preserve">195
</t>
    </r>
    <r>
      <rPr>
        <b/>
        <sz val="10"/>
        <color rgb="FFFF0000"/>
        <rFont val="Arial"/>
        <family val="2"/>
      </rPr>
      <t xml:space="preserve"> Completed &amp; Use commenced 
Refer PC12/3096 final inspection 12/12/2013
Letter issued 26/08/2016</t>
    </r>
  </si>
  <si>
    <t>Lot 7 RP 82318</t>
  </si>
  <si>
    <t>12 Opal St COOROY  QLD  4563</t>
  </si>
  <si>
    <t>Stage 1 = additional 2 x 2 bed units</t>
  </si>
  <si>
    <t>Stage 2 = 2 x 2 bed units in lieu of existing dwelling house</t>
  </si>
  <si>
    <t>detached house 1 x lot &amp; dwelling house</t>
  </si>
  <si>
    <t>PJ McCarthy</t>
  </si>
  <si>
    <r>
      <t xml:space="preserve">MCU16/0043
</t>
    </r>
    <r>
      <rPr>
        <b/>
        <sz val="10"/>
        <color rgb="FF0000FF"/>
        <rFont val="Arial"/>
        <family val="2"/>
      </rPr>
      <t>STAGE 1</t>
    </r>
  </si>
  <si>
    <r>
      <t xml:space="preserve">MCU16/0043
</t>
    </r>
    <r>
      <rPr>
        <b/>
        <sz val="10"/>
        <color rgb="FF0000FF"/>
        <rFont val="Arial"/>
        <family val="2"/>
      </rPr>
      <t>STAGE 2</t>
    </r>
    <r>
      <rPr>
        <sz val="10"/>
        <color theme="1"/>
        <rFont val="Arial"/>
        <family val="2"/>
      </rPr>
      <t/>
    </r>
  </si>
  <si>
    <t>Jun-16
IA Stormwater @June 2016</t>
  </si>
  <si>
    <r>
      <rPr>
        <strike/>
        <sz val="10"/>
        <rFont val="Arial"/>
        <family val="2"/>
      </rPr>
      <t>22/07/2016</t>
    </r>
    <r>
      <rPr>
        <sz val="10"/>
        <rFont val="Arial"/>
        <family val="2"/>
      </rPr>
      <t xml:space="preserve">
</t>
    </r>
    <r>
      <rPr>
        <sz val="10"/>
        <color rgb="FF0000FF"/>
        <rFont val="Arial"/>
        <family val="2"/>
      </rPr>
      <t>29/08/2016</t>
    </r>
  </si>
  <si>
    <r>
      <t xml:space="preserve">MCU16/0038
</t>
    </r>
    <r>
      <rPr>
        <sz val="10"/>
        <color rgb="FF0000FF"/>
        <rFont val="Arial"/>
        <family val="2"/>
      </rPr>
      <t>Negotiated Decision</t>
    </r>
  </si>
  <si>
    <r>
      <t xml:space="preserve">Industrial business - Type 1&amp;2 = </t>
    </r>
    <r>
      <rPr>
        <strike/>
        <sz val="10"/>
        <rFont val="Arial"/>
        <family val="2"/>
      </rPr>
      <t xml:space="preserve">1440m² </t>
    </r>
    <r>
      <rPr>
        <sz val="10"/>
        <color rgb="FF0000FF"/>
        <rFont val="Arial"/>
        <family val="2"/>
      </rPr>
      <t>Negotiated Changed to 1,596m2</t>
    </r>
    <r>
      <rPr>
        <sz val="10"/>
        <rFont val="Arial"/>
        <family val="2"/>
      </rPr>
      <t xml:space="preserve">
And 
Retail Showroom type 4 – showroom = </t>
    </r>
    <r>
      <rPr>
        <strike/>
        <sz val="10"/>
        <rFont val="Arial"/>
        <family val="2"/>
      </rPr>
      <t>800m²</t>
    </r>
    <r>
      <rPr>
        <sz val="10"/>
        <rFont val="Arial"/>
        <family val="2"/>
      </rPr>
      <t xml:space="preserve"> </t>
    </r>
    <r>
      <rPr>
        <sz val="10"/>
        <color rgb="FF0000FF"/>
        <rFont val="Arial"/>
        <family val="2"/>
      </rPr>
      <t>Negotiated Changed to 644m2</t>
    </r>
    <r>
      <rPr>
        <sz val="10"/>
        <rFont val="Arial"/>
        <family val="2"/>
      </rPr>
      <t xml:space="preserve">
Impervious area = No change to that approved MCU14/0102.02</t>
    </r>
  </si>
  <si>
    <t>IA Carparking Contribution in Lieu
Staged Payment Agreement 30/08/2016</t>
  </si>
  <si>
    <r>
      <t xml:space="preserve">Paid
</t>
    </r>
    <r>
      <rPr>
        <b/>
        <sz val="10"/>
        <color rgb="FFFF0000"/>
        <rFont val="Arial"/>
        <family val="2"/>
      </rPr>
      <t>Applicant incorrectly Excluded Indexation to   CPI Jun-2016</t>
    </r>
  </si>
  <si>
    <t>Jun-2016
for 
remaining indexation</t>
  </si>
  <si>
    <r>
      <rPr>
        <b/>
        <sz val="10"/>
        <color rgb="FF0000FF"/>
        <rFont val="Arial"/>
        <family val="2"/>
      </rPr>
      <t xml:space="preserve">N </t>
    </r>
    <r>
      <rPr>
        <b/>
        <sz val="10"/>
        <rFont val="Arial"/>
        <family val="2"/>
      </rPr>
      <t xml:space="preserve">1136
</t>
    </r>
    <r>
      <rPr>
        <b/>
        <sz val="10"/>
        <color rgb="FFFF0000"/>
        <rFont val="Arial"/>
        <family val="2"/>
      </rPr>
      <t>Applicant incorrectly Excluded Indexation to CPI Jun-2016 which remains payable</t>
    </r>
  </si>
  <si>
    <t>September 2016
Total =</t>
  </si>
  <si>
    <r>
      <t xml:space="preserve">Bld D on Lot 4
</t>
    </r>
    <r>
      <rPr>
        <sz val="8"/>
        <color rgb="FFFF0000"/>
        <rFont val="Arial"/>
        <family val="2"/>
      </rPr>
      <t xml:space="preserve">
PC16/0305 issued 14/04/2016
</t>
    </r>
    <r>
      <rPr>
        <b/>
        <sz val="9"/>
        <color rgb="FFFF0000"/>
        <rFont val="Arial"/>
        <family val="2"/>
      </rPr>
      <t>USE COMMENCED 
Letter ISSUED 1/09/2016</t>
    </r>
  </si>
  <si>
    <t>Mr P Travis &amp; Ms GF Travis</t>
  </si>
  <si>
    <r>
      <rPr>
        <b/>
        <sz val="10"/>
        <color rgb="FF0000FF"/>
        <rFont val="Arial"/>
        <family val="2"/>
      </rPr>
      <t xml:space="preserve">N </t>
    </r>
    <r>
      <rPr>
        <b/>
        <sz val="10"/>
        <rFont val="Arial"/>
        <family val="2"/>
      </rPr>
      <t xml:space="preserve">1136
</t>
    </r>
    <r>
      <rPr>
        <b/>
        <sz val="10"/>
        <color rgb="FFFF0000"/>
        <rFont val="Arial"/>
        <family val="2"/>
      </rPr>
      <t xml:space="preserve">
Indexation Balance</t>
    </r>
  </si>
  <si>
    <r>
      <t xml:space="preserve">Indexation Applies as total amount remains below permissible SPRP maximum
</t>
    </r>
    <r>
      <rPr>
        <b/>
        <sz val="10"/>
        <color rgb="FFFF0000"/>
        <rFont val="Arial"/>
        <family val="2"/>
      </rPr>
      <t>Indexation Balance</t>
    </r>
  </si>
  <si>
    <r>
      <t xml:space="preserve">Retirement &amp; Special Needs (Essential Services) - 4580m2 gfa </t>
    </r>
    <r>
      <rPr>
        <sz val="10"/>
        <color rgb="FF0000FF"/>
        <rFont val="Arial"/>
        <family val="2"/>
      </rPr>
      <t>(original existing)</t>
    </r>
    <r>
      <rPr>
        <sz val="10"/>
        <rFont val="Arial"/>
        <family val="2"/>
      </rPr>
      <t xml:space="preserve">
Impervious Area (estimated </t>
    </r>
    <r>
      <rPr>
        <strike/>
        <sz val="10"/>
        <rFont val="Arial"/>
        <family val="2"/>
      </rPr>
      <t>7850</t>
    </r>
    <r>
      <rPr>
        <sz val="10"/>
        <rFont val="Arial"/>
        <family val="2"/>
      </rPr>
      <t xml:space="preserve">m2 </t>
    </r>
    <r>
      <rPr>
        <sz val="10"/>
        <color rgb="FF0000FF"/>
        <rFont val="Arial"/>
        <family val="2"/>
      </rPr>
      <t>was previous stage 1 but should have used original existing 7,600m2</t>
    </r>
    <r>
      <rPr>
        <sz val="10"/>
        <rFont val="Arial"/>
        <family val="2"/>
      </rPr>
      <t>)</t>
    </r>
  </si>
  <si>
    <r>
      <t xml:space="preserve">MCU13/0030.01
</t>
    </r>
    <r>
      <rPr>
        <sz val="10"/>
        <color rgb="FF0000FF"/>
        <rFont val="Arial"/>
        <family val="2"/>
      </rPr>
      <t>(Change Replaces original approval stages 1 &amp; 2)</t>
    </r>
  </si>
  <si>
    <r>
      <rPr>
        <b/>
        <sz val="10"/>
        <color rgb="FF0000FF"/>
        <rFont val="Arial"/>
        <family val="2"/>
      </rPr>
      <t xml:space="preserve">N </t>
    </r>
    <r>
      <rPr>
        <b/>
        <sz val="10"/>
        <rFont val="Arial"/>
        <family val="2"/>
      </rPr>
      <t xml:space="preserve">1094
</t>
    </r>
    <r>
      <rPr>
        <b/>
        <sz val="10"/>
        <color rgb="FF0000FF"/>
        <rFont val="Arial"/>
        <family val="2"/>
      </rPr>
      <t xml:space="preserve">Refer Also IA#9
</t>
    </r>
    <r>
      <rPr>
        <sz val="10"/>
        <color rgb="FF0000FF"/>
        <rFont val="Arial"/>
        <family val="2"/>
      </rPr>
      <t>Applicable to both Properties
30 &amp; 90 Beach Rd</t>
    </r>
    <r>
      <rPr>
        <b/>
        <sz val="10"/>
        <color rgb="FF0000FF"/>
        <rFont val="Arial"/>
        <family val="2"/>
      </rPr>
      <t xml:space="preserve"> 
See PSP &amp; ICP (Issued) sheet re 132007.742.05</t>
    </r>
  </si>
  <si>
    <r>
      <rPr>
        <b/>
        <sz val="10"/>
        <color rgb="FF0000FF"/>
        <rFont val="Arial"/>
        <family val="2"/>
      </rPr>
      <t xml:space="preserve">N </t>
    </r>
    <r>
      <rPr>
        <b/>
        <sz val="10"/>
        <rFont val="Arial"/>
        <family val="2"/>
      </rPr>
      <t xml:space="preserve">1106
</t>
    </r>
    <r>
      <rPr>
        <b/>
        <sz val="10"/>
        <color rgb="FFFF0000"/>
        <rFont val="Arial"/>
        <family val="2"/>
      </rPr>
      <t xml:space="preserve">
</t>
    </r>
    <r>
      <rPr>
        <sz val="10"/>
        <color rgb="FFFF0000"/>
        <rFont val="Arial"/>
        <family val="2"/>
      </rPr>
      <t>100% REBATE FOR COMMUNITY ORGANISATION</t>
    </r>
  </si>
  <si>
    <r>
      <rPr>
        <b/>
        <sz val="10"/>
        <color rgb="FF0000FF"/>
        <rFont val="Arial"/>
        <family val="2"/>
      </rPr>
      <t xml:space="preserve">N </t>
    </r>
    <r>
      <rPr>
        <b/>
        <sz val="10"/>
        <rFont val="Arial"/>
        <family val="2"/>
      </rPr>
      <t xml:space="preserve">1072
</t>
    </r>
    <r>
      <rPr>
        <sz val="10"/>
        <color rgb="FF0000FF"/>
        <rFont val="Arial"/>
        <family val="2"/>
      </rPr>
      <t>(REPLACES 
AICNs 406 &amp; 407)</t>
    </r>
    <r>
      <rPr>
        <b/>
        <sz val="10"/>
        <rFont val="Arial"/>
        <family val="2"/>
      </rPr>
      <t xml:space="preserve">
</t>
    </r>
    <r>
      <rPr>
        <sz val="10"/>
        <color rgb="FFFF0000"/>
        <rFont val="Arial"/>
        <family val="2"/>
      </rPr>
      <t>(BA issued  =
PC15/1261)</t>
    </r>
    <r>
      <rPr>
        <sz val="10"/>
        <rFont val="Arial"/>
        <family val="2"/>
      </rPr>
      <t xml:space="preserve">
</t>
    </r>
    <r>
      <rPr>
        <sz val="10"/>
        <color rgb="FFFF0000"/>
        <rFont val="Arial"/>
        <family val="2"/>
      </rPr>
      <t>100% REBATE FOR COMMUNITY ORGANISATION</t>
    </r>
  </si>
  <si>
    <r>
      <rPr>
        <b/>
        <sz val="10"/>
        <color rgb="FF0000FF"/>
        <rFont val="Arial"/>
        <family val="2"/>
      </rPr>
      <t xml:space="preserve">N </t>
    </r>
    <r>
      <rPr>
        <b/>
        <sz val="10"/>
        <rFont val="Arial"/>
        <family val="2"/>
      </rPr>
      <t xml:space="preserve">1020
</t>
    </r>
    <r>
      <rPr>
        <sz val="10"/>
        <color rgb="FFFF0000"/>
        <rFont val="Arial"/>
        <family val="2"/>
      </rPr>
      <t>100% REBATE FOR COMMUNITY ORGANISATION</t>
    </r>
  </si>
  <si>
    <r>
      <t xml:space="preserve">08/1939 (DA)
152008.1939
</t>
    </r>
    <r>
      <rPr>
        <sz val="8"/>
        <color rgb="FF0000FF"/>
        <rFont val="Arial"/>
        <family val="2"/>
      </rPr>
      <t>(Ext:</t>
    </r>
    <r>
      <rPr>
        <b/>
        <sz val="8"/>
        <rFont val="Arial"/>
        <family val="2"/>
      </rPr>
      <t xml:space="preserve"> </t>
    </r>
    <r>
      <rPr>
        <sz val="8"/>
        <color rgb="FF0000FF"/>
        <rFont val="Arial"/>
        <family val="2"/>
      </rPr>
      <t xml:space="preserve">152008.1939.02)
</t>
    </r>
  </si>
  <si>
    <t>LAPSED 11/08/2016</t>
  </si>
  <si>
    <r>
      <rPr>
        <strike/>
        <sz val="8"/>
        <rFont val="Arial"/>
        <family val="2"/>
      </rPr>
      <t>Decision Notice
Negotiated Decision Notice
Ext to Relevant Period
Compiled Decision Notic</t>
    </r>
    <r>
      <rPr>
        <sz val="8"/>
        <rFont val="Arial"/>
        <family val="2"/>
      </rPr>
      <t xml:space="preserve">e
Ext to Relevant Period
</t>
    </r>
  </si>
  <si>
    <r>
      <rPr>
        <strike/>
        <sz val="10"/>
        <rFont val="Arial"/>
        <family val="2"/>
      </rPr>
      <t>26/06/2015</t>
    </r>
    <r>
      <rPr>
        <sz val="10"/>
        <rFont val="Arial"/>
        <family val="2"/>
      </rPr>
      <t xml:space="preserve">
Amended
16/09/2016</t>
    </r>
  </si>
  <si>
    <r>
      <t xml:space="preserve">Multiple Housing Type 3 - Retirement &amp; Special Needs - (Aged Care Facility) - Essential Services - 6088m2 gfa
</t>
    </r>
    <r>
      <rPr>
        <sz val="10"/>
        <color rgb="FF0000FF"/>
        <rFont val="Arial"/>
        <family val="2"/>
      </rPr>
      <t>(Estimated new total Impervious area = 9,486m2)</t>
    </r>
    <r>
      <rPr>
        <sz val="10"/>
        <rFont val="Arial"/>
        <family val="2"/>
      </rPr>
      <t xml:space="preserve">
</t>
    </r>
  </si>
  <si>
    <t>KL Sharpe, WB Sharpe</t>
  </si>
  <si>
    <t>62-66 Rene Street
NOOSAVILLE QLD 4566</t>
  </si>
  <si>
    <t>27 Edward St NOOSAVILLE QLD 4566</t>
  </si>
  <si>
    <t>MCU16/0077</t>
  </si>
  <si>
    <t>1 x detached house &amp; lot</t>
  </si>
  <si>
    <t>Multiple Housing type 2 – duplex 
1 x 3 bedroom
1 x 2 bedroom</t>
  </si>
  <si>
    <r>
      <t xml:space="preserve">51989.128.01 (Change to Existing Approval)
</t>
    </r>
    <r>
      <rPr>
        <sz val="10"/>
        <color rgb="FF0000FF"/>
        <rFont val="Arial"/>
        <family val="2"/>
      </rPr>
      <t>PC16/0254</t>
    </r>
  </si>
  <si>
    <r>
      <t xml:space="preserve">MCU16/0067
</t>
    </r>
    <r>
      <rPr>
        <sz val="10"/>
        <color rgb="FF0000FF"/>
        <rFont val="Arial"/>
        <family val="2"/>
      </rPr>
      <t>PC16/0254</t>
    </r>
  </si>
  <si>
    <t>MCU15/0109</t>
  </si>
  <si>
    <t>Lot 6 SP 178340</t>
  </si>
  <si>
    <t>Lot 5 SP 268656</t>
  </si>
  <si>
    <t>Eenie Creek Holdings Pty Ltd TTE</t>
  </si>
  <si>
    <t>C/- Adams &amp; Sparkes Town Planning &amp; Development
PO Box 1000
BUDDINA QLD 4575</t>
  </si>
  <si>
    <t>Lot 9 SP 232770</t>
  </si>
  <si>
    <t>8 Eenie Creek Road
NOOSAVILLE</t>
  </si>
  <si>
    <t>132006.2785.01</t>
  </si>
  <si>
    <t>Seventh-Day Adventist Church (South Qld Conference) Ltd</t>
  </si>
  <si>
    <t>400 Boundary St
SPRING HILL QLD  4000</t>
  </si>
  <si>
    <t>20 Cooroy Belli Creek Rd COOROY QLD 4563</t>
  </si>
  <si>
    <t>Lot 9 RP 209025</t>
  </si>
  <si>
    <t>50% Rebate Under Council Rebates policy for Community Organisation</t>
  </si>
  <si>
    <t>Education type 2 – school Extension to Prep-building 284m² gfa
Increase of 66m² gfa
No change to impervious area</t>
  </si>
  <si>
    <t>Education type 2 – school Prep-building 218m² gfa</t>
  </si>
  <si>
    <t>C/- Cadcon Surveying &amp; Town Planning
PO Box 5774
MAROOCHYDORE BC  QLD  4558</t>
  </si>
  <si>
    <t>Lot 5 RP 81559</t>
  </si>
  <si>
    <t>30 Elizabeth St NOOSAVILLE  QLD  4566</t>
  </si>
  <si>
    <t>Multiple Housing Type 2 Duplex =  2 x 3 bed units</t>
  </si>
  <si>
    <t>1 x detached house</t>
  </si>
  <si>
    <t>2 x Industrial Building (industrial business type 1 – warehouse) = 708m2 gfa
No increase to impervious area</t>
  </si>
  <si>
    <t>2 x Industrial Building = 631m2 gfa</t>
  </si>
  <si>
    <r>
      <t xml:space="preserve">REC16/0012
</t>
    </r>
    <r>
      <rPr>
        <sz val="10"/>
        <color rgb="FFFF0000"/>
        <rFont val="Arial"/>
        <family val="2"/>
      </rPr>
      <t>issued on 12/08/2016</t>
    </r>
  </si>
  <si>
    <t>Roberts Bros Holdings Pty Ltd Tte</t>
  </si>
  <si>
    <t>Lot 3 RP 202304</t>
  </si>
  <si>
    <t xml:space="preserve">26 Pearsons Rd COOROY  QLD  4563 </t>
  </si>
  <si>
    <t xml:space="preserve">8 residential lots </t>
  </si>
  <si>
    <t>1 x lot and dwelling house</t>
  </si>
  <si>
    <t>REC16/0029</t>
  </si>
  <si>
    <t>Mr R Blatchley</t>
  </si>
  <si>
    <t>C/- Downes Survey Group Pty Ltd
PO Box 39
NAMBOUR QLD 4560</t>
  </si>
  <si>
    <t>Lot 2 RP 840197</t>
  </si>
  <si>
    <t>Stg Payment 1</t>
  </si>
  <si>
    <t>September 2016 Total =</t>
  </si>
  <si>
    <r>
      <t xml:space="preserve">MCU13/0081
</t>
    </r>
    <r>
      <rPr>
        <b/>
        <sz val="10"/>
        <color rgb="FF0000FF"/>
        <rFont val="Arial"/>
        <family val="2"/>
      </rPr>
      <t>Stg Pmt No 2</t>
    </r>
    <r>
      <rPr>
        <b/>
        <sz val="8"/>
        <color rgb="FF0000FF"/>
        <rFont val="Arial"/>
        <family val="2"/>
      </rPr>
      <t xml:space="preserve">
Due 15 Oct 2016</t>
    </r>
  </si>
  <si>
    <r>
      <t xml:space="preserve">MCU13/0081
</t>
    </r>
    <r>
      <rPr>
        <b/>
        <sz val="10"/>
        <color rgb="FF0000FF"/>
        <rFont val="Arial"/>
        <family val="2"/>
      </rPr>
      <t>Stg Pmt No 3</t>
    </r>
    <r>
      <rPr>
        <b/>
        <sz val="8"/>
        <color rgb="FF0000FF"/>
        <rFont val="Arial"/>
        <family val="2"/>
      </rPr>
      <t xml:space="preserve">
Due 15 Nov 2016</t>
    </r>
  </si>
  <si>
    <r>
      <t xml:space="preserve">MCU13/0081
</t>
    </r>
    <r>
      <rPr>
        <b/>
        <sz val="10"/>
        <color rgb="FF0000FF"/>
        <rFont val="Arial"/>
        <family val="2"/>
      </rPr>
      <t>Stg Pmt No 1</t>
    </r>
    <r>
      <rPr>
        <b/>
        <sz val="8"/>
        <color rgb="FF0000FF"/>
        <rFont val="Arial"/>
        <family val="2"/>
      </rPr>
      <t xml:space="preserve">
Due 15 Sep 2016</t>
    </r>
  </si>
  <si>
    <t>ASIC 2016</t>
  </si>
  <si>
    <t>Stage Payment 2</t>
  </si>
  <si>
    <t>October 2016 Total =</t>
  </si>
  <si>
    <t>October 2016
Total =</t>
  </si>
  <si>
    <r>
      <t xml:space="preserve">CPI INDEX
</t>
    </r>
    <r>
      <rPr>
        <b/>
        <sz val="8"/>
        <color rgb="FF0000FF"/>
        <rFont val="Arial"/>
        <family val="2"/>
      </rPr>
      <t xml:space="preserve">Y </t>
    </r>
    <r>
      <rPr>
        <b/>
        <sz val="8"/>
        <rFont val="Arial"/>
        <family val="2"/>
      </rPr>
      <t xml:space="preserve">or </t>
    </r>
    <r>
      <rPr>
        <b/>
        <sz val="8"/>
        <color rgb="FFFF0000"/>
        <rFont val="Arial"/>
        <family val="2"/>
      </rPr>
      <t>N</t>
    </r>
  </si>
  <si>
    <t>Zajo Pty Ltd</t>
  </si>
  <si>
    <t>PO Box 915
COOROY  QLD  4563</t>
  </si>
  <si>
    <t xml:space="preserve">1/50-52 Kauri St COOROY  QLD  4563 </t>
  </si>
  <si>
    <t>Lot 1 &amp; 0 SP 266737</t>
  </si>
  <si>
    <t xml:space="preserve">Entertainment and Dining type 1 – food and beverages 280m2 GFA – comprising (incl 140m2 covered outdoor deck area)
Plus
280m2 impervious area </t>
  </si>
  <si>
    <t>Commercial type 2 - medical 140m2 GFA
Plus 
140m2 impervious area</t>
  </si>
  <si>
    <t>MCU16/0047</t>
  </si>
  <si>
    <t>Mr RC Rogers</t>
  </si>
  <si>
    <t>Lot 1 RP 802167</t>
  </si>
  <si>
    <t>37 Gibson Road Noosaville QLD 4566</t>
  </si>
  <si>
    <t>Refer Infrastructure Charges Notice details</t>
  </si>
  <si>
    <r>
      <rPr>
        <b/>
        <sz val="8"/>
        <color indexed="10"/>
        <rFont val="Arial"/>
        <family val="2"/>
      </rPr>
      <t>Use Commenced &amp; OUTSTANDING</t>
    </r>
    <r>
      <rPr>
        <sz val="8"/>
        <color indexed="10"/>
        <rFont val="Arial"/>
        <family val="2"/>
      </rPr>
      <t xml:space="preserve">
Re-Confirmed MC 04/2014
</t>
    </r>
  </si>
  <si>
    <r>
      <rPr>
        <b/>
        <sz val="10"/>
        <color rgb="FF0000FF"/>
        <rFont val="Arial"/>
        <family val="2"/>
      </rPr>
      <t xml:space="preserve">N </t>
    </r>
    <r>
      <rPr>
        <b/>
        <sz val="10"/>
        <rFont val="Arial"/>
        <family val="2"/>
      </rPr>
      <t xml:space="preserve">1075
</t>
    </r>
    <r>
      <rPr>
        <sz val="9"/>
        <color rgb="FF0000FF"/>
        <rFont val="Arial"/>
        <family val="2"/>
      </rPr>
      <t xml:space="preserve">(also linked to N 1074)
</t>
    </r>
    <r>
      <rPr>
        <b/>
        <sz val="9"/>
        <color rgb="FFFF0000"/>
        <rFont val="Arial"/>
        <family val="2"/>
      </rPr>
      <t>PS16/0041</t>
    </r>
  </si>
  <si>
    <t>Mr DC, Ms AW &amp; Mr GD Cone</t>
  </si>
  <si>
    <t>59 Reserve St
POMONA QLD 4568</t>
  </si>
  <si>
    <t>Lot 2 RP 199724</t>
  </si>
  <si>
    <t>49 Reserve St
POMONA QLD 4568</t>
  </si>
  <si>
    <t>1 x Lot for Detached House</t>
  </si>
  <si>
    <t>4 x Lots for Detached House</t>
  </si>
  <si>
    <t>Previous extension assessed under SCRC $50,000 difference. Current Approval issued contributions for Council networks of: Roads, Pathways &amp; Parks.
Therefore mission networks = Public Transport &amp; Stormwater. 
IC CALC - Opt 2 below MAX + CPI  applies for this missing networks charge</t>
  </si>
  <si>
    <t>152007.928.02
Extn to Relevant Period</t>
  </si>
  <si>
    <t>Refer also to ICN.N 1155 for Missing PT &amp; Stormwater</t>
  </si>
  <si>
    <r>
      <t xml:space="preserve">N/A
</t>
    </r>
    <r>
      <rPr>
        <b/>
        <sz val="8"/>
        <color rgb="FF0000FF"/>
        <rFont val="Arial"/>
        <family val="2"/>
      </rPr>
      <t>refer also to
ICN.N 1155</t>
    </r>
  </si>
  <si>
    <r>
      <t xml:space="preserve">07/0928 (DA)
</t>
    </r>
    <r>
      <rPr>
        <sz val="8"/>
        <color rgb="FF0000FF"/>
        <rFont val="Arial"/>
        <family val="2"/>
      </rPr>
      <t>152007.928.02
Extn to Relevant Period</t>
    </r>
    <r>
      <rPr>
        <b/>
        <sz val="8"/>
        <rFont val="Arial"/>
        <family val="2"/>
      </rPr>
      <t xml:space="preserve">
</t>
    </r>
  </si>
  <si>
    <r>
      <rPr>
        <b/>
        <sz val="10"/>
        <color rgb="FF0000FF"/>
        <rFont val="Arial"/>
        <family val="2"/>
      </rPr>
      <t xml:space="preserve">N </t>
    </r>
    <r>
      <rPr>
        <b/>
        <sz val="10"/>
        <rFont val="Arial"/>
        <family val="2"/>
      </rPr>
      <t xml:space="preserve">1155
</t>
    </r>
    <r>
      <rPr>
        <b/>
        <sz val="10"/>
        <color rgb="FF0000FF"/>
        <rFont val="Arial"/>
        <family val="2"/>
      </rPr>
      <t xml:space="preserve">
PLUS contribution conditions payable under original approval 07/0928</t>
    </r>
  </si>
  <si>
    <t>REC16/0026</t>
  </si>
  <si>
    <t>Ms HJ Jordan</t>
  </si>
  <si>
    <t xml:space="preserve">Lot 4 RP 164589
Lot 72 RP 71151
</t>
  </si>
  <si>
    <t>4 x Residential lots</t>
  </si>
  <si>
    <t>2 x Residential lots</t>
  </si>
  <si>
    <t>PC16/1197</t>
  </si>
  <si>
    <t>Lot 10 RP 810610</t>
  </si>
  <si>
    <t>8 Rainforest Court 
BOREEN POINT</t>
  </si>
  <si>
    <t>Detached House + Relatives Apartment</t>
  </si>
  <si>
    <t>1 x Residential Lot (Vacant)</t>
  </si>
  <si>
    <t>TL &amp; FK Whitmore</t>
  </si>
  <si>
    <t>C/- Stirling Homes Qld
PO Box 177
GYMPIE QLD 4570</t>
  </si>
  <si>
    <t>November 2016 Total =</t>
  </si>
  <si>
    <t>November 2016
Total =</t>
  </si>
  <si>
    <r>
      <t xml:space="preserve">MCU13/0081
</t>
    </r>
    <r>
      <rPr>
        <b/>
        <sz val="10"/>
        <color rgb="FF0000FF"/>
        <rFont val="Arial"/>
        <family val="2"/>
      </rPr>
      <t>FINAL 
Stg Pmt No 4</t>
    </r>
    <r>
      <rPr>
        <b/>
        <sz val="8"/>
        <color rgb="FF0000FF"/>
        <rFont val="Arial"/>
        <family val="2"/>
      </rPr>
      <t xml:space="preserve">
Due 15 Dec 2016</t>
    </r>
  </si>
  <si>
    <r>
      <t xml:space="preserve">Paid
</t>
    </r>
    <r>
      <rPr>
        <i/>
        <sz val="8"/>
        <color rgb="FF0000FF"/>
        <rFont val="Arial"/>
        <family val="2"/>
      </rPr>
      <t>(Pathways &amp; Open Space to obtain Op Works Permit as per Decision Notice)</t>
    </r>
  </si>
  <si>
    <t>17-Jun-15 = Path &amp; OS
16/11/2016 re ICP &amp; IA</t>
  </si>
  <si>
    <t>10-Jun-15 = Path &amp; OS
16/11/2016 re ICP &amp; IA</t>
  </si>
  <si>
    <t>1166952
1187720</t>
  </si>
  <si>
    <t xml:space="preserve">1167149
1187721
</t>
  </si>
  <si>
    <r>
      <t xml:space="preserve">Extn IA for Missing:
- Stormwater 
- Public Transport
</t>
    </r>
    <r>
      <rPr>
        <i/>
        <sz val="8"/>
        <color rgb="FF0000FF"/>
        <rFont val="Arial"/>
        <family val="2"/>
      </rPr>
      <t/>
    </r>
  </si>
  <si>
    <r>
      <t xml:space="preserve">IC 389
</t>
    </r>
    <r>
      <rPr>
        <b/>
        <sz val="8"/>
        <color rgb="FF0000FF"/>
        <rFont val="Arial"/>
        <family val="2"/>
      </rPr>
      <t>+
IA 41   
  23/09/2014 refer AICN Sheet</t>
    </r>
  </si>
  <si>
    <r>
      <t xml:space="preserve">IC 388
</t>
    </r>
    <r>
      <rPr>
        <b/>
        <sz val="8"/>
        <color rgb="FF0000FF"/>
        <rFont val="Arial"/>
        <family val="2"/>
      </rPr>
      <t>+
IA 36   
  9/07/2014
refer AICN Sheet</t>
    </r>
  </si>
  <si>
    <t>05/1514 DA
132005.1514</t>
  </si>
  <si>
    <t>05/1516 DA
132005.1516</t>
  </si>
  <si>
    <t>Christopher Andrew Bailey</t>
  </si>
  <si>
    <t>20 Corkery Cres, Alambie Heights NSW 2100</t>
  </si>
  <si>
    <t>1 res Lot</t>
  </si>
  <si>
    <t>IA relating to Missing Public Transport &amp; Stormwater network.</t>
  </si>
  <si>
    <r>
      <t xml:space="preserve">IA 36   
  9/07/2014 
</t>
    </r>
    <r>
      <rPr>
        <sz val="10"/>
        <color rgb="FF0000FF"/>
        <rFont val="Arial"/>
        <family val="2"/>
      </rPr>
      <t>+
 ICP 388 under original approval</t>
    </r>
  </si>
  <si>
    <r>
      <t xml:space="preserve">IA 41   
  23/09/2014 
</t>
    </r>
    <r>
      <rPr>
        <sz val="10"/>
        <color rgb="FF0000FF"/>
        <rFont val="Arial"/>
        <family val="2"/>
      </rPr>
      <t>+
 ICP 389 under original approval</t>
    </r>
  </si>
  <si>
    <t>AICS 2016</t>
  </si>
  <si>
    <r>
      <t xml:space="preserve">05/0484 (DA)
132005.484
</t>
    </r>
    <r>
      <rPr>
        <sz val="10"/>
        <color rgb="FF0000FF"/>
        <rFont val="Arial"/>
        <family val="2"/>
      </rPr>
      <t>(Ext: 132005.484.02)</t>
    </r>
  </si>
  <si>
    <t xml:space="preserve">existing house </t>
  </si>
  <si>
    <t>Existing House &amp; Cabin Park (2 Cabins)</t>
  </si>
  <si>
    <t xml:space="preserve">IA 45
24/10/2014 </t>
  </si>
  <si>
    <t>IA relating to Missing Public Transport &amp; Stormwater network.
Other networks previously paid under conditions of original approval</t>
  </si>
  <si>
    <t>$1,795 @ Dec-2013
IA Missing Stormwater  
see AICN sheet</t>
  </si>
  <si>
    <t>$1,795 @ Dec-2013
IA Missing Stormwater see AICN sheet</t>
  </si>
  <si>
    <t>$396 @ Dec -2013
IA Missing Public Transport see AICN sheet</t>
  </si>
  <si>
    <t>6 Lorraine Ave
MARCOOLA  QLD  4564</t>
  </si>
  <si>
    <t>Lot 9 SP 216079</t>
  </si>
  <si>
    <t>21 Venture Dr NOOSAVILLE  QLD  4566</t>
  </si>
  <si>
    <t>Vacant land (Industry)
Credits apply per Contribs paid under 152007.1626.3 = 
= -0.9 Non-Res Lot 
plus Pathway Offset balance = -1,047.00 @ 1 July 2014</t>
  </si>
  <si>
    <t>Industrial business type 2 = 655m²
+ Ancillary dwelling unit 28m² = 1 bedroom unit
+ Entertainment and dining business type (restaurant ) = 40m²  plus 20m² of covered outdoor dining
AND 1342m2 Impervious area</t>
  </si>
  <si>
    <t>MCU16/0098</t>
  </si>
  <si>
    <t>Denmac Nominees Pty Ltd</t>
  </si>
  <si>
    <t>C/- Urbis Pty Ltd
Level 7, 123 Albert Street
BRISBANE  QLD  4000</t>
  </si>
  <si>
    <t xml:space="preserve">Lot 2 RP 173876  </t>
  </si>
  <si>
    <t>140-142 Eumundi Noosa Rd Noosaville Qld 4566</t>
  </si>
  <si>
    <t>Retail Business type 2 – shop salon = 100m²
Retail business type 5 – vehicle uses (service station) = 100m²  (bowser canopy not included in this calculation)
Impervious area = 2176m²</t>
  </si>
  <si>
    <t>Entertainment and dining business type 1 – food and beverages = 90m²
Impervious area = 1097m²</t>
  </si>
  <si>
    <r>
      <rPr>
        <b/>
        <sz val="10"/>
        <color rgb="FF0000FF"/>
        <rFont val="Arial"/>
        <family val="2"/>
      </rPr>
      <t xml:space="preserve">N </t>
    </r>
    <r>
      <rPr>
        <b/>
        <sz val="10"/>
        <rFont val="Arial"/>
        <family val="2"/>
      </rPr>
      <t xml:space="preserve">1154
</t>
    </r>
    <r>
      <rPr>
        <sz val="10"/>
        <color rgb="FFFF0000"/>
        <rFont val="Arial"/>
        <family val="2"/>
      </rPr>
      <t>PAYMENT DUE by 21/11/2016
as Use commenced on issued Approval</t>
    </r>
  </si>
  <si>
    <r>
      <t xml:space="preserve">22
</t>
    </r>
    <r>
      <rPr>
        <sz val="10"/>
        <color rgb="FFFF0000"/>
        <rFont val="Arial"/>
        <family val="2"/>
      </rPr>
      <t>PC14/0516</t>
    </r>
    <r>
      <rPr>
        <sz val="10"/>
        <rFont val="Arial"/>
        <family val="2"/>
      </rPr>
      <t xml:space="preserve">
</t>
    </r>
    <r>
      <rPr>
        <sz val="10"/>
        <color rgb="FFFF0000"/>
        <rFont val="Arial"/>
        <family val="2"/>
      </rPr>
      <t>Nearing completion Letter issued 26/10/2016
Due 21 Nov 2016</t>
    </r>
  </si>
  <si>
    <r>
      <rPr>
        <b/>
        <sz val="10"/>
        <color rgb="FF0000FF"/>
        <rFont val="Arial"/>
        <family val="2"/>
      </rPr>
      <t xml:space="preserve">N </t>
    </r>
    <r>
      <rPr>
        <b/>
        <sz val="10"/>
        <rFont val="Arial"/>
        <family val="2"/>
      </rPr>
      <t>1074
IA Fee to Stage Payment</t>
    </r>
  </si>
  <si>
    <t xml:space="preserve">MCU15/0032
</t>
  </si>
  <si>
    <t xml:space="preserve">Colin Brown
</t>
  </si>
  <si>
    <t>Calezac P/L TTE
PO Box 2287
NOOSA HEADS QLD 4567</t>
  </si>
  <si>
    <t>INFRASTRUCTURE AGREEMENT FEE to Stage Payment of ICN into 2 payments to align with Construction</t>
  </si>
  <si>
    <t>N/A 2016 fee schedule</t>
  </si>
  <si>
    <t xml:space="preserve">Heap &amp; Thompson Pty Ltd TTE &amp; Brett Holdings Pty Ltd TTE
</t>
  </si>
  <si>
    <t>Lot 14 SP 216079</t>
  </si>
  <si>
    <t xml:space="preserve">paid </t>
  </si>
  <si>
    <r>
      <t xml:space="preserve">1 x Vacant Industrial Lot
</t>
    </r>
    <r>
      <rPr>
        <sz val="10"/>
        <color rgb="FF0000FF"/>
        <rFont val="Arial"/>
        <family val="2"/>
      </rPr>
      <t>= 0.9 lot per Lot Reconfiguration = 152007.1626.3</t>
    </r>
  </si>
  <si>
    <t>Industrial Business - Type 2 Production, Alteration, Repackaging and Repairing = 324m2 GFA (Vehicle Repair Workshop) 
+
Impervious Area = 1020m2 hardstand (including paved areas and shed roof)</t>
  </si>
  <si>
    <t xml:space="preserve">Linked to REC15/0007 &amp; ICN.N1075 paid on 16/11/2016 &amp; Additional 1 Lot credit has now been applied to reduce ICN.N1074 </t>
  </si>
  <si>
    <t>IA#61 = STAGE 1 = 5 Units</t>
  </si>
  <si>
    <t>IA#61 = STAGE 2 = 5 Units</t>
  </si>
  <si>
    <r>
      <t xml:space="preserve">Multiple Housing Type 4 - Conventional (10 x 2 Bedroom Units)
</t>
    </r>
    <r>
      <rPr>
        <b/>
        <sz val="10"/>
        <color rgb="FF0000FF"/>
        <rFont val="Arial"/>
        <family val="2"/>
      </rPr>
      <t>Stage 1</t>
    </r>
  </si>
  <si>
    <r>
      <rPr>
        <b/>
        <sz val="10"/>
        <color rgb="FF0000FF"/>
        <rFont val="Arial"/>
        <family val="2"/>
      </rPr>
      <t xml:space="preserve">N </t>
    </r>
    <r>
      <rPr>
        <b/>
        <sz val="10"/>
        <rFont val="Arial"/>
        <family val="2"/>
      </rPr>
      <t xml:space="preserve">1074
</t>
    </r>
    <r>
      <rPr>
        <b/>
        <sz val="10"/>
        <color rgb="FF0000FF"/>
        <rFont val="Arial"/>
        <family val="2"/>
      </rPr>
      <t>IA#61 - STAGE 2</t>
    </r>
  </si>
  <si>
    <r>
      <rPr>
        <b/>
        <sz val="10"/>
        <color rgb="FF0000FF"/>
        <rFont val="Arial"/>
        <family val="2"/>
      </rPr>
      <t xml:space="preserve">N </t>
    </r>
    <r>
      <rPr>
        <b/>
        <sz val="10"/>
        <rFont val="Arial"/>
        <family val="2"/>
      </rPr>
      <t xml:space="preserve">1074
</t>
    </r>
    <r>
      <rPr>
        <b/>
        <sz val="10"/>
        <color rgb="FF0000FF"/>
        <rFont val="Arial"/>
        <family val="2"/>
      </rPr>
      <t>IA#61 - STAGE 1</t>
    </r>
  </si>
  <si>
    <t>Paid Stage 6</t>
  </si>
  <si>
    <t xml:space="preserve">IC 882
Handover to Rates 9/03/2015
</t>
  </si>
  <si>
    <r>
      <t>USE COMMENCED &amp; OUTSTANDIN</t>
    </r>
    <r>
      <rPr>
        <b/>
        <sz val="8"/>
        <color rgb="FFFF0000"/>
        <rFont val="Arial"/>
        <family val="2"/>
      </rPr>
      <t>G</t>
    </r>
    <r>
      <rPr>
        <sz val="8"/>
        <color rgb="FFFF0000"/>
        <rFont val="Arial"/>
        <family val="2"/>
      </rPr>
      <t xml:space="preserve">
Advice by MC 2/04/2014
COMPOUND INTEREST COMMENCED 31/05/2014
</t>
    </r>
    <r>
      <rPr>
        <sz val="8"/>
        <color rgb="FF0000FF"/>
        <rFont val="Arial"/>
        <family val="2"/>
      </rPr>
      <t xml:space="preserve">IC handover to RATES - 9/03/2015 
Contrib paid in Settlement of sale of property 
Unitywater to recover W&amp;S outstanding per email 12/03/2015 ECM doc: 19877285 </t>
    </r>
  </si>
  <si>
    <t>Paid 
Pathways &amp; Open Space contributions in Rates Settlement on property sale</t>
  </si>
  <si>
    <t>27/10/2016
Rates TFR to IC on 1/12/2016</t>
  </si>
  <si>
    <t>REC16/0036</t>
  </si>
  <si>
    <t>KL Johnson &amp; MW Johnson</t>
  </si>
  <si>
    <t>Lot 19 RP 844334</t>
  </si>
  <si>
    <t>70 Goodwin Street TEWANTIN</t>
  </si>
  <si>
    <t>2 x res lots</t>
  </si>
  <si>
    <t>1 x res lot</t>
  </si>
  <si>
    <t>MCU16/0097</t>
  </si>
  <si>
    <t>Noosaville Holdings Pty Ltd as TTE for Selkirk Trust</t>
  </si>
  <si>
    <t>C/- Project Urban
PO Box 6380
MAROOCHYDORE BC QLD 4558</t>
  </si>
  <si>
    <t>Lots 19, 20 &amp; 21 SP 162080</t>
  </si>
  <si>
    <t>18 Lionel Donovan Dr + 1 &amp; 3 Selkirk Dr 
NOOSAVILLE</t>
  </si>
  <si>
    <t>Equivalent Park Lot Credit paid under 22701 DA &amp; 21645 DA</t>
  </si>
  <si>
    <t>3 x Vacant Industrial Lots
Credit for Parks for equivalent 3 Lots Paid under 22701 DA &amp; 21645 DA</t>
  </si>
  <si>
    <t>Como Glasshouse P/L Tte - ACN 124616459</t>
  </si>
  <si>
    <t>305 Lake Macdonald Dr LAKE MACDONALD  QLD  4563</t>
  </si>
  <si>
    <t>Lot 1 SP 108094</t>
  </si>
  <si>
    <t>Level 18 Como Office Tower
644 Central Chapel St
SOUTH YARRA  VIC  3141</t>
  </si>
  <si>
    <t>December 2016 Total =</t>
  </si>
  <si>
    <t>December 2016
Total =</t>
  </si>
  <si>
    <t>MCU16/0049</t>
  </si>
  <si>
    <t>B Connan &amp; Mr GA Connan &amp; PR Knight</t>
  </si>
  <si>
    <t>Lot 158 RP 48112</t>
  </si>
  <si>
    <t>Multiple Housing Type 2 - Duplex (2 x 2 BR Units)</t>
  </si>
  <si>
    <t>REC16/0028</t>
  </si>
  <si>
    <t>Prospect Place Pty Ltd QLD TTE</t>
  </si>
  <si>
    <t>42 Pottery St
POMONA</t>
  </si>
  <si>
    <t>Residential Lot x 2</t>
  </si>
  <si>
    <t>Residential Lot x 1</t>
  </si>
  <si>
    <t>132005.355.06</t>
  </si>
  <si>
    <t>Lot 1 SP 228052 &amp; Lot 30 SP 170751</t>
  </si>
  <si>
    <t>115 Eumundi Noosa Road NOOSAVILLE</t>
  </si>
  <si>
    <t>Educational Establishment 
Additional New Admin/Classroom = 271 m2 
Impervious Area = Additional 330 m2</t>
  </si>
  <si>
    <t xml:space="preserve">Infrastructure Charges Rebates For Community Organisations = 50% - (IC Calc - Opt 2 Applies to this approval) </t>
  </si>
  <si>
    <t>Mr M F Laverty</t>
  </si>
  <si>
    <t>Lot 32 C 5605</t>
  </si>
  <si>
    <t>2 x Detached House Lots</t>
  </si>
  <si>
    <r>
      <t xml:space="preserve">Material Change of Use
</t>
    </r>
    <r>
      <rPr>
        <strike/>
        <sz val="10"/>
        <rFont val="Arial"/>
        <family val="2"/>
      </rPr>
      <t>(Extension to Relevant Period)</t>
    </r>
    <r>
      <rPr>
        <sz val="10"/>
        <rFont val="Arial"/>
        <family val="2"/>
      </rPr>
      <t xml:space="preserve">
(Change to an Existing Approval)</t>
    </r>
  </si>
  <si>
    <t>MCU16/0090</t>
  </si>
  <si>
    <t>Sunshine Butterflies Inc.</t>
  </si>
  <si>
    <t>Lot 2 RP 214534</t>
  </si>
  <si>
    <t>Wellbeing Type 2 - Social (Respite) = 1009 m2
Impervious Area = 1084 m2</t>
  </si>
  <si>
    <t>MCU16/0103</t>
  </si>
  <si>
    <t>DA Williams &amp; ML Farrell</t>
  </si>
  <si>
    <t>C/- Natani Design Pty Ltd
79 Shorehaven Dr
NOOSAVILLE QLD 4566</t>
  </si>
  <si>
    <t>Lot 5 RP 79817</t>
  </si>
  <si>
    <t>109 Gympie Terrace
NOOSAVILLE</t>
  </si>
  <si>
    <t>Multiple Housing - Type 2 (Duplex 2 x 3 Bed Units)</t>
  </si>
  <si>
    <t>Decision Notice was issued on 17/11/2016 and we were not notified. 
I issued the ICN.N1169 and dated it 17/11/2016 but dated the Owners/Applicant letter 28/12/2016 explaining what had happened.</t>
  </si>
  <si>
    <t>Paid Stg Pmt No.4</t>
  </si>
  <si>
    <t>Paid Stg Pmt No.5</t>
  </si>
  <si>
    <r>
      <t xml:space="preserve">1 x Detached House Lot
</t>
    </r>
    <r>
      <rPr>
        <strike/>
        <sz val="10"/>
        <color rgb="FFFF0000"/>
        <rFont val="Arial"/>
        <family val="2"/>
      </rPr>
      <t>Impervious Area = 350 m2</t>
    </r>
  </si>
  <si>
    <r>
      <rPr>
        <b/>
        <sz val="10"/>
        <color rgb="FF0000FF"/>
        <rFont val="Arial"/>
        <family val="2"/>
      </rPr>
      <t xml:space="preserve">N </t>
    </r>
    <r>
      <rPr>
        <b/>
        <sz val="10"/>
        <rFont val="Arial"/>
        <family val="2"/>
      </rPr>
      <t xml:space="preserve">1168
</t>
    </r>
    <r>
      <rPr>
        <sz val="10"/>
        <color rgb="FFFF0000"/>
        <rFont val="Arial"/>
        <family val="2"/>
      </rPr>
      <t>100% REBATE COMMUNITY ORGANISATION</t>
    </r>
  </si>
  <si>
    <t xml:space="preserve">38 Elanda St
SUNSHINE BEACH QLD </t>
  </si>
  <si>
    <t>REC16/0037</t>
  </si>
  <si>
    <r>
      <rPr>
        <strike/>
        <sz val="10"/>
        <rFont val="Arial"/>
        <family val="2"/>
      </rPr>
      <t>19/12/2016</t>
    </r>
    <r>
      <rPr>
        <sz val="10"/>
        <rFont val="Arial"/>
        <family val="2"/>
      </rPr>
      <t xml:space="preserve">
4/01/2017</t>
    </r>
  </si>
  <si>
    <r>
      <rPr>
        <strike/>
        <sz val="10"/>
        <rFont val="Arial"/>
        <family val="2"/>
      </rPr>
      <t>14/11/2016</t>
    </r>
    <r>
      <rPr>
        <sz val="10"/>
        <rFont val="Arial"/>
        <family val="2"/>
      </rPr>
      <t xml:space="preserve">
4/01/2017</t>
    </r>
  </si>
  <si>
    <t>rev 1 issued to correct calculation re discount for secondary dwelling &amp; CPI indexation</t>
  </si>
  <si>
    <t>Earthcert Building Approvals</t>
  </si>
  <si>
    <t>PO Box 101
EUMUNDI  QLD  4562</t>
  </si>
  <si>
    <t>Lot 2 SP 183248</t>
  </si>
  <si>
    <t>1 x Detached House + Secondary dwelling</t>
  </si>
  <si>
    <r>
      <rPr>
        <strike/>
        <sz val="10"/>
        <rFont val="Arial"/>
        <family val="2"/>
      </rPr>
      <t>1/11/2017</t>
    </r>
    <r>
      <rPr>
        <sz val="10"/>
        <rFont val="Arial"/>
        <family val="2"/>
      </rPr>
      <t xml:space="preserve">
</t>
    </r>
    <r>
      <rPr>
        <sz val="10"/>
        <color rgb="FF0000FF"/>
        <rFont val="Arial"/>
        <family val="2"/>
      </rPr>
      <t>15/12/2026</t>
    </r>
  </si>
  <si>
    <t>Nil
Existing credit applied in full in Stage 1</t>
  </si>
  <si>
    <r>
      <rPr>
        <b/>
        <u/>
        <sz val="8"/>
        <color rgb="FF0000FF"/>
        <rFont val="Arial"/>
        <family val="2"/>
      </rPr>
      <t>PLUS</t>
    </r>
    <r>
      <rPr>
        <sz val="8"/>
        <color rgb="FF0000FF"/>
        <rFont val="Arial"/>
        <family val="2"/>
      </rPr>
      <t xml:space="preserve">
AICN.N 1090 
for Missing:
- Stormwater 
- Transport</t>
    </r>
  </si>
  <si>
    <r>
      <rPr>
        <strike/>
        <sz val="8"/>
        <rFont val="Arial"/>
        <family val="2"/>
      </rPr>
      <t>30/08/2011</t>
    </r>
    <r>
      <rPr>
        <sz val="8"/>
        <rFont val="Arial"/>
        <family val="2"/>
      </rPr>
      <t xml:space="preserve">
</t>
    </r>
    <r>
      <rPr>
        <strike/>
        <sz val="8"/>
        <color rgb="FF0000FF"/>
        <rFont val="Arial"/>
        <family val="2"/>
      </rPr>
      <t>1 Nov 2015</t>
    </r>
    <r>
      <rPr>
        <sz val="8"/>
        <color rgb="FF0000FF"/>
        <rFont val="Arial"/>
        <family val="2"/>
      </rPr>
      <t xml:space="preserve">
</t>
    </r>
    <r>
      <rPr>
        <strike/>
        <sz val="8"/>
        <color rgb="FF0000FF"/>
        <rFont val="Arial"/>
        <family val="2"/>
      </rPr>
      <t>1 Nov 2017</t>
    </r>
    <r>
      <rPr>
        <sz val="8"/>
        <color rgb="FF0000FF"/>
        <rFont val="Arial"/>
        <family val="2"/>
      </rPr>
      <t xml:space="preserve">
15/12/2026</t>
    </r>
  </si>
  <si>
    <t xml:space="preserve">Condition deleted by Negotiated decision notice 01/11/07
</t>
  </si>
  <si>
    <r>
      <t>vacant - as of right given = 1 dwelling house refer 23118 DA</t>
    </r>
    <r>
      <rPr>
        <sz val="8"/>
        <rFont val="Arial"/>
        <family val="2"/>
      </rPr>
      <t xml:space="preserve">
Detached House Vacant Land 
(credit for 1 Detached House per Lot Reconfig 23118 DA)
</t>
    </r>
  </si>
  <si>
    <r>
      <t>vacant</t>
    </r>
    <r>
      <rPr>
        <sz val="8"/>
        <rFont val="Arial"/>
        <family val="2"/>
      </rPr>
      <t xml:space="preserve">
Detached House Vacant Land 
(credit for 1 Detached House per Lot Reconfig 23118 DA)
</t>
    </r>
  </si>
  <si>
    <r>
      <t xml:space="preserve">N/A
</t>
    </r>
    <r>
      <rPr>
        <b/>
        <sz val="8"/>
        <color rgb="FF0000FF"/>
        <rFont val="Arial"/>
        <family val="2"/>
      </rPr>
      <t xml:space="preserve">IA 9 
20/12/2012
Parcel 2 Land
</t>
    </r>
    <r>
      <rPr>
        <b/>
        <sz val="8"/>
        <color rgb="FFFF0000"/>
        <rFont val="Arial"/>
        <family val="2"/>
      </rPr>
      <t>+
ICN.N1094</t>
    </r>
  </si>
  <si>
    <t>New Family Trust trading as New Drama Studio</t>
  </si>
  <si>
    <t xml:space="preserve">C/- JFP Urban Consultants Pty Ltd
PO Box 6
MAROOCHYDORE QLD 4558
</t>
  </si>
  <si>
    <t>IA 60 
(Vegetation offset)</t>
  </si>
  <si>
    <t>Multiple Housing Type 4 - Conventional</t>
  </si>
  <si>
    <t>1 x Vacant residential lot</t>
  </si>
  <si>
    <t xml:space="preserve">1 x Vacant residential lot                    </t>
  </si>
  <si>
    <r>
      <t xml:space="preserve">Infrastructure Agreement
IA 60
</t>
    </r>
    <r>
      <rPr>
        <sz val="8"/>
        <color rgb="FF0000FF"/>
        <rFont val="Arial"/>
        <family val="2"/>
      </rPr>
      <t/>
    </r>
  </si>
  <si>
    <t>CPI</t>
  </si>
  <si>
    <t>AICS</t>
  </si>
  <si>
    <t>January 2017
Total =</t>
  </si>
  <si>
    <r>
      <rPr>
        <b/>
        <sz val="10"/>
        <color rgb="FF0000FF"/>
        <rFont val="Arial"/>
        <family val="2"/>
      </rPr>
      <t xml:space="preserve">N </t>
    </r>
    <r>
      <rPr>
        <b/>
        <sz val="10"/>
        <rFont val="Arial"/>
        <family val="2"/>
      </rPr>
      <t xml:space="preserve">1073
</t>
    </r>
    <r>
      <rPr>
        <sz val="10"/>
        <rFont val="Arial"/>
        <family val="2"/>
      </rPr>
      <t xml:space="preserve">
</t>
    </r>
    <r>
      <rPr>
        <sz val="10"/>
        <color rgb="FFFF0000"/>
        <rFont val="Arial"/>
        <family val="2"/>
      </rPr>
      <t xml:space="preserve">BA issued PC16/0172
</t>
    </r>
    <r>
      <rPr>
        <b/>
        <sz val="10"/>
        <color rgb="FF0000FF"/>
        <rFont val="Arial"/>
        <family val="2"/>
      </rPr>
      <t xml:space="preserve">PART PAYMENT  </t>
    </r>
  </si>
  <si>
    <t>Part Payment $10,000 from Bond release 11/1/2017
Receipt 1189029</t>
  </si>
  <si>
    <t>Part Payment $10,000  from Bond release 11/1/2017 Receipt 1189029 to Stormwater</t>
  </si>
  <si>
    <t>Peters Super P/L TTE</t>
  </si>
  <si>
    <t>C/- Kidd &amp; Co Designers
PO Box 262
NOOSA HEADS  QLD  4567</t>
  </si>
  <si>
    <t>Lot 41 RP 63879</t>
  </si>
  <si>
    <t>2 x 2 bed units +
1 x 1 bed unit</t>
  </si>
  <si>
    <t>1 x 2 bed unit +
3 x 1 bed units</t>
  </si>
  <si>
    <t>MCU16/0066</t>
  </si>
  <si>
    <t>Hass Holdings Pty Ltd Tte</t>
  </si>
  <si>
    <t>Lot 3 SP 197517</t>
  </si>
  <si>
    <t>Vacant industrial lot
Equiv credit for contribs paid under 2005/21589  only for Roads, Pathways &amp; Parks</t>
  </si>
  <si>
    <t>Retail Business Type 5 – Vehicle Uses = 95m² +
Retail Business Type 2 – Shop &amp; Salon = 100m² +
Entertainment &amp; Dining Business Type 1 - Food &amp; Beverages = 330m² + 75m² Outdoor Dining Area (Total = 405m²)
Impervious Area = 6,463 m²</t>
  </si>
  <si>
    <t>Vacant Non-Res Lot
PAID ICN on Lot reconfig = 1 x Non-Res Lot</t>
  </si>
  <si>
    <t>Raftsea P/L</t>
  </si>
  <si>
    <t>Raftsea P/L
C/- Downes Survey Group Pty Ltd
PO Box 39
NAMBOUR QLD 4560</t>
  </si>
  <si>
    <t>Lot 4 SP 244573</t>
  </si>
  <si>
    <t>85 Rene St Noosaville Qld 4566</t>
  </si>
  <si>
    <t>Lot 4 on SP, 96846 (now Lot 3 on SP264909)</t>
  </si>
  <si>
    <t>IA 62</t>
  </si>
  <si>
    <t>NOOSAVILLE MEDICAL &amp; PROFESSIONAL CENTRE PTY LTD</t>
  </si>
  <si>
    <t>The Outlook, Glen WaverIey in the State of Victoria,</t>
  </si>
  <si>
    <r>
      <t xml:space="preserve">132007.12.6
</t>
    </r>
    <r>
      <rPr>
        <sz val="10"/>
        <color rgb="FF0000FF"/>
        <rFont val="Arial"/>
        <family val="2"/>
      </rPr>
      <t>P&amp;E Appeal 3126/2015</t>
    </r>
  </si>
  <si>
    <t>within 21 days of the entry of judgment</t>
  </si>
  <si>
    <t>96 Goodchap Street, Noosaville</t>
  </si>
  <si>
    <t>Settlement of Appeal
4.1 Carry out the additional works set out in Schedule 2 hereto in accordance with an
Operational Works approval under the Act;
4.2 Pay to the Council the sum of $46,000 towards the upgrading of bus stops and associated roadworks to be carried out by the Council In Goodchap Street, such payment to be made within 21 days of the entry of judgment referred to in clause 3.</t>
  </si>
  <si>
    <r>
      <rPr>
        <b/>
        <sz val="10"/>
        <color rgb="FF0000FF"/>
        <rFont val="Arial"/>
        <family val="2"/>
      </rPr>
      <t xml:space="preserve">N </t>
    </r>
    <r>
      <rPr>
        <b/>
        <sz val="10"/>
        <rFont val="Arial"/>
        <family val="2"/>
      </rPr>
      <t xml:space="preserve">1164
</t>
    </r>
    <r>
      <rPr>
        <sz val="10"/>
        <color rgb="FFFF0000"/>
        <rFont val="Arial"/>
        <family val="2"/>
      </rPr>
      <t>BA issued re: PC16/0985</t>
    </r>
  </si>
  <si>
    <t>PC17/0015</t>
  </si>
  <si>
    <t>When the certificate of classification or final inspection certificate for the building work is given &amp;/or prior to occupancy of the building</t>
  </si>
  <si>
    <t>74 Gympie St
TEWANTIN QLD 4565</t>
  </si>
  <si>
    <t>Lot 1 RP 72796</t>
  </si>
  <si>
    <t>1 detached house</t>
  </si>
  <si>
    <t xml:space="preserve">1 detached house +
1 bedroom fully self contained unit within house </t>
  </si>
  <si>
    <t>PO Box 16
Sherwood, QLD 4075</t>
  </si>
  <si>
    <t xml:space="preserve">Dixon Homes
</t>
  </si>
  <si>
    <t>Building Work
GMA Certification Group permit ref: 20170024</t>
  </si>
  <si>
    <t>Interest to 31/01/2017</t>
  </si>
  <si>
    <r>
      <t xml:space="preserve">MCU12/0117 </t>
    </r>
    <r>
      <rPr>
        <sz val="10"/>
        <color rgb="FF0000FF"/>
        <rFont val="Arial"/>
        <family val="2"/>
      </rPr>
      <t>(Stage 2)</t>
    </r>
  </si>
  <si>
    <r>
      <rPr>
        <b/>
        <sz val="10"/>
        <color rgb="FF0000FF"/>
        <rFont val="Arial"/>
        <family val="2"/>
      </rPr>
      <t xml:space="preserve">N </t>
    </r>
    <r>
      <rPr>
        <b/>
        <sz val="10"/>
        <rFont val="Arial"/>
        <family val="2"/>
      </rPr>
      <t xml:space="preserve">1096
</t>
    </r>
    <r>
      <rPr>
        <b/>
        <sz val="10"/>
        <color rgb="FFFF0000"/>
        <rFont val="Arial"/>
        <family val="2"/>
      </rPr>
      <t xml:space="preserve">
</t>
    </r>
    <r>
      <rPr>
        <sz val="10"/>
        <color rgb="FFFF0000"/>
        <rFont val="Arial"/>
        <family val="2"/>
      </rPr>
      <t>BA issued PC16/0639</t>
    </r>
    <r>
      <rPr>
        <b/>
        <sz val="10"/>
        <color rgb="FFFF0000"/>
        <rFont val="Arial"/>
        <family val="2"/>
      </rPr>
      <t xml:space="preserve">
Final Certificate of Classification 13/12/2016</t>
    </r>
  </si>
  <si>
    <t>February 2017
Total =</t>
  </si>
  <si>
    <r>
      <t xml:space="preserve">
</t>
    </r>
    <r>
      <rPr>
        <b/>
        <sz val="10"/>
        <color rgb="FF0000FF"/>
        <rFont val="Arial"/>
        <family val="2"/>
      </rPr>
      <t>FINAL STAGED PAYMENT No. 5</t>
    </r>
    <r>
      <rPr>
        <sz val="11"/>
        <color theme="1"/>
        <rFont val="Calibri"/>
        <family val="2"/>
        <scheme val="minor"/>
      </rPr>
      <t/>
    </r>
  </si>
  <si>
    <t>MCU16/0151</t>
  </si>
  <si>
    <t>Lot 8 BUP 5986</t>
  </si>
  <si>
    <t>Entertainment and Dining Type 1 – Restaurant  GFA 75 m2 (incl additional mezz)</t>
  </si>
  <si>
    <t>Retail Type 2 – Shop &amp; Salon 54m2 GFA</t>
  </si>
  <si>
    <t>Kevin Anschau Developments Pty Ltd</t>
  </si>
  <si>
    <t>Lot 1 RP 74607</t>
  </si>
  <si>
    <t>Multiple housing• Type 2 Duplex = 2 x 3 bed units</t>
  </si>
  <si>
    <t>PC16/1048</t>
  </si>
  <si>
    <t>Building Work
Earthcert
Decision Notice 160311</t>
  </si>
  <si>
    <t>Mr GP Clareburt &amp; Ms PD Gee</t>
  </si>
  <si>
    <t xml:space="preserve">14 Koala Crescent
LAKE MACDONALD </t>
  </si>
  <si>
    <t>Lot 35 RP 813399</t>
  </si>
  <si>
    <t>14 Koala Crescent
LAKE MACDONALD QLD 4563</t>
  </si>
  <si>
    <t xml:space="preserve">1 x 1 B/R Secondary Dwelling  </t>
  </si>
  <si>
    <t>132008.176.03</t>
  </si>
  <si>
    <t>Lots 10 &amp; 11 SP195871</t>
  </si>
  <si>
    <t>Entertainment &amp; Dining Business - Type 1 - Food &amp; Beverage 999 m2 Use area
(Restaurant 570m2 + Conference
Facility/Function room 429m2)
Entertainment &amp; Dining Business - Type 2 - Recreation, Amusement &amp; Fitness 425m2 Use area (Health Club)
Retail Business - Type 2 - Shop &amp; Salon 50m2 Use area
Visitors Accommodation - Type 4 - Conventional 
90 x Accommodation units (double bedrooms = equiv 180 single beds) +
58 x 1 bedroom units +
51 x 2 bedroom units.</t>
  </si>
  <si>
    <r>
      <t xml:space="preserve">Appeal No 190/2013 
re additional Condition 106. 
Court Judgement approved 6/12/2013
</t>
    </r>
    <r>
      <rPr>
        <b/>
        <sz val="8"/>
        <color rgb="FF0000FF"/>
        <rFont val="Arial"/>
        <family val="2"/>
      </rPr>
      <t xml:space="preserve">+ ICN.N1178 re missing Public Transport &amp; Stormwater networks
</t>
    </r>
    <r>
      <rPr>
        <b/>
        <sz val="8"/>
        <color rgb="FFFF0000"/>
        <rFont val="Arial"/>
        <family val="2"/>
      </rPr>
      <t>NOTE Max permissible SPRP Reached so all future indexation by AICS</t>
    </r>
  </si>
  <si>
    <r>
      <rPr>
        <sz val="8"/>
        <color rgb="FF0000FF"/>
        <rFont val="Arial"/>
        <family val="2"/>
      </rPr>
      <t>Dec-16</t>
    </r>
    <r>
      <rPr>
        <sz val="8"/>
        <rFont val="Arial"/>
        <family val="2"/>
      </rPr>
      <t xml:space="preserve">
</t>
    </r>
    <r>
      <rPr>
        <sz val="8"/>
        <color rgb="FFFF0000"/>
        <rFont val="Arial"/>
        <family val="2"/>
      </rPr>
      <t>Includes remaining credit for previous construction in lieu re 23118 DA</t>
    </r>
  </si>
  <si>
    <r>
      <rPr>
        <sz val="8"/>
        <color rgb="FF0000FF"/>
        <rFont val="Arial"/>
        <family val="2"/>
      </rPr>
      <t>Dec-16</t>
    </r>
    <r>
      <rPr>
        <sz val="8"/>
        <rFont val="Arial"/>
        <family val="2"/>
      </rPr>
      <t xml:space="preserve">
</t>
    </r>
    <r>
      <rPr>
        <sz val="8"/>
        <color rgb="FFFF0000"/>
        <rFont val="Arial"/>
        <family val="2"/>
      </rPr>
      <t>Includes remaining credit for Previously Paid re 23118 DA rezoning deed R66</t>
    </r>
  </si>
  <si>
    <r>
      <t xml:space="preserve">Court Order 
</t>
    </r>
    <r>
      <rPr>
        <strike/>
        <sz val="8"/>
        <rFont val="Arial"/>
        <family val="2"/>
      </rPr>
      <t xml:space="preserve">Decision Notice </t>
    </r>
    <r>
      <rPr>
        <sz val="8"/>
        <rFont val="Arial"/>
        <family val="2"/>
      </rPr>
      <t xml:space="preserve">&amp; </t>
    </r>
    <r>
      <rPr>
        <b/>
        <sz val="8"/>
        <rFont val="Arial"/>
        <family val="2"/>
      </rPr>
      <t xml:space="preserve">INFRASTRUCTURE CHARGE NOTICE
</t>
    </r>
    <r>
      <rPr>
        <sz val="8"/>
        <rFont val="Arial"/>
        <family val="2"/>
      </rPr>
      <t xml:space="preserve">Change to Existing
</t>
    </r>
    <r>
      <rPr>
        <sz val="8"/>
        <color rgb="FF0000FF"/>
        <rFont val="Arial"/>
        <family val="2"/>
      </rPr>
      <t>IA for extension
Extension .03</t>
    </r>
  </si>
  <si>
    <r>
      <rPr>
        <strike/>
        <sz val="8"/>
        <rFont val="Arial"/>
        <family val="2"/>
      </rPr>
      <t>8/04/2010</t>
    </r>
    <r>
      <rPr>
        <sz val="8"/>
        <rFont val="Arial"/>
        <family val="2"/>
      </rPr>
      <t xml:space="preserve">
</t>
    </r>
    <r>
      <rPr>
        <strike/>
        <sz val="8"/>
        <color rgb="FF0000FF"/>
        <rFont val="Arial"/>
        <family val="2"/>
      </rPr>
      <t>6/12/2013</t>
    </r>
    <r>
      <rPr>
        <sz val="8"/>
        <color rgb="FF0000FF"/>
        <rFont val="Arial"/>
        <family val="2"/>
      </rPr>
      <t xml:space="preserve">
7/02/2017</t>
    </r>
  </si>
  <si>
    <r>
      <rPr>
        <sz val="8"/>
        <color rgb="FFFF0000"/>
        <rFont val="Arial"/>
        <family val="2"/>
      </rPr>
      <t>Previous dedication re 23118 DA</t>
    </r>
    <r>
      <rPr>
        <sz val="8"/>
        <rFont val="Arial"/>
        <family val="2"/>
      </rPr>
      <t xml:space="preserve">
</t>
    </r>
    <r>
      <rPr>
        <sz val="8"/>
        <color rgb="FFFF0000"/>
        <rFont val="Arial"/>
        <family val="2"/>
      </rPr>
      <t xml:space="preserve">(incorrectly credited refer IA 56)
</t>
    </r>
    <r>
      <rPr>
        <b/>
        <sz val="8"/>
        <color rgb="FF0000FF"/>
        <rFont val="Arial"/>
        <family val="2"/>
      </rPr>
      <t>Issued</t>
    </r>
    <r>
      <rPr>
        <sz val="8"/>
        <color rgb="FF0000FF"/>
        <rFont val="Arial"/>
        <family val="2"/>
      </rPr>
      <t xml:space="preserve"> 
</t>
    </r>
    <r>
      <rPr>
        <b/>
        <sz val="8"/>
        <color rgb="FF0000FF"/>
        <rFont val="Arial"/>
        <family val="2"/>
      </rPr>
      <t xml:space="preserve">AICN.N1129 on Extn </t>
    </r>
  </si>
  <si>
    <r>
      <rPr>
        <sz val="8"/>
        <color rgb="FFFF0000"/>
        <rFont val="Arial"/>
        <family val="2"/>
      </rPr>
      <t xml:space="preserve">Previous dedication re 23118 DA
(incorrectly credited refer IA 56)
</t>
    </r>
    <r>
      <rPr>
        <b/>
        <sz val="8"/>
        <color rgb="FF0000FF"/>
        <rFont val="Arial"/>
        <family val="2"/>
      </rPr>
      <t xml:space="preserve">Issued </t>
    </r>
    <r>
      <rPr>
        <sz val="8"/>
        <color rgb="FF0000FF"/>
        <rFont val="Arial"/>
        <family val="2"/>
      </rPr>
      <t xml:space="preserve">
</t>
    </r>
    <r>
      <rPr>
        <b/>
        <sz val="8"/>
        <color rgb="FF0000FF"/>
        <rFont val="Arial"/>
        <family val="2"/>
      </rPr>
      <t xml:space="preserve">AICN.N1130 on Extn </t>
    </r>
  </si>
  <si>
    <r>
      <rPr>
        <sz val="8"/>
        <color rgb="FF0000FF"/>
        <rFont val="Arial"/>
        <family val="2"/>
      </rPr>
      <t xml:space="preserve">Dec 2016 
</t>
    </r>
    <r>
      <rPr>
        <sz val="8"/>
        <color rgb="FFFF0000"/>
        <rFont val="Arial"/>
        <family val="2"/>
      </rPr>
      <t xml:space="preserve">
Previous dedication re 23118 DA
(incorrectly credited refer IA 56)</t>
    </r>
  </si>
  <si>
    <r>
      <t xml:space="preserve">IC 259 
(Rev 2)
</t>
    </r>
    <r>
      <rPr>
        <b/>
        <sz val="8"/>
        <color rgb="FF0000FF"/>
        <rFont val="Arial"/>
        <family val="2"/>
      </rPr>
      <t xml:space="preserve">+
IA 25
     11/3/2014
+
AICN.N1129
</t>
    </r>
  </si>
  <si>
    <r>
      <t xml:space="preserve">IC 152
(REV 2)
</t>
    </r>
    <r>
      <rPr>
        <b/>
        <sz val="8"/>
        <color rgb="FF0000FF"/>
        <rFont val="Arial"/>
        <family val="2"/>
      </rPr>
      <t>+ 
IA 24   
  11/3/2014
+
AICN.N1130</t>
    </r>
  </si>
  <si>
    <t>PC17/0106</t>
  </si>
  <si>
    <t>Darryl Homan</t>
  </si>
  <si>
    <t>225B Sunrise Road
DOONAN QLD 4562</t>
  </si>
  <si>
    <t>Lot 86 RP 880342</t>
  </si>
  <si>
    <t>7 Lindrick Court
TEWANTIN</t>
  </si>
  <si>
    <t>PC16/1195</t>
  </si>
  <si>
    <t>Building Work
Pacific BCQ
Approval Number: 20160663</t>
  </si>
  <si>
    <t>Building Work
Neil Baralett
Approval No: 16269</t>
  </si>
  <si>
    <t>Bruce Wray</t>
  </si>
  <si>
    <t>97 Silverwood Drive
COOROIBAH QLD 4565</t>
  </si>
  <si>
    <t>Lot 42 SP 266732</t>
  </si>
  <si>
    <t>Lot 1 SP 216079</t>
  </si>
  <si>
    <t>19 Venture Dr Noosaville Qld 4566</t>
  </si>
  <si>
    <t>Vacant
Credit = 1 detached house lot for Transport &amp; Park networks only = 0.9 non-res lot credit under lot reconfiguration 152007.1626.3</t>
  </si>
  <si>
    <t>Industrial Business Type 2 =   742m²  (incl 692 production, brewery &amp; sales areas + 50m2 Mezz Admin)
+
Entertainment &amp; Dining Business Type 1 =  166m² (inc 46m2 kitchen + 70m2 Tasting area + 50m2 Covered deck area)
+
Ancillary Dwelling Unit 1 x 1 bedroom unit (50m² above Production Cool Room inside Industrial building)
Impervious area = 1,692 m2</t>
  </si>
  <si>
    <r>
      <t xml:space="preserve">MCU16/0017
</t>
    </r>
    <r>
      <rPr>
        <i/>
        <sz val="10"/>
        <color rgb="FF0000FF"/>
        <rFont val="Arial"/>
        <family val="2"/>
      </rPr>
      <t>PC17/0140</t>
    </r>
  </si>
  <si>
    <r>
      <rPr>
        <strike/>
        <sz val="10"/>
        <rFont val="Arial"/>
        <family val="2"/>
      </rPr>
      <t>3/02/2014</t>
    </r>
    <r>
      <rPr>
        <sz val="10"/>
        <rFont val="Arial"/>
        <family val="2"/>
      </rPr>
      <t xml:space="preserve">
</t>
    </r>
    <r>
      <rPr>
        <sz val="10"/>
        <color rgb="FF0000FF"/>
        <rFont val="Arial"/>
        <family val="2"/>
      </rPr>
      <t>28/11/2016</t>
    </r>
  </si>
  <si>
    <r>
      <t xml:space="preserve">MCU13/0215
</t>
    </r>
    <r>
      <rPr>
        <i/>
        <sz val="10"/>
        <color rgb="FF0000FF"/>
        <rFont val="Arial"/>
        <family val="2"/>
      </rPr>
      <t xml:space="preserve">
MCU13/0215.04</t>
    </r>
  </si>
  <si>
    <r>
      <rPr>
        <b/>
        <sz val="10"/>
        <color rgb="FF0000FF"/>
        <rFont val="Arial"/>
        <family val="2"/>
      </rPr>
      <t xml:space="preserve">N </t>
    </r>
    <r>
      <rPr>
        <b/>
        <sz val="10"/>
        <rFont val="Arial"/>
        <family val="2"/>
      </rPr>
      <t xml:space="preserve">1001
</t>
    </r>
    <r>
      <rPr>
        <strike/>
        <sz val="10"/>
        <color rgb="FF0000FF"/>
        <rFont val="Arial"/>
        <family val="2"/>
      </rPr>
      <t xml:space="preserve">
PLUS
Additional ICN N1092 also applies for change
</t>
    </r>
    <r>
      <rPr>
        <sz val="10"/>
        <color rgb="FF0000FF"/>
        <rFont val="Arial"/>
        <family val="2"/>
      </rPr>
      <t>(PC16/0736 issued)</t>
    </r>
  </si>
  <si>
    <t>Compound Interest from 21/11/2016</t>
  </si>
  <si>
    <t>will not lapse due to 
stage 1 completion</t>
  </si>
  <si>
    <t>Will not lapse due to changing existing dev</t>
  </si>
  <si>
    <t>MCU11/0179
Neg decision</t>
  </si>
  <si>
    <t>152004.240011.2 (Change to 23686 DA)</t>
  </si>
  <si>
    <t>C/ TOD Consulting Pty Ltd
PO Box 61
NOOSAVILLE QLD 4566</t>
  </si>
  <si>
    <t>Lot 31 SP 156204 + Lots 83 &amp; 73 RP 71151</t>
  </si>
  <si>
    <t>57A, 73 &amp; 75 Eumundi Noosa Road NOOSAVILLE</t>
  </si>
  <si>
    <t>The Infrastructure Charges Notice relates to the remaining Public Transport network.</t>
  </si>
  <si>
    <t>48 Residential Lots + 2 Park Lots</t>
  </si>
  <si>
    <t>3 Residential Lots</t>
  </si>
  <si>
    <r>
      <rPr>
        <b/>
        <sz val="10"/>
        <color rgb="FF0000FF"/>
        <rFont val="Arial"/>
        <family val="2"/>
      </rPr>
      <t xml:space="preserve">N </t>
    </r>
    <r>
      <rPr>
        <b/>
        <sz val="10"/>
        <rFont val="Arial"/>
        <family val="2"/>
      </rPr>
      <t>1184</t>
    </r>
  </si>
  <si>
    <t>N 1182</t>
  </si>
  <si>
    <t>MCU16/0079</t>
  </si>
  <si>
    <t>Rubicon Design &amp; Construct Pty Ltd</t>
  </si>
  <si>
    <t>C/- Planit Consulting Pty Ltd PO Box 1623
KINGSCLIFF QLD 2487</t>
  </si>
  <si>
    <t>Lot 10 SP 273411</t>
  </si>
  <si>
    <t>5 Memorial Drive
TEWANTIN</t>
  </si>
  <si>
    <t>MCU17/0010</t>
  </si>
  <si>
    <t>Noosa Town Planning</t>
  </si>
  <si>
    <t>Lot 2 RP 201477</t>
  </si>
  <si>
    <t>38 Mcpauls Road
LAKE MACDONALD</t>
  </si>
  <si>
    <t>1/75 Main Avenue
WILSTON QLD 4051</t>
  </si>
  <si>
    <t>Detached House = 1 x dwelling house
+ Ancillary Dwelling Unit = 1 x 2 bedroom dwelling 
Note: No change to animal husbandry use</t>
  </si>
  <si>
    <t>Detached House = 1 x dwelling house
&amp; Animal husbandry use</t>
  </si>
  <si>
    <r>
      <t xml:space="preserve">Entertainment and dining business Type 1 Food &amp; beverages = </t>
    </r>
    <r>
      <rPr>
        <u/>
        <sz val="10"/>
        <rFont val="Arial"/>
        <family val="2"/>
      </rPr>
      <t xml:space="preserve">additional </t>
    </r>
    <r>
      <rPr>
        <sz val="10"/>
        <rFont val="Arial"/>
        <family val="2"/>
      </rPr>
      <t xml:space="preserve">funtion/dining 21 m2 gfa + New Store 90m2 gfa
Entertainment and dining business Type 3 Bar/Gaming = </t>
    </r>
    <r>
      <rPr>
        <u/>
        <sz val="10"/>
        <rFont val="Arial"/>
        <family val="2"/>
      </rPr>
      <t>additional</t>
    </r>
    <r>
      <rPr>
        <sz val="10"/>
        <rFont val="Arial"/>
        <family val="2"/>
      </rPr>
      <t xml:space="preserve"> 573 m2
NO Change to Impervious area</t>
    </r>
  </si>
  <si>
    <t>Buildings to be demolished: 
Equiv Commercial business Type 1 Office = Old House / Radio Station = 198 m2 gfa
Equiv Entertainment and dining business Type 1 Food &amp; beverages =
 • Store 1 building (adjoining house) = 41 m2 gfa 
 • Store 2 building = 38m2 gfa</t>
  </si>
  <si>
    <t>MCU17/0013</t>
  </si>
  <si>
    <t>MR Davies</t>
  </si>
  <si>
    <t>C/- RG Strategic
PO Box 1818
NOOSA HEADS QLD 4567</t>
  </si>
  <si>
    <t>Lot 4 BUP 103415</t>
  </si>
  <si>
    <t>No change to impervious area however reduction for the Non-res stormwater area 31m2 applies since the caretakers charge also includes stormwater component</t>
  </si>
  <si>
    <t>Industrial type 2 = Lot 4 = 81m2</t>
  </si>
  <si>
    <t>Industrial type 2 = Lot 4 = 50m2
+
Caretakers unit = 1 bedroom = 31 m2</t>
  </si>
  <si>
    <t xml:space="preserve">8 Project 4/8 Project Ave NOOSAVILLE  QLD  4566 </t>
  </si>
  <si>
    <t>Moneta Cassa 2 Pty Ltd TTE</t>
  </si>
  <si>
    <t>Lot 5 SP 264847</t>
  </si>
  <si>
    <t xml:space="preserve">42 Hofmann Dr NOOSAVILLE  QLD  4566 </t>
  </si>
  <si>
    <t>1 x  Industrial Lot per ICN paid under REC12/0106</t>
  </si>
  <si>
    <t>Nil (Credit applied in Stage 1)</t>
  </si>
  <si>
    <r>
      <rPr>
        <b/>
        <sz val="10"/>
        <rFont val="Arial"/>
        <family val="2"/>
      </rPr>
      <t>Stage 2 =</t>
    </r>
    <r>
      <rPr>
        <sz val="10"/>
        <rFont val="Arial"/>
        <family val="2"/>
      </rPr>
      <t xml:space="preserve"> 
Building B = 1157 + 1165 = 2322 m2 GFA
Stormwater impervious area = Nil as applied in Stage 1</t>
    </r>
  </si>
  <si>
    <r>
      <rPr>
        <b/>
        <sz val="10"/>
        <rFont val="Arial"/>
        <family val="2"/>
      </rPr>
      <t>Stage 1 =</t>
    </r>
    <r>
      <rPr>
        <sz val="10"/>
        <rFont val="Arial"/>
        <family val="2"/>
      </rPr>
      <t xml:space="preserve"> 
Building A = 1039 + 1017 = 2056 m2 GFA
Plus
Stormwater Impervious Area = 3,449m2</t>
    </r>
  </si>
  <si>
    <r>
      <rPr>
        <b/>
        <sz val="10"/>
        <color rgb="FF0000FF"/>
        <rFont val="Arial"/>
        <family val="2"/>
      </rPr>
      <t xml:space="preserve">N </t>
    </r>
    <r>
      <rPr>
        <b/>
        <sz val="10"/>
        <rFont val="Arial"/>
        <family val="2"/>
      </rPr>
      <t xml:space="preserve">1185
</t>
    </r>
    <r>
      <rPr>
        <sz val="10"/>
        <color rgb="FFFF0000"/>
        <rFont val="Arial"/>
        <family val="2"/>
      </rPr>
      <t>Use commenced &amp; payment due 31/03/2017</t>
    </r>
  </si>
  <si>
    <r>
      <t xml:space="preserve">MCU16/0107
</t>
    </r>
    <r>
      <rPr>
        <i/>
        <sz val="10"/>
        <color rgb="FF0000FF"/>
        <rFont val="Arial"/>
        <family val="2"/>
      </rPr>
      <t>PC16/1147</t>
    </r>
  </si>
  <si>
    <r>
      <t xml:space="preserve">MCU14/0097
</t>
    </r>
    <r>
      <rPr>
        <sz val="10"/>
        <color rgb="FF0000FF"/>
        <rFont val="Arial"/>
        <family val="2"/>
      </rPr>
      <t>(PC16/0317)</t>
    </r>
  </si>
  <si>
    <t>March 2017
Total =</t>
  </si>
  <si>
    <t>PC17/0223</t>
  </si>
  <si>
    <t>Building Work
Pacific BCQ 
Approval Number:
20160629</t>
  </si>
  <si>
    <t>C/- RG Strategic 
PO Box 1818
NOOSA HEADS QLD 4567</t>
  </si>
  <si>
    <t>Lot 63 RP 200339</t>
  </si>
  <si>
    <t xml:space="preserve">MA McFarland 
</t>
  </si>
  <si>
    <t>PC17/0212</t>
  </si>
  <si>
    <t>Building Work
Noosa Building Certifiers
Approval Number:
20170027</t>
  </si>
  <si>
    <t>Matthew Lyle</t>
  </si>
  <si>
    <t>Lot 6 RP 181297</t>
  </si>
  <si>
    <t>27 St Andrews Drive 
TEWANTIN</t>
  </si>
  <si>
    <t>PC17/0119</t>
  </si>
  <si>
    <t>Building Work
Coastal Building Certifications
Approval Number:
32932</t>
  </si>
  <si>
    <t>Seed Custom Homes</t>
  </si>
  <si>
    <t>4 Cosmo Court
ROSEBERRY NT 0832</t>
  </si>
  <si>
    <t>14 Wakefield Street
WOOMBYE QLD 4559</t>
  </si>
  <si>
    <t>Lot 17 RP 860576</t>
  </si>
  <si>
    <t xml:space="preserve">29 Misty Lane
COOROIBAH </t>
  </si>
  <si>
    <t xml:space="preserve">Change to Existing Approval to reduce 1 bedroom </t>
  </si>
  <si>
    <r>
      <t xml:space="preserve">MCU16/0003
</t>
    </r>
    <r>
      <rPr>
        <sz val="10"/>
        <color rgb="FF0000FF"/>
        <rFont val="Arial"/>
        <family val="2"/>
      </rPr>
      <t>MCU16/0003.01</t>
    </r>
    <r>
      <rPr>
        <sz val="10"/>
        <rFont val="Arial"/>
        <family val="2"/>
      </rPr>
      <t xml:space="preserve">
</t>
    </r>
    <r>
      <rPr>
        <sz val="10"/>
        <color rgb="FF0000FF"/>
        <rFont val="Arial"/>
        <family val="2"/>
      </rPr>
      <t>(PC16/0224)</t>
    </r>
    <r>
      <rPr>
        <sz val="10"/>
        <rFont val="Arial"/>
        <family val="2"/>
      </rPr>
      <t xml:space="preserve">
</t>
    </r>
  </si>
  <si>
    <r>
      <rPr>
        <strike/>
        <sz val="10"/>
        <rFont val="Arial"/>
        <family val="2"/>
      </rPr>
      <t>29/01/2016</t>
    </r>
    <r>
      <rPr>
        <sz val="10"/>
        <rFont val="Arial"/>
        <family val="2"/>
      </rPr>
      <t xml:space="preserve">
</t>
    </r>
    <r>
      <rPr>
        <sz val="10"/>
        <color rgb="FF0000FF"/>
        <rFont val="Arial"/>
        <family val="2"/>
      </rPr>
      <t>15/03/2017</t>
    </r>
  </si>
  <si>
    <r>
      <rPr>
        <strike/>
        <sz val="10"/>
        <rFont val="Arial"/>
        <family val="2"/>
      </rPr>
      <t>Duplex 2 x 3 bedroom units</t>
    </r>
    <r>
      <rPr>
        <sz val="10"/>
        <rFont val="Arial"/>
        <family val="2"/>
      </rPr>
      <t xml:space="preserve">
</t>
    </r>
    <r>
      <rPr>
        <sz val="10"/>
        <color rgb="FF0000FF"/>
        <rFont val="Arial"/>
        <family val="2"/>
      </rPr>
      <t>Duplex 1 x 3 bedroom + 1 x 2 bedroom units</t>
    </r>
  </si>
  <si>
    <r>
      <rPr>
        <strike/>
        <sz val="10"/>
        <rFont val="Arial"/>
        <family val="2"/>
      </rPr>
      <t>C/- Martoo Consulting Pty Ltd PO Box 1684
NOOSA HEADS  QLD  4567</t>
    </r>
    <r>
      <rPr>
        <sz val="10"/>
        <rFont val="Arial"/>
        <family val="2"/>
      </rPr>
      <t xml:space="preserve">
</t>
    </r>
    <r>
      <rPr>
        <sz val="10"/>
        <color rgb="FF0000FF"/>
        <rFont val="Arial"/>
        <family val="2"/>
      </rPr>
      <t>75 Poinciana Ave TEWANTIN QLD 4565</t>
    </r>
  </si>
  <si>
    <r>
      <rPr>
        <b/>
        <sz val="10"/>
        <color rgb="FF0000FF"/>
        <rFont val="Arial"/>
        <family val="2"/>
      </rPr>
      <t xml:space="preserve">N </t>
    </r>
    <r>
      <rPr>
        <b/>
        <sz val="10"/>
        <rFont val="Arial"/>
        <family val="2"/>
      </rPr>
      <t xml:space="preserve">1183
</t>
    </r>
    <r>
      <rPr>
        <b/>
        <sz val="10"/>
        <color rgb="FFFF0000"/>
        <rFont val="Arial"/>
        <family val="2"/>
      </rPr>
      <t>Part Payment 1</t>
    </r>
  </si>
  <si>
    <t>Part Payment 1 on 15/03/2017 
Rec:1192451 =$4,000 Transport
Part Payment 2 on 17/03/2017 Rec: 1192519 = Parks</t>
  </si>
  <si>
    <r>
      <rPr>
        <b/>
        <sz val="10"/>
        <color rgb="FF0000FF"/>
        <rFont val="Arial"/>
        <family val="2"/>
      </rPr>
      <t xml:space="preserve">N </t>
    </r>
    <r>
      <rPr>
        <b/>
        <sz val="10"/>
        <rFont val="Arial"/>
        <family val="2"/>
      </rPr>
      <t xml:space="preserve">1183
</t>
    </r>
    <r>
      <rPr>
        <b/>
        <sz val="10"/>
        <color rgb="FFFF0000"/>
        <rFont val="Arial"/>
        <family val="2"/>
      </rPr>
      <t>Part Payment 2</t>
    </r>
  </si>
  <si>
    <r>
      <t xml:space="preserve">Change to an Existing Approval
</t>
    </r>
    <r>
      <rPr>
        <b/>
        <sz val="8"/>
        <color rgb="FFFF0000"/>
        <rFont val="Arial"/>
        <family val="2"/>
      </rPr>
      <t>Deed of Variation # 1 to IA#40</t>
    </r>
  </si>
  <si>
    <r>
      <rPr>
        <strike/>
        <sz val="8"/>
        <rFont val="Arial"/>
        <family val="2"/>
      </rPr>
      <t>51997.2384.03 (12506 TC</t>
    </r>
    <r>
      <rPr>
        <b/>
        <strike/>
        <sz val="8"/>
        <rFont val="Arial"/>
        <family val="2"/>
      </rPr>
      <t>)</t>
    </r>
    <r>
      <rPr>
        <b/>
        <sz val="8"/>
        <rFont val="Arial"/>
        <family val="2"/>
      </rPr>
      <t xml:space="preserve">
132009.1102.03
</t>
    </r>
  </si>
  <si>
    <t xml:space="preserve">
6 SP 120366
</t>
  </si>
  <si>
    <t xml:space="preserve">
6/32 Hastings St
</t>
  </si>
  <si>
    <r>
      <t>N/A</t>
    </r>
    <r>
      <rPr>
        <b/>
        <sz val="8"/>
        <color rgb="FF0000FF"/>
        <rFont val="Arial"/>
        <family val="2"/>
      </rPr>
      <t xml:space="preserve">
IA 40
1/09/2014</t>
    </r>
    <r>
      <rPr>
        <b/>
        <sz val="8"/>
        <rFont val="Arial"/>
        <family val="2"/>
      </rPr>
      <t xml:space="preserve">
</t>
    </r>
    <r>
      <rPr>
        <b/>
        <sz val="8"/>
        <color rgb="FF0000FF"/>
        <rFont val="Arial"/>
        <family val="2"/>
      </rPr>
      <t xml:space="preserve">DOV#1
</t>
    </r>
    <r>
      <rPr>
        <b/>
        <sz val="10"/>
        <color rgb="FFFF0000"/>
        <rFont val="Arial"/>
        <family val="2"/>
      </rPr>
      <t>Stg Pmt # 1</t>
    </r>
  </si>
  <si>
    <r>
      <t>IA Carparking Contribution in Lieu</t>
    </r>
    <r>
      <rPr>
        <sz val="8"/>
        <color rgb="FF0000FF"/>
        <rFont val="Arial"/>
        <family val="2"/>
      </rPr>
      <t xml:space="preserve">
</t>
    </r>
    <r>
      <rPr>
        <sz val="8"/>
        <color rgb="FFFF0000"/>
        <rFont val="Arial"/>
        <family val="2"/>
      </rPr>
      <t>Remaining applicable to  Lot 6</t>
    </r>
    <r>
      <rPr>
        <sz val="8"/>
        <color rgb="FF0000FF"/>
        <rFont val="Arial"/>
        <family val="2"/>
      </rPr>
      <t xml:space="preserve">
</t>
    </r>
    <r>
      <rPr>
        <b/>
        <sz val="10"/>
        <color rgb="FFFF0000"/>
        <rFont val="Arial"/>
        <family val="2"/>
      </rPr>
      <t xml:space="preserve">Staged Payment # 1 </t>
    </r>
    <r>
      <rPr>
        <b/>
        <sz val="8"/>
        <color rgb="FFFF0000"/>
        <rFont val="Arial"/>
        <family val="2"/>
      </rPr>
      <t xml:space="preserve">
Due 15 March 2017</t>
    </r>
  </si>
  <si>
    <r>
      <t>IA Carparking Contribution in Lieu</t>
    </r>
    <r>
      <rPr>
        <sz val="8"/>
        <color rgb="FF0000FF"/>
        <rFont val="Arial"/>
        <family val="2"/>
      </rPr>
      <t xml:space="preserve">
</t>
    </r>
    <r>
      <rPr>
        <sz val="8"/>
        <color rgb="FFFF0000"/>
        <rFont val="Arial"/>
        <family val="2"/>
      </rPr>
      <t>Remaining applicable to  Lot 6</t>
    </r>
    <r>
      <rPr>
        <sz val="8"/>
        <color rgb="FF0000FF"/>
        <rFont val="Arial"/>
        <family val="2"/>
      </rPr>
      <t xml:space="preserve">
</t>
    </r>
    <r>
      <rPr>
        <b/>
        <sz val="10"/>
        <color rgb="FFFF0000"/>
        <rFont val="Arial"/>
        <family val="2"/>
      </rPr>
      <t xml:space="preserve">Staged Payment # 2 </t>
    </r>
    <r>
      <rPr>
        <b/>
        <sz val="8"/>
        <color rgb="FFFF0000"/>
        <rFont val="Arial"/>
        <family val="2"/>
      </rPr>
      <t xml:space="preserve">
Due 15 JUNE 2017</t>
    </r>
  </si>
  <si>
    <r>
      <t>N/A</t>
    </r>
    <r>
      <rPr>
        <b/>
        <sz val="8"/>
        <color rgb="FF0000FF"/>
        <rFont val="Arial"/>
        <family val="2"/>
      </rPr>
      <t xml:space="preserve">
IA 40
1/09/2014</t>
    </r>
    <r>
      <rPr>
        <b/>
        <sz val="8"/>
        <rFont val="Arial"/>
        <family val="2"/>
      </rPr>
      <t xml:space="preserve">
</t>
    </r>
    <r>
      <rPr>
        <b/>
        <sz val="8"/>
        <color rgb="FF0000FF"/>
        <rFont val="Arial"/>
        <family val="2"/>
      </rPr>
      <t xml:space="preserve">DOV#1
</t>
    </r>
    <r>
      <rPr>
        <b/>
        <sz val="10"/>
        <color rgb="FFFF0000"/>
        <rFont val="Arial"/>
        <family val="2"/>
      </rPr>
      <t>Stg Pmt # 2</t>
    </r>
  </si>
  <si>
    <r>
      <t>N/A</t>
    </r>
    <r>
      <rPr>
        <b/>
        <sz val="8"/>
        <color rgb="FF0000FF"/>
        <rFont val="Arial"/>
        <family val="2"/>
      </rPr>
      <t xml:space="preserve">
IA 40
1/09/2014</t>
    </r>
    <r>
      <rPr>
        <b/>
        <sz val="8"/>
        <rFont val="Arial"/>
        <family val="2"/>
      </rPr>
      <t xml:space="preserve">
</t>
    </r>
    <r>
      <rPr>
        <b/>
        <sz val="8"/>
        <color rgb="FF0000FF"/>
        <rFont val="Arial"/>
        <family val="2"/>
      </rPr>
      <t xml:space="preserve">DOV#1
</t>
    </r>
    <r>
      <rPr>
        <b/>
        <sz val="10"/>
        <color rgb="FFFF0000"/>
        <rFont val="Arial"/>
        <family val="2"/>
      </rPr>
      <t>Stg Pmt # 3</t>
    </r>
  </si>
  <si>
    <r>
      <t>N/A</t>
    </r>
    <r>
      <rPr>
        <b/>
        <sz val="8"/>
        <color rgb="FF0000FF"/>
        <rFont val="Arial"/>
        <family val="2"/>
      </rPr>
      <t xml:space="preserve">
IA 40
1/09/2014</t>
    </r>
    <r>
      <rPr>
        <b/>
        <sz val="8"/>
        <rFont val="Arial"/>
        <family val="2"/>
      </rPr>
      <t xml:space="preserve">
</t>
    </r>
    <r>
      <rPr>
        <b/>
        <sz val="8"/>
        <color rgb="FF0000FF"/>
        <rFont val="Arial"/>
        <family val="2"/>
      </rPr>
      <t xml:space="preserve">DOV#1
</t>
    </r>
    <r>
      <rPr>
        <b/>
        <sz val="10"/>
        <color rgb="FFFF0000"/>
        <rFont val="Arial"/>
        <family val="2"/>
      </rPr>
      <t>Stg Pmt # 4</t>
    </r>
  </si>
  <si>
    <r>
      <t>N/A</t>
    </r>
    <r>
      <rPr>
        <b/>
        <sz val="8"/>
        <color rgb="FF0000FF"/>
        <rFont val="Arial"/>
        <family val="2"/>
      </rPr>
      <t xml:space="preserve">
IA 40
1/09/2014</t>
    </r>
    <r>
      <rPr>
        <b/>
        <sz val="8"/>
        <rFont val="Arial"/>
        <family val="2"/>
      </rPr>
      <t xml:space="preserve">
</t>
    </r>
    <r>
      <rPr>
        <b/>
        <sz val="8"/>
        <color rgb="FF0000FF"/>
        <rFont val="Arial"/>
        <family val="2"/>
      </rPr>
      <t xml:space="preserve">DOV#1
</t>
    </r>
    <r>
      <rPr>
        <b/>
        <sz val="10"/>
        <color rgb="FFFF0000"/>
        <rFont val="Arial"/>
        <family val="2"/>
      </rPr>
      <t>Stg Pmt # 5</t>
    </r>
  </si>
  <si>
    <r>
      <t>IA Carparking Contribution in Lieu</t>
    </r>
    <r>
      <rPr>
        <sz val="8"/>
        <color rgb="FF0000FF"/>
        <rFont val="Arial"/>
        <family val="2"/>
      </rPr>
      <t xml:space="preserve">
</t>
    </r>
    <r>
      <rPr>
        <sz val="8"/>
        <color rgb="FFFF0000"/>
        <rFont val="Arial"/>
        <family val="2"/>
      </rPr>
      <t>Remaining applicable to  Lot 6</t>
    </r>
    <r>
      <rPr>
        <sz val="8"/>
        <color rgb="FF0000FF"/>
        <rFont val="Arial"/>
        <family val="2"/>
      </rPr>
      <t xml:space="preserve">
</t>
    </r>
    <r>
      <rPr>
        <b/>
        <sz val="10"/>
        <color rgb="FFFF0000"/>
        <rFont val="Arial"/>
        <family val="2"/>
      </rPr>
      <t>Staged Payment # 5</t>
    </r>
    <r>
      <rPr>
        <b/>
        <sz val="8"/>
        <color rgb="FFFF0000"/>
        <rFont val="Arial"/>
        <family val="2"/>
      </rPr>
      <t xml:space="preserve">
Due 15 OCTOBER 2018</t>
    </r>
  </si>
  <si>
    <r>
      <t>IA Carparking Contribution in Lieu</t>
    </r>
    <r>
      <rPr>
        <sz val="8"/>
        <color rgb="FF0000FF"/>
        <rFont val="Arial"/>
        <family val="2"/>
      </rPr>
      <t xml:space="preserve">
</t>
    </r>
    <r>
      <rPr>
        <sz val="8"/>
        <color rgb="FFFF0000"/>
        <rFont val="Arial"/>
        <family val="2"/>
      </rPr>
      <t>Remaining applicable to  Lot 6</t>
    </r>
    <r>
      <rPr>
        <sz val="8"/>
        <color rgb="FF0000FF"/>
        <rFont val="Arial"/>
        <family val="2"/>
      </rPr>
      <t xml:space="preserve">
</t>
    </r>
    <r>
      <rPr>
        <sz val="10"/>
        <color rgb="FF0000FF"/>
        <rFont val="Arial"/>
        <family val="2"/>
      </rPr>
      <t xml:space="preserve">
</t>
    </r>
    <r>
      <rPr>
        <b/>
        <sz val="10"/>
        <color rgb="FFFF0000"/>
        <rFont val="Arial"/>
        <family val="2"/>
      </rPr>
      <t>Staged Payment # 4</t>
    </r>
    <r>
      <rPr>
        <b/>
        <sz val="8"/>
        <color rgb="FFFF0000"/>
        <rFont val="Arial"/>
        <family val="2"/>
      </rPr>
      <t xml:space="preserve">
DUE 15 MARCH 2018</t>
    </r>
  </si>
  <si>
    <r>
      <t>IA Carparking Contribution in Lieu</t>
    </r>
    <r>
      <rPr>
        <sz val="8"/>
        <color rgb="FF0000FF"/>
        <rFont val="Arial"/>
        <family val="2"/>
      </rPr>
      <t xml:space="preserve">
</t>
    </r>
    <r>
      <rPr>
        <sz val="8"/>
        <color rgb="FFFF0000"/>
        <rFont val="Arial"/>
        <family val="2"/>
      </rPr>
      <t>Remaining applicable to  Lot 6</t>
    </r>
    <r>
      <rPr>
        <sz val="8"/>
        <color rgb="FF0000FF"/>
        <rFont val="Arial"/>
        <family val="2"/>
      </rPr>
      <t xml:space="preserve">
</t>
    </r>
    <r>
      <rPr>
        <b/>
        <sz val="10"/>
        <color rgb="FFFF0000"/>
        <rFont val="Arial"/>
        <family val="2"/>
      </rPr>
      <t>Staged Payment # 3</t>
    </r>
    <r>
      <rPr>
        <b/>
        <sz val="8"/>
        <color rgb="FFFF0000"/>
        <rFont val="Arial"/>
        <family val="2"/>
      </rPr>
      <t xml:space="preserve">
DUE 15 OCTOBER 2017</t>
    </r>
  </si>
  <si>
    <r>
      <t>N/A</t>
    </r>
    <r>
      <rPr>
        <b/>
        <sz val="8"/>
        <color rgb="FF0000FF"/>
        <rFont val="Arial"/>
        <family val="2"/>
      </rPr>
      <t xml:space="preserve">
IA 40
1/09/2014</t>
    </r>
    <r>
      <rPr>
        <b/>
        <sz val="8"/>
        <rFont val="Arial"/>
        <family val="2"/>
      </rPr>
      <t xml:space="preserve">
</t>
    </r>
    <r>
      <rPr>
        <b/>
        <sz val="8"/>
        <color rgb="FF0000FF"/>
        <rFont val="Arial"/>
        <family val="2"/>
      </rPr>
      <t xml:space="preserve">DOV#1
</t>
    </r>
    <r>
      <rPr>
        <b/>
        <sz val="10"/>
        <color rgb="FFFF0000"/>
        <rFont val="Arial"/>
        <family val="2"/>
      </rPr>
      <t>Stg Pmt # 6</t>
    </r>
  </si>
  <si>
    <r>
      <t>IA Carparking Contribution in Lieu</t>
    </r>
    <r>
      <rPr>
        <sz val="8"/>
        <color rgb="FF0000FF"/>
        <rFont val="Arial"/>
        <family val="2"/>
      </rPr>
      <t xml:space="preserve">
</t>
    </r>
    <r>
      <rPr>
        <sz val="8"/>
        <color rgb="FFFF0000"/>
        <rFont val="Arial"/>
        <family val="2"/>
      </rPr>
      <t>Remaining applicable to  Lot 6</t>
    </r>
    <r>
      <rPr>
        <sz val="8"/>
        <color rgb="FF0000FF"/>
        <rFont val="Arial"/>
        <family val="2"/>
      </rPr>
      <t xml:space="preserve">
</t>
    </r>
    <r>
      <rPr>
        <b/>
        <sz val="10"/>
        <color rgb="FFFF0000"/>
        <rFont val="Arial"/>
        <family val="2"/>
      </rPr>
      <t>Staged Payment # 6</t>
    </r>
    <r>
      <rPr>
        <b/>
        <sz val="8"/>
        <color rgb="FFFF0000"/>
        <rFont val="Arial"/>
        <family val="2"/>
      </rPr>
      <t xml:space="preserve">
DUE 15 MARCH 2019</t>
    </r>
  </si>
  <si>
    <t>March 2017 Total =</t>
  </si>
  <si>
    <t>Part Payment 1 to Transport</t>
  </si>
  <si>
    <t>Part Payment 1 to Parks</t>
  </si>
  <si>
    <t>Part Payment 2
to Parks</t>
  </si>
  <si>
    <t>Part Payment 1
to Transport</t>
  </si>
  <si>
    <r>
      <rPr>
        <b/>
        <sz val="10"/>
        <color rgb="FF0000FF"/>
        <rFont val="Arial"/>
        <family val="2"/>
      </rPr>
      <t xml:space="preserve">N </t>
    </r>
    <r>
      <rPr>
        <b/>
        <sz val="10"/>
        <rFont val="Arial"/>
        <family val="2"/>
      </rPr>
      <t xml:space="preserve">1183
</t>
    </r>
    <r>
      <rPr>
        <b/>
        <sz val="10"/>
        <color rgb="FFFF0000"/>
        <rFont val="Arial"/>
        <family val="2"/>
      </rPr>
      <t>Final Part Payment 2</t>
    </r>
  </si>
  <si>
    <t>Final Part Payment #3</t>
  </si>
  <si>
    <t>AL Rossiter &amp; A Rossiter &amp; SW Murphy &amp; SM Sales</t>
  </si>
  <si>
    <t>C/- Noosa Town Planning
1/75 Main Ave
WILSTON  QLD  4051</t>
  </si>
  <si>
    <t>Lot 1 SP 248165</t>
  </si>
  <si>
    <t>Multiple Housing Type 4 - Conventional 
2 x 3 bedroom units +
2 x 2 bedroom units +
2 x 1 bedroom units</t>
  </si>
  <si>
    <t xml:space="preserve">Inline Property Development P/L TTE
</t>
  </si>
  <si>
    <t>Lot 4 SP 159610</t>
  </si>
  <si>
    <t>139 Eumundi Noosa Road
NOOSAVILLE</t>
  </si>
  <si>
    <t>Tenancies 1 &amp; 2 changing to:
Retail business type 6 – hardware = 995 m2 gfa</t>
  </si>
  <si>
    <t>Tenancies 1 &amp; 2 currently approved &amp; charges paid for:
Industrial business type 1 or 2 = 995 m2 gfa</t>
  </si>
  <si>
    <t>REC17/0001</t>
  </si>
  <si>
    <t>Karen Squire</t>
  </si>
  <si>
    <t>Lot 2 RP 122937</t>
  </si>
  <si>
    <t>120 Elm Street
COOROY</t>
  </si>
  <si>
    <t xml:space="preserve"> 3 x Residential Detached House Lots</t>
  </si>
  <si>
    <t xml:space="preserve"> 1 x Existing Residential Lot</t>
  </si>
  <si>
    <t>MCU17/0002</t>
  </si>
  <si>
    <t>Lot 2 RP 69150</t>
  </si>
  <si>
    <t>Duplex = 1 x 3 bedroom &amp; 1 x 2 bedroom</t>
  </si>
  <si>
    <t>1 x Detached Dwelling House</t>
  </si>
  <si>
    <t>PC16/1315</t>
  </si>
  <si>
    <t>Building Work
EarthCert Building Approvals
Approval Number:
160397</t>
  </si>
  <si>
    <t>Ian &amp; Linda McGillivray</t>
  </si>
  <si>
    <t>PO Box 258
COOROY QLD 4563</t>
  </si>
  <si>
    <t>Lot 3 RP 205193</t>
  </si>
  <si>
    <r>
      <t xml:space="preserve">AICN Issued SCRC 1 July 2011 - 31 Dec 2013 
</t>
    </r>
    <r>
      <rPr>
        <b/>
        <sz val="10"/>
        <rFont val="Arial"/>
        <family val="2"/>
      </rPr>
      <t xml:space="preserve">(SPA max permissible charge </t>
    </r>
    <r>
      <rPr>
        <b/>
        <u/>
        <sz val="10"/>
        <color rgb="FF0000FF"/>
        <rFont val="Arial"/>
        <family val="2"/>
      </rPr>
      <t>NOT</t>
    </r>
    <r>
      <rPr>
        <b/>
        <sz val="10"/>
        <rFont val="Arial"/>
        <family val="2"/>
      </rPr>
      <t xml:space="preserve"> required to deduct existing use)</t>
    </r>
    <r>
      <rPr>
        <b/>
        <sz val="12"/>
        <rFont val="Arial"/>
        <family val="2"/>
      </rPr>
      <t xml:space="preserve">
</t>
    </r>
    <r>
      <rPr>
        <b/>
        <i/>
        <sz val="12"/>
        <color rgb="FFFF0000"/>
        <rFont val="Arial"/>
        <family val="2"/>
      </rPr>
      <t xml:space="preserve">(NOTE: CPI Indexation </t>
    </r>
    <r>
      <rPr>
        <b/>
        <i/>
        <u/>
        <sz val="12"/>
        <color rgb="FFFF0000"/>
        <rFont val="Arial"/>
        <family val="2"/>
      </rPr>
      <t>unless</t>
    </r>
    <r>
      <rPr>
        <b/>
        <i/>
        <sz val="12"/>
        <color rgb="FFFF0000"/>
        <rFont val="Arial"/>
        <family val="2"/>
      </rPr>
      <t xml:space="preserve"> noted otherwise)</t>
    </r>
  </si>
  <si>
    <r>
      <t>AICN Issued NSA from 1 January 2014</t>
    </r>
    <r>
      <rPr>
        <b/>
        <i/>
        <sz val="12"/>
        <color rgb="FFFF0000"/>
        <rFont val="Arial"/>
        <family val="2"/>
      </rPr>
      <t xml:space="preserve"> 
</t>
    </r>
    <r>
      <rPr>
        <b/>
        <sz val="10"/>
        <rFont val="Arial"/>
        <family val="2"/>
      </rPr>
      <t xml:space="preserve">(SPA max permissible charge </t>
    </r>
    <r>
      <rPr>
        <b/>
        <u/>
        <sz val="10"/>
        <color rgb="FF0000FF"/>
        <rFont val="Arial"/>
        <family val="2"/>
      </rPr>
      <t>NOT</t>
    </r>
    <r>
      <rPr>
        <b/>
        <sz val="10"/>
        <rFont val="Arial"/>
        <family val="2"/>
      </rPr>
      <t xml:space="preserve"> required to deduct existing use)</t>
    </r>
    <r>
      <rPr>
        <b/>
        <i/>
        <sz val="12"/>
        <color rgb="FFFF0000"/>
        <rFont val="Arial"/>
        <family val="2"/>
      </rPr>
      <t xml:space="preserve">
(NOTE: CPI Indexation </t>
    </r>
    <r>
      <rPr>
        <b/>
        <i/>
        <u/>
        <sz val="12"/>
        <color rgb="FFFF0000"/>
        <rFont val="Arial"/>
        <family val="2"/>
      </rPr>
      <t>unless</t>
    </r>
    <r>
      <rPr>
        <b/>
        <i/>
        <sz val="12"/>
        <color rgb="FFFF0000"/>
        <rFont val="Arial"/>
        <family val="2"/>
      </rPr>
      <t xml:space="preserve"> noted otherwise)</t>
    </r>
  </si>
  <si>
    <r>
      <t xml:space="preserve">ICN Issued per SPA Amendments 4 July 2014 
</t>
    </r>
    <r>
      <rPr>
        <b/>
        <sz val="10"/>
        <rFont val="Arial"/>
        <family val="2"/>
      </rPr>
      <t xml:space="preserve">(SPA max permissible charge </t>
    </r>
    <r>
      <rPr>
        <b/>
        <u/>
        <sz val="10"/>
        <color rgb="FF0000FF"/>
        <rFont val="Arial"/>
        <family val="2"/>
      </rPr>
      <t>REQUIRED</t>
    </r>
    <r>
      <rPr>
        <b/>
        <sz val="10"/>
        <color rgb="FF0000FF"/>
        <rFont val="Arial"/>
        <family val="2"/>
      </rPr>
      <t xml:space="preserve"> </t>
    </r>
    <r>
      <rPr>
        <b/>
        <sz val="10"/>
        <rFont val="Arial"/>
        <family val="2"/>
      </rPr>
      <t>to deduct existing use</t>
    </r>
    <r>
      <rPr>
        <b/>
        <sz val="12"/>
        <rFont val="Arial"/>
        <family val="2"/>
      </rPr>
      <t xml:space="preserve">)
</t>
    </r>
    <r>
      <rPr>
        <b/>
        <i/>
        <sz val="12"/>
        <color rgb="FFFF0000"/>
        <rFont val="Arial"/>
        <family val="2"/>
      </rPr>
      <t xml:space="preserve">(NOTE: </t>
    </r>
    <r>
      <rPr>
        <b/>
        <i/>
        <sz val="12"/>
        <color rgb="FF0000FF"/>
        <rFont val="Arial"/>
        <family val="2"/>
      </rPr>
      <t>AICS July 2014 = 1.0000</t>
    </r>
    <r>
      <rPr>
        <b/>
        <i/>
        <u/>
        <sz val="12"/>
        <color rgb="FFFF0000"/>
        <rFont val="Arial"/>
        <family val="2"/>
      </rPr>
      <t>OR</t>
    </r>
    <r>
      <rPr>
        <b/>
        <i/>
        <sz val="12"/>
        <color rgb="FFFF0000"/>
        <rFont val="Arial"/>
        <family val="2"/>
      </rPr>
      <t xml:space="preserve"> noted otherwise)</t>
    </r>
  </si>
  <si>
    <r>
      <rPr>
        <b/>
        <sz val="10"/>
        <color rgb="FF0000FF"/>
        <rFont val="Arial"/>
        <family val="2"/>
      </rPr>
      <t xml:space="preserve">N </t>
    </r>
    <r>
      <rPr>
        <b/>
        <sz val="10"/>
        <rFont val="Arial"/>
        <family val="2"/>
      </rPr>
      <t xml:space="preserve">1073
</t>
    </r>
    <r>
      <rPr>
        <sz val="10"/>
        <color rgb="FFFF0000"/>
        <rFont val="Arial"/>
        <family val="2"/>
      </rPr>
      <t xml:space="preserve">BA issued PC16/0172
</t>
    </r>
    <r>
      <rPr>
        <b/>
        <sz val="10"/>
        <color rgb="FFFF0000"/>
        <rFont val="Arial"/>
        <family val="2"/>
      </rPr>
      <t>BALANCE OUTSTANDING TRANSFERRED TO RATES on 3/04/2017</t>
    </r>
  </si>
  <si>
    <r>
      <t xml:space="preserve">Part Payment $10,000 from Bond release 11/1/2017 Receipt 1189029 to Stormwater 
(remaining amount adjusted for Stormwater)
</t>
    </r>
    <r>
      <rPr>
        <sz val="10"/>
        <color rgb="FFFF0000"/>
        <rFont val="Arial"/>
        <family val="2"/>
      </rPr>
      <t>COMPOUND INTEREST applies from 21/11/2016 on outstanding balance $66,236 @ AICS 2016. 
Balance outstanding at 31/03/2017 = $68,882</t>
    </r>
    <r>
      <rPr>
        <b/>
        <sz val="10"/>
        <color rgb="FFFF0000"/>
        <rFont val="Arial"/>
        <family val="2"/>
      </rPr>
      <t xml:space="preserve">
</t>
    </r>
    <r>
      <rPr>
        <sz val="10"/>
        <color rgb="FF0000FF"/>
        <rFont val="Arial"/>
        <family val="2"/>
      </rPr>
      <t>Part Payment $18,882 03/04/2017 Receipt 1192934 to Parks &amp; Stormwater</t>
    </r>
    <r>
      <rPr>
        <b/>
        <sz val="10"/>
        <color rgb="FFFF0000"/>
        <rFont val="Arial"/>
        <family val="2"/>
      </rPr>
      <t xml:space="preserve"> 
OUTSTANDING BALANCE $50,000 TO RATES</t>
    </r>
  </si>
  <si>
    <t>Part Payment</t>
  </si>
  <si>
    <r>
      <rPr>
        <b/>
        <sz val="10"/>
        <color rgb="FF0000FF"/>
        <rFont val="Arial"/>
        <family val="2"/>
      </rPr>
      <t xml:space="preserve">N </t>
    </r>
    <r>
      <rPr>
        <b/>
        <sz val="10"/>
        <rFont val="Arial"/>
        <family val="2"/>
      </rPr>
      <t xml:space="preserve">1073
</t>
    </r>
    <r>
      <rPr>
        <sz val="10"/>
        <color rgb="FFFF0000"/>
        <rFont val="Arial"/>
        <family val="2"/>
      </rPr>
      <t xml:space="preserve">BA issued PC16/0172
</t>
    </r>
    <r>
      <rPr>
        <b/>
        <sz val="10"/>
        <color rgb="FFFF0000"/>
        <rFont val="Arial"/>
        <family val="2"/>
      </rPr>
      <t>PART PAYMENT</t>
    </r>
  </si>
  <si>
    <r>
      <t xml:space="preserve">Part Payment $10,000 from Bond release 11/1/2017 Receipt 1189029 to Stormwater
(remaining amount adjusted for Stormwater)
</t>
    </r>
    <r>
      <rPr>
        <sz val="10"/>
        <color rgb="FFFF0000"/>
        <rFont val="Arial"/>
        <family val="2"/>
      </rPr>
      <t xml:space="preserve">Compound interest applies on remaining balance
</t>
    </r>
    <r>
      <rPr>
        <sz val="10"/>
        <color rgb="FF0000FF"/>
        <rFont val="Arial"/>
        <family val="2"/>
      </rPr>
      <t>Part Payment $18,882 03/04/2017 Receipt 1192934 to Parks &amp; Stormwater</t>
    </r>
    <r>
      <rPr>
        <sz val="10"/>
        <color rgb="FFFF0000"/>
        <rFont val="Arial"/>
        <family val="2"/>
      </rPr>
      <t xml:space="preserve"> 
</t>
    </r>
    <r>
      <rPr>
        <b/>
        <sz val="10"/>
        <color rgb="FFFF0000"/>
        <rFont val="Arial"/>
        <family val="2"/>
      </rPr>
      <t>OUTSTANDING BALANCE $50,000 TO RATES</t>
    </r>
  </si>
  <si>
    <t>Compound Interest continues from 01/04/2017</t>
  </si>
  <si>
    <t>BALANCE REMAINING TRANSFERRED TO RATES 03/04/2017 = $50,000</t>
  </si>
  <si>
    <t>April 2017
Total =</t>
  </si>
  <si>
    <t>THIS PART PAYMENT = $18,882.00</t>
  </si>
  <si>
    <r>
      <t xml:space="preserve">MCU15/0069
</t>
    </r>
    <r>
      <rPr>
        <sz val="10"/>
        <color rgb="FF0000FF"/>
        <rFont val="Arial"/>
        <family val="2"/>
      </rPr>
      <t>(PC17/0283)</t>
    </r>
  </si>
  <si>
    <t>Balance Transferred to &amp; paid by Rates</t>
  </si>
  <si>
    <t>GL posting journal number = 1663938</t>
  </si>
  <si>
    <t>Jul-2014
CPI =
(Jun-2014)</t>
  </si>
  <si>
    <t>MCU16/0146</t>
  </si>
  <si>
    <t>Mr DG Stewart Tte</t>
  </si>
  <si>
    <t>Lot 4 RP 70165</t>
  </si>
  <si>
    <t>Multiple Housing Type 2 - Duplex
1 x 3 bedroom unit +
1 x 1 bedroom unit</t>
  </si>
  <si>
    <t xml:space="preserve">Part Paid Contributions Pathways &amp; Parks
Paid
Coastal Major Road Network ICP  </t>
  </si>
  <si>
    <t>11/05/2016
11/04/2017</t>
  </si>
  <si>
    <t>1180578
1193149</t>
  </si>
  <si>
    <t>April 2017 Total =</t>
  </si>
  <si>
    <t>Building Work
Pacific BCQ
Approval Number: 20170000</t>
  </si>
  <si>
    <t>KA &amp; SG Gifford-Huckstep</t>
  </si>
  <si>
    <t>Lot 130 RP 215921</t>
  </si>
  <si>
    <t>PC17/0125</t>
  </si>
  <si>
    <t>Building Work
Earthcert Building Approvals
Approval Number: 160317</t>
  </si>
  <si>
    <t>Steve Campbell Design</t>
  </si>
  <si>
    <t>59 Paradise Rose
DOONAN  QLD 4562</t>
  </si>
  <si>
    <t>Lot 72 SP 103439</t>
  </si>
  <si>
    <t>15 Foxtail Rise
DOONAN</t>
  </si>
  <si>
    <t>CPI Dec 2016</t>
  </si>
  <si>
    <r>
      <rPr>
        <b/>
        <sz val="10"/>
        <color rgb="FF0000FF"/>
        <rFont val="Arial"/>
        <family val="2"/>
      </rPr>
      <t xml:space="preserve">N </t>
    </r>
    <r>
      <rPr>
        <b/>
        <sz val="10"/>
        <rFont val="Arial"/>
        <family val="2"/>
      </rPr>
      <t>1254</t>
    </r>
    <r>
      <rPr>
        <sz val="11"/>
        <color theme="1"/>
        <rFont val="Calibri"/>
        <family val="2"/>
        <scheme val="minor"/>
      </rPr>
      <t/>
    </r>
  </si>
  <si>
    <r>
      <rPr>
        <b/>
        <sz val="10"/>
        <color rgb="FF0000FF"/>
        <rFont val="Arial"/>
        <family val="2"/>
      </rPr>
      <t xml:space="preserve">N </t>
    </r>
    <r>
      <rPr>
        <b/>
        <sz val="10"/>
        <rFont val="Arial"/>
        <family val="2"/>
      </rPr>
      <t>1256</t>
    </r>
    <r>
      <rPr>
        <sz val="11"/>
        <color theme="1"/>
        <rFont val="Calibri"/>
        <family val="2"/>
        <scheme val="minor"/>
      </rPr>
      <t/>
    </r>
  </si>
  <si>
    <r>
      <rPr>
        <b/>
        <sz val="10"/>
        <color rgb="FF0000FF"/>
        <rFont val="Arial"/>
        <family val="2"/>
      </rPr>
      <t xml:space="preserve">N </t>
    </r>
    <r>
      <rPr>
        <b/>
        <sz val="10"/>
        <rFont val="Arial"/>
        <family val="2"/>
      </rPr>
      <t>1266</t>
    </r>
    <r>
      <rPr>
        <sz val="11"/>
        <color theme="1"/>
        <rFont val="Calibri"/>
        <family val="2"/>
        <scheme val="minor"/>
      </rPr>
      <t/>
    </r>
  </si>
  <si>
    <r>
      <rPr>
        <b/>
        <sz val="10"/>
        <color rgb="FF0000FF"/>
        <rFont val="Arial"/>
        <family val="2"/>
      </rPr>
      <t xml:space="preserve">N </t>
    </r>
    <r>
      <rPr>
        <b/>
        <sz val="10"/>
        <rFont val="Arial"/>
        <family val="2"/>
      </rPr>
      <t>1267</t>
    </r>
    <r>
      <rPr>
        <sz val="11"/>
        <color theme="1"/>
        <rFont val="Calibri"/>
        <family val="2"/>
        <scheme val="minor"/>
      </rPr>
      <t/>
    </r>
  </si>
  <si>
    <r>
      <rPr>
        <b/>
        <sz val="10"/>
        <color rgb="FF0000FF"/>
        <rFont val="Arial"/>
        <family val="2"/>
      </rPr>
      <t xml:space="preserve">N </t>
    </r>
    <r>
      <rPr>
        <b/>
        <sz val="10"/>
        <rFont val="Arial"/>
        <family val="2"/>
      </rPr>
      <t>1269</t>
    </r>
    <r>
      <rPr>
        <sz val="11"/>
        <color theme="1"/>
        <rFont val="Calibri"/>
        <family val="2"/>
        <scheme val="minor"/>
      </rPr>
      <t/>
    </r>
  </si>
  <si>
    <r>
      <rPr>
        <b/>
        <sz val="10"/>
        <color rgb="FF0000FF"/>
        <rFont val="Arial"/>
        <family val="2"/>
      </rPr>
      <t xml:space="preserve">N </t>
    </r>
    <r>
      <rPr>
        <b/>
        <sz val="10"/>
        <rFont val="Arial"/>
        <family val="2"/>
      </rPr>
      <t>1272</t>
    </r>
    <r>
      <rPr>
        <sz val="11"/>
        <color theme="1"/>
        <rFont val="Calibri"/>
        <family val="2"/>
        <scheme val="minor"/>
      </rPr>
      <t/>
    </r>
  </si>
  <si>
    <r>
      <rPr>
        <b/>
        <sz val="10"/>
        <color rgb="FF0000FF"/>
        <rFont val="Arial"/>
        <family val="2"/>
      </rPr>
      <t xml:space="preserve">N </t>
    </r>
    <r>
      <rPr>
        <b/>
        <sz val="10"/>
        <rFont val="Arial"/>
        <family val="2"/>
      </rPr>
      <t>1273</t>
    </r>
    <r>
      <rPr>
        <sz val="11"/>
        <color theme="1"/>
        <rFont val="Calibri"/>
        <family val="2"/>
        <scheme val="minor"/>
      </rPr>
      <t/>
    </r>
  </si>
  <si>
    <r>
      <rPr>
        <b/>
        <sz val="10"/>
        <color rgb="FF0000FF"/>
        <rFont val="Arial"/>
        <family val="2"/>
      </rPr>
      <t xml:space="preserve">N </t>
    </r>
    <r>
      <rPr>
        <b/>
        <sz val="10"/>
        <rFont val="Arial"/>
        <family val="2"/>
      </rPr>
      <t>1274</t>
    </r>
    <r>
      <rPr>
        <sz val="11"/>
        <color theme="1"/>
        <rFont val="Calibri"/>
        <family val="2"/>
        <scheme val="minor"/>
      </rPr>
      <t/>
    </r>
  </si>
  <si>
    <r>
      <rPr>
        <b/>
        <sz val="10"/>
        <color rgb="FF0000FF"/>
        <rFont val="Arial"/>
        <family val="2"/>
      </rPr>
      <t xml:space="preserve">N </t>
    </r>
    <r>
      <rPr>
        <b/>
        <sz val="10"/>
        <rFont val="Arial"/>
        <family val="2"/>
      </rPr>
      <t>1278</t>
    </r>
    <r>
      <rPr>
        <sz val="11"/>
        <color theme="1"/>
        <rFont val="Calibri"/>
        <family val="2"/>
        <scheme val="minor"/>
      </rPr>
      <t/>
    </r>
  </si>
  <si>
    <r>
      <rPr>
        <b/>
        <sz val="10"/>
        <color rgb="FF0000FF"/>
        <rFont val="Arial"/>
        <family val="2"/>
      </rPr>
      <t xml:space="preserve">N </t>
    </r>
    <r>
      <rPr>
        <b/>
        <sz val="10"/>
        <rFont val="Arial"/>
        <family val="2"/>
      </rPr>
      <t>1289</t>
    </r>
    <r>
      <rPr>
        <sz val="11"/>
        <color theme="1"/>
        <rFont val="Calibri"/>
        <family val="2"/>
        <scheme val="minor"/>
      </rPr>
      <t/>
    </r>
  </si>
  <si>
    <r>
      <rPr>
        <b/>
        <sz val="10"/>
        <color rgb="FF0000FF"/>
        <rFont val="Arial"/>
        <family val="2"/>
      </rPr>
      <t xml:space="preserve">N </t>
    </r>
    <r>
      <rPr>
        <b/>
        <sz val="10"/>
        <rFont val="Arial"/>
        <family val="2"/>
      </rPr>
      <t>1297</t>
    </r>
    <r>
      <rPr>
        <sz val="11"/>
        <color theme="1"/>
        <rFont val="Calibri"/>
        <family val="2"/>
        <scheme val="minor"/>
      </rPr>
      <t/>
    </r>
  </si>
  <si>
    <r>
      <rPr>
        <b/>
        <sz val="10"/>
        <color rgb="FF0000FF"/>
        <rFont val="Arial"/>
        <family val="2"/>
      </rPr>
      <t xml:space="preserve">N </t>
    </r>
    <r>
      <rPr>
        <b/>
        <sz val="10"/>
        <rFont val="Arial"/>
        <family val="2"/>
      </rPr>
      <t>1298</t>
    </r>
    <r>
      <rPr>
        <sz val="11"/>
        <color theme="1"/>
        <rFont val="Calibri"/>
        <family val="2"/>
        <scheme val="minor"/>
      </rPr>
      <t/>
    </r>
  </si>
  <si>
    <r>
      <rPr>
        <b/>
        <sz val="10"/>
        <color rgb="FF0000FF"/>
        <rFont val="Arial"/>
        <family val="2"/>
      </rPr>
      <t xml:space="preserve">N </t>
    </r>
    <r>
      <rPr>
        <b/>
        <sz val="10"/>
        <rFont val="Arial"/>
        <family val="2"/>
      </rPr>
      <t>1299</t>
    </r>
    <r>
      <rPr>
        <sz val="11"/>
        <color theme="1"/>
        <rFont val="Calibri"/>
        <family val="2"/>
        <scheme val="minor"/>
      </rPr>
      <t/>
    </r>
  </si>
  <si>
    <r>
      <rPr>
        <b/>
        <sz val="10"/>
        <color rgb="FF0000FF"/>
        <rFont val="Arial"/>
        <family val="2"/>
      </rPr>
      <t xml:space="preserve">N </t>
    </r>
    <r>
      <rPr>
        <b/>
        <sz val="10"/>
        <rFont val="Arial"/>
        <family val="2"/>
      </rPr>
      <t>1304</t>
    </r>
    <r>
      <rPr>
        <sz val="11"/>
        <color theme="1"/>
        <rFont val="Calibri"/>
        <family val="2"/>
        <scheme val="minor"/>
      </rPr>
      <t/>
    </r>
  </si>
  <si>
    <r>
      <rPr>
        <b/>
        <sz val="10"/>
        <color rgb="FF0000FF"/>
        <rFont val="Arial"/>
        <family val="2"/>
      </rPr>
      <t xml:space="preserve">N </t>
    </r>
    <r>
      <rPr>
        <b/>
        <sz val="10"/>
        <rFont val="Arial"/>
        <family val="2"/>
      </rPr>
      <t>1318</t>
    </r>
    <r>
      <rPr>
        <sz val="11"/>
        <color theme="1"/>
        <rFont val="Calibri"/>
        <family val="2"/>
        <scheme val="minor"/>
      </rPr>
      <t/>
    </r>
  </si>
  <si>
    <r>
      <rPr>
        <b/>
        <sz val="10"/>
        <color rgb="FF0000FF"/>
        <rFont val="Arial"/>
        <family val="2"/>
      </rPr>
      <t xml:space="preserve">N </t>
    </r>
    <r>
      <rPr>
        <b/>
        <sz val="10"/>
        <rFont val="Arial"/>
        <family val="2"/>
      </rPr>
      <t>1323</t>
    </r>
    <r>
      <rPr>
        <sz val="11"/>
        <color theme="1"/>
        <rFont val="Calibri"/>
        <family val="2"/>
        <scheme val="minor"/>
      </rPr>
      <t/>
    </r>
  </si>
  <si>
    <r>
      <rPr>
        <b/>
        <sz val="10"/>
        <color rgb="FF0000FF"/>
        <rFont val="Arial"/>
        <family val="2"/>
      </rPr>
      <t xml:space="preserve">N </t>
    </r>
    <r>
      <rPr>
        <b/>
        <sz val="10"/>
        <rFont val="Arial"/>
        <family val="2"/>
      </rPr>
      <t>1325</t>
    </r>
    <r>
      <rPr>
        <sz val="11"/>
        <color theme="1"/>
        <rFont val="Calibri"/>
        <family val="2"/>
        <scheme val="minor"/>
      </rPr>
      <t/>
    </r>
  </si>
  <si>
    <r>
      <rPr>
        <b/>
        <sz val="10"/>
        <color rgb="FF0000FF"/>
        <rFont val="Arial"/>
        <family val="2"/>
      </rPr>
      <t xml:space="preserve">N </t>
    </r>
    <r>
      <rPr>
        <b/>
        <sz val="10"/>
        <rFont val="Arial"/>
        <family val="2"/>
      </rPr>
      <t>1332</t>
    </r>
    <r>
      <rPr>
        <sz val="11"/>
        <color theme="1"/>
        <rFont val="Calibri"/>
        <family val="2"/>
        <scheme val="minor"/>
      </rPr>
      <t/>
    </r>
  </si>
  <si>
    <r>
      <rPr>
        <b/>
        <sz val="10"/>
        <color rgb="FF0000FF"/>
        <rFont val="Arial"/>
        <family val="2"/>
      </rPr>
      <t xml:space="preserve">N </t>
    </r>
    <r>
      <rPr>
        <b/>
        <sz val="10"/>
        <rFont val="Arial"/>
        <family val="2"/>
      </rPr>
      <t>1333</t>
    </r>
    <r>
      <rPr>
        <sz val="11"/>
        <color theme="1"/>
        <rFont val="Calibri"/>
        <family val="2"/>
        <scheme val="minor"/>
      </rPr>
      <t/>
    </r>
  </si>
  <si>
    <r>
      <rPr>
        <b/>
        <sz val="10"/>
        <color rgb="FF0000FF"/>
        <rFont val="Arial"/>
        <family val="2"/>
      </rPr>
      <t xml:space="preserve">N </t>
    </r>
    <r>
      <rPr>
        <b/>
        <sz val="10"/>
        <rFont val="Arial"/>
        <family val="2"/>
      </rPr>
      <t>1334</t>
    </r>
    <r>
      <rPr>
        <sz val="11"/>
        <color theme="1"/>
        <rFont val="Calibri"/>
        <family val="2"/>
        <scheme val="minor"/>
      </rPr>
      <t/>
    </r>
  </si>
  <si>
    <r>
      <rPr>
        <b/>
        <sz val="10"/>
        <color rgb="FF0000FF"/>
        <rFont val="Arial"/>
        <family val="2"/>
      </rPr>
      <t xml:space="preserve">N </t>
    </r>
    <r>
      <rPr>
        <b/>
        <sz val="10"/>
        <rFont val="Arial"/>
        <family val="2"/>
      </rPr>
      <t>1336</t>
    </r>
    <r>
      <rPr>
        <sz val="11"/>
        <color theme="1"/>
        <rFont val="Calibri"/>
        <family val="2"/>
        <scheme val="minor"/>
      </rPr>
      <t/>
    </r>
  </si>
  <si>
    <r>
      <rPr>
        <b/>
        <sz val="10"/>
        <color rgb="FF0000FF"/>
        <rFont val="Arial"/>
        <family val="2"/>
      </rPr>
      <t xml:space="preserve">N </t>
    </r>
    <r>
      <rPr>
        <b/>
        <sz val="10"/>
        <rFont val="Arial"/>
        <family val="2"/>
      </rPr>
      <t>1338</t>
    </r>
    <r>
      <rPr>
        <sz val="11"/>
        <color theme="1"/>
        <rFont val="Calibri"/>
        <family val="2"/>
        <scheme val="minor"/>
      </rPr>
      <t/>
    </r>
  </si>
  <si>
    <r>
      <rPr>
        <b/>
        <sz val="10"/>
        <color rgb="FF0000FF"/>
        <rFont val="Arial"/>
        <family val="2"/>
      </rPr>
      <t xml:space="preserve">N </t>
    </r>
    <r>
      <rPr>
        <b/>
        <sz val="10"/>
        <rFont val="Arial"/>
        <family val="2"/>
      </rPr>
      <t>1341</t>
    </r>
    <r>
      <rPr>
        <sz val="11"/>
        <color theme="1"/>
        <rFont val="Calibri"/>
        <family val="2"/>
        <scheme val="minor"/>
      </rPr>
      <t/>
    </r>
  </si>
  <si>
    <r>
      <rPr>
        <b/>
        <sz val="10"/>
        <color rgb="FF0000FF"/>
        <rFont val="Arial"/>
        <family val="2"/>
      </rPr>
      <t xml:space="preserve">N </t>
    </r>
    <r>
      <rPr>
        <b/>
        <sz val="10"/>
        <rFont val="Arial"/>
        <family val="2"/>
      </rPr>
      <t>1342</t>
    </r>
    <r>
      <rPr>
        <sz val="11"/>
        <color theme="1"/>
        <rFont val="Calibri"/>
        <family val="2"/>
        <scheme val="minor"/>
      </rPr>
      <t/>
    </r>
  </si>
  <si>
    <r>
      <rPr>
        <b/>
        <sz val="10"/>
        <color rgb="FF0000FF"/>
        <rFont val="Arial"/>
        <family val="2"/>
      </rPr>
      <t xml:space="preserve">N </t>
    </r>
    <r>
      <rPr>
        <b/>
        <sz val="10"/>
        <rFont val="Arial"/>
        <family val="2"/>
      </rPr>
      <t>1346</t>
    </r>
    <r>
      <rPr>
        <sz val="11"/>
        <color theme="1"/>
        <rFont val="Calibri"/>
        <family val="2"/>
        <scheme val="minor"/>
      </rPr>
      <t/>
    </r>
  </si>
  <si>
    <r>
      <rPr>
        <b/>
        <sz val="10"/>
        <color rgb="FF0000FF"/>
        <rFont val="Arial"/>
        <family val="2"/>
      </rPr>
      <t xml:space="preserve">N </t>
    </r>
    <r>
      <rPr>
        <b/>
        <sz val="10"/>
        <rFont val="Arial"/>
        <family val="2"/>
      </rPr>
      <t>1349</t>
    </r>
    <r>
      <rPr>
        <sz val="11"/>
        <color theme="1"/>
        <rFont val="Calibri"/>
        <family val="2"/>
        <scheme val="minor"/>
      </rPr>
      <t/>
    </r>
  </si>
  <si>
    <r>
      <rPr>
        <b/>
        <sz val="10"/>
        <color rgb="FF0000FF"/>
        <rFont val="Arial"/>
        <family val="2"/>
      </rPr>
      <t xml:space="preserve">N </t>
    </r>
    <r>
      <rPr>
        <b/>
        <sz val="10"/>
        <rFont val="Arial"/>
        <family val="2"/>
      </rPr>
      <t>1351</t>
    </r>
    <r>
      <rPr>
        <sz val="11"/>
        <color theme="1"/>
        <rFont val="Calibri"/>
        <family val="2"/>
        <scheme val="minor"/>
      </rPr>
      <t/>
    </r>
  </si>
  <si>
    <r>
      <rPr>
        <b/>
        <sz val="10"/>
        <color rgb="FF0000FF"/>
        <rFont val="Arial"/>
        <family val="2"/>
      </rPr>
      <t xml:space="preserve">N </t>
    </r>
    <r>
      <rPr>
        <b/>
        <sz val="10"/>
        <rFont val="Arial"/>
        <family val="2"/>
      </rPr>
      <t>1357</t>
    </r>
    <r>
      <rPr>
        <sz val="11"/>
        <color theme="1"/>
        <rFont val="Calibri"/>
        <family val="2"/>
        <scheme val="minor"/>
      </rPr>
      <t/>
    </r>
  </si>
  <si>
    <r>
      <rPr>
        <b/>
        <sz val="10"/>
        <color rgb="FF0000FF"/>
        <rFont val="Arial"/>
        <family val="2"/>
      </rPr>
      <t xml:space="preserve">N </t>
    </r>
    <r>
      <rPr>
        <b/>
        <sz val="10"/>
        <rFont val="Arial"/>
        <family val="2"/>
      </rPr>
      <t>1360</t>
    </r>
    <r>
      <rPr>
        <sz val="11"/>
        <color theme="1"/>
        <rFont val="Calibri"/>
        <family val="2"/>
        <scheme val="minor"/>
      </rPr>
      <t/>
    </r>
  </si>
  <si>
    <r>
      <rPr>
        <b/>
        <sz val="10"/>
        <color rgb="FF0000FF"/>
        <rFont val="Arial"/>
        <family val="2"/>
      </rPr>
      <t xml:space="preserve">N </t>
    </r>
    <r>
      <rPr>
        <b/>
        <sz val="10"/>
        <rFont val="Arial"/>
        <family val="2"/>
      </rPr>
      <t>1368</t>
    </r>
    <r>
      <rPr>
        <sz val="11"/>
        <color theme="1"/>
        <rFont val="Calibri"/>
        <family val="2"/>
        <scheme val="minor"/>
      </rPr>
      <t/>
    </r>
  </si>
  <si>
    <r>
      <rPr>
        <b/>
        <sz val="10"/>
        <color rgb="FF0000FF"/>
        <rFont val="Arial"/>
        <family val="2"/>
      </rPr>
      <t xml:space="preserve">N </t>
    </r>
    <r>
      <rPr>
        <b/>
        <sz val="10"/>
        <rFont val="Arial"/>
        <family val="2"/>
      </rPr>
      <t>1377</t>
    </r>
    <r>
      <rPr>
        <sz val="11"/>
        <color theme="1"/>
        <rFont val="Calibri"/>
        <family val="2"/>
        <scheme val="minor"/>
      </rPr>
      <t/>
    </r>
  </si>
  <si>
    <r>
      <rPr>
        <b/>
        <sz val="10"/>
        <color rgb="FF0000FF"/>
        <rFont val="Arial"/>
        <family val="2"/>
      </rPr>
      <t xml:space="preserve">N </t>
    </r>
    <r>
      <rPr>
        <b/>
        <sz val="10"/>
        <rFont val="Arial"/>
        <family val="2"/>
      </rPr>
      <t>1384</t>
    </r>
    <r>
      <rPr>
        <sz val="11"/>
        <color theme="1"/>
        <rFont val="Calibri"/>
        <family val="2"/>
        <scheme val="minor"/>
      </rPr>
      <t/>
    </r>
  </si>
  <si>
    <r>
      <rPr>
        <b/>
        <sz val="10"/>
        <color rgb="FF0000FF"/>
        <rFont val="Arial"/>
        <family val="2"/>
      </rPr>
      <t xml:space="preserve">N </t>
    </r>
    <r>
      <rPr>
        <b/>
        <sz val="10"/>
        <rFont val="Arial"/>
        <family val="2"/>
      </rPr>
      <t>1385</t>
    </r>
    <r>
      <rPr>
        <sz val="11"/>
        <color theme="1"/>
        <rFont val="Calibri"/>
        <family val="2"/>
        <scheme val="minor"/>
      </rPr>
      <t/>
    </r>
  </si>
  <si>
    <r>
      <t xml:space="preserve">MCU16/0087
</t>
    </r>
    <r>
      <rPr>
        <sz val="10"/>
        <color rgb="FFFF0000"/>
        <rFont val="Arial"/>
        <family val="2"/>
      </rPr>
      <t>(PC16/0950 completed &amp; COC issued)</t>
    </r>
  </si>
  <si>
    <r>
      <t xml:space="preserve">MCU15/0043
</t>
    </r>
    <r>
      <rPr>
        <sz val="10"/>
        <color rgb="FFFF0000"/>
        <rFont val="Arial"/>
        <family val="2"/>
      </rPr>
      <t xml:space="preserve">PC16/0183 - COC issued </t>
    </r>
  </si>
  <si>
    <t>1/75 Main Ave
WILSTON  QLD  4051</t>
  </si>
  <si>
    <t>46 &amp; 48 Elizabeth St NOOSAVILLE  QLD  4566</t>
  </si>
  <si>
    <t>Lot 2 RP 78252 &amp; Lot 3 RP78252</t>
  </si>
  <si>
    <t>2 x Duplexes = 4 x 3 bedroom units</t>
  </si>
  <si>
    <t>2 x Detached House &amp; lots</t>
  </si>
  <si>
    <r>
      <t xml:space="preserve">MCU16/0135
</t>
    </r>
    <r>
      <rPr>
        <b/>
        <sz val="10"/>
        <color rgb="FF0000FF"/>
        <rFont val="Arial"/>
        <family val="2"/>
      </rPr>
      <t>STAGE 1</t>
    </r>
  </si>
  <si>
    <t>15 Sallwood Ct PINBARREN  QLD 4568</t>
  </si>
  <si>
    <t>Lot 13 SP193558</t>
  </si>
  <si>
    <t>Stage 1 =
Rural (res) lot with farm shed
Stormwater Impervious area = 146 m2</t>
  </si>
  <si>
    <t>Stage 1
Entertainment and dining business Type 2 Recreation, amusement and fitness =
- Court GFA = 93.15m2
- Non-court GFA = 24.15m2  
- Stormwater impervious area = 117m2
+ Visitor accommodation Type 3 Rural = 1 bedroom (not within a suite)
+ Detached house on Rural res lot</t>
  </si>
  <si>
    <t>Visitor accommodation Type 3 Rural = 
1 x (suite with 3 or more bedrooms)</t>
  </si>
  <si>
    <t>Nil (additional to Stage 1)</t>
  </si>
  <si>
    <t>MCU16/0138</t>
  </si>
  <si>
    <t>Lot 18 RP66590 &amp; Lot 6 RP79817</t>
  </si>
  <si>
    <t>JR Payne &amp; SP Payne &amp; A Rai</t>
  </si>
  <si>
    <t>C/- Adams Sparkes Town Planning
PO Box 1000
BUDDINA  QLD  4575</t>
  </si>
  <si>
    <t>Multiple Housing Type 2 - Duplex x 2
3 x 3 bedroom unit +
1 x 2 bedroom unit</t>
  </si>
  <si>
    <t>2 detached house &amp; lots</t>
  </si>
  <si>
    <r>
      <rPr>
        <b/>
        <sz val="10"/>
        <color rgb="FF0000FF"/>
        <rFont val="Arial"/>
        <family val="2"/>
      </rPr>
      <t xml:space="preserve">N </t>
    </r>
    <r>
      <rPr>
        <b/>
        <sz val="10"/>
        <rFont val="Arial"/>
        <family val="2"/>
      </rPr>
      <t>1204</t>
    </r>
  </si>
  <si>
    <t>PC17/0348</t>
  </si>
  <si>
    <t>Building Work
Coastline Building Certification 
Approval Number: QB1710217</t>
  </si>
  <si>
    <t>DS &amp; AS Developments Pty Ltd</t>
  </si>
  <si>
    <t>Taralla Apartments
4/16 Edgar Bennett Avenue
NOOSA HEADS QLD 4567</t>
  </si>
  <si>
    <t>Lot 12 SP 170295</t>
  </si>
  <si>
    <t>40 Gateway Drive NOOSAVILLE</t>
  </si>
  <si>
    <t>PC17/0391</t>
  </si>
  <si>
    <t>Building Work
Cooloola Building Approvals
Approval Number: 5028</t>
  </si>
  <si>
    <t>Jean-Paul Ricca, Ricta Constructions</t>
  </si>
  <si>
    <t>13 Arcades St
SUNRISE BEACH QLD 4567</t>
  </si>
  <si>
    <t>Lot 201 RP 48113</t>
  </si>
  <si>
    <t>15 Duke St 
SUNRISE BEACH</t>
  </si>
  <si>
    <t>Industrial Business - Type 2 = 925 m2 gfa + 1432 m2 Impervious Area</t>
  </si>
  <si>
    <t xml:space="preserve">Nil Vacant Industrial Lot 
Reduction included for Road Contribution paid under 22850 DA </t>
  </si>
  <si>
    <t>REC17/0013</t>
  </si>
  <si>
    <t>Ms BY Starkey, Mr AB Starkey</t>
  </si>
  <si>
    <t>Noosa Pacific
17/24 Munna Cres
NOOSAVILLE  QLD  4566</t>
  </si>
  <si>
    <t>Lot 6 GTP 107028</t>
  </si>
  <si>
    <t>PC17/0396</t>
  </si>
  <si>
    <t>Building Work 
Caloundra Building Approvals
Approval Number: 00007661</t>
  </si>
  <si>
    <t xml:space="preserve">GJ Gardner Homes SC North
</t>
  </si>
  <si>
    <t>PO Box 238
NOOSA HEADS QLD 4567</t>
  </si>
  <si>
    <t>Lot 10 SP 177641</t>
  </si>
  <si>
    <t>PC17/0477</t>
  </si>
  <si>
    <t>Building Work 
John Dunn Building Approvals
Approval Number: BA170093</t>
  </si>
  <si>
    <t>QRE Construction</t>
  </si>
  <si>
    <t>9 Poinciana Avenue
MOOLOOLABA QLD 4557</t>
  </si>
  <si>
    <t>Lot 120 M11116</t>
  </si>
  <si>
    <t>2A Jirrima Crescent
COOROIBAH</t>
  </si>
  <si>
    <t>1 Almond Court
MARCUS BEACH</t>
  </si>
  <si>
    <t>MCU16/0154</t>
  </si>
  <si>
    <t>K Mahadevan &amp; KEC Wilson</t>
  </si>
  <si>
    <t>Lot 55 RP 126838</t>
  </si>
  <si>
    <t>Multiple housing Type 2 Duplex  = 2 x 3 bedroom units</t>
  </si>
  <si>
    <t>Vacant Residential lot x 1</t>
  </si>
  <si>
    <t>May 2017 Total =</t>
  </si>
  <si>
    <t>PC17/0373</t>
  </si>
  <si>
    <t>Building Work 
Earthcert
Approval Number: 170122</t>
  </si>
  <si>
    <t>WD Architects</t>
  </si>
  <si>
    <t>30 King Street
POMONA</t>
  </si>
  <si>
    <t>Lot 1 RP 187545</t>
  </si>
  <si>
    <t>PC17/0020</t>
  </si>
  <si>
    <t>Building Work 
Pacific BCQ
Approval Number: 20160699</t>
  </si>
  <si>
    <t>Mr R Warner</t>
  </si>
  <si>
    <t>PO Box 256
TEWANTIN QLD 4565</t>
  </si>
  <si>
    <t>Lot 10 SP 191721</t>
  </si>
  <si>
    <t>1 Yatama Place
COOROIBAH</t>
  </si>
  <si>
    <t>120 Station Street
POMONA</t>
  </si>
  <si>
    <t>Building Work 
Suncoast Building Approvals
Approval Number: SBA2016-3303</t>
  </si>
  <si>
    <t>M &amp; M Quayle</t>
  </si>
  <si>
    <t>PO Box 987
COOROY QLD 4563</t>
  </si>
  <si>
    <t>Lot 76 SP 208642</t>
  </si>
  <si>
    <t>PC17/0168</t>
  </si>
  <si>
    <t>Building Work 
BAU Approved
Approval Number: BA20171239</t>
  </si>
  <si>
    <t>John Law</t>
  </si>
  <si>
    <t>25 Hollyhock Crescent
NOOSA HEADS QLD 4567</t>
  </si>
  <si>
    <t>Lot 57 RP 94023</t>
  </si>
  <si>
    <t>24 Warana Street
NOOSA HEADS</t>
  </si>
  <si>
    <t>1 x 1 B/R Secondary Dwelling area</t>
  </si>
  <si>
    <t>MCU17/0047</t>
  </si>
  <si>
    <t>23 The Cockleshell NOOSAVILLE QLD 4566</t>
  </si>
  <si>
    <t>Lot 28 RP 138550</t>
  </si>
  <si>
    <t>Multiple Housing Type 2 - Duplex (1 x 2 bedroom &amp; 1 x 3 bedroom)</t>
  </si>
  <si>
    <t>Ms JP Kelley &amp; Mr JW Kelley</t>
  </si>
  <si>
    <t>C/- Adams Sparkes Town Planning &amp; Development
PO Box 1000
BUDDINA  QLD  4575</t>
  </si>
  <si>
    <t xml:space="preserve">$4,327
IA Public Transport 
@ June 2016
See AICN Paid sheet
</t>
  </si>
  <si>
    <t>PC17/0326</t>
  </si>
  <si>
    <t>Building Work
Pacific BCQ
Approval Number:
20170172</t>
  </si>
  <si>
    <t>Karloo Constructions (QLD)</t>
  </si>
  <si>
    <t>PO Box 844
BUDERIM QLD 4556</t>
  </si>
  <si>
    <t>Lot 3 SP 230643</t>
  </si>
  <si>
    <t>3/100 Rene Street
NOOSAVILLE</t>
  </si>
  <si>
    <t>Industrial Type 1 - Warehouse =  950.5 m2 GFA
Lot Area 1589 m2 less Landscape provided 160.8 m2 = 1,428 m2 Impervious</t>
  </si>
  <si>
    <t xml:space="preserve">Vacant Industrial Lot = Nil credit
Reductions apply regarding infrastructure contributions/charges issued under 132007.1841 for CMRNICP &amp; Pathway networks. </t>
  </si>
  <si>
    <t>PC17/0234</t>
  </si>
  <si>
    <t>AS Hodgkinson &amp; KM Anderson</t>
  </si>
  <si>
    <t>3 Hinterland Close
TINBEERWAY QLD 4563</t>
  </si>
  <si>
    <t>Lot 3 RP 162815</t>
  </si>
  <si>
    <t>3 Hinterland Close
TINBEERWAH</t>
  </si>
  <si>
    <t>MCU17/0009</t>
  </si>
  <si>
    <t>Building Work
Pacific BCQ
Approval Number:
20150616</t>
  </si>
  <si>
    <t>DW &amp; LJ Armstrong</t>
  </si>
  <si>
    <t>Lot 8 SP 179879</t>
  </si>
  <si>
    <t>23 Grant Street 
NOOSA HEADS</t>
  </si>
  <si>
    <t>Multiple Housing - Type 2 - Duplex (2 x 2 B/R Units)</t>
  </si>
  <si>
    <t>Vacant Residential Lot</t>
  </si>
  <si>
    <t>REC17/0007</t>
  </si>
  <si>
    <t>RR Alston</t>
  </si>
  <si>
    <t>Lot 2 RP 128401</t>
  </si>
  <si>
    <t>110 Goodwin St TEWANTIN</t>
  </si>
  <si>
    <r>
      <t xml:space="preserve">MCU14/0102.05
(Changes)
</t>
    </r>
    <r>
      <rPr>
        <sz val="10"/>
        <color rgb="FF0000FF"/>
        <rFont val="Arial"/>
        <family val="2"/>
      </rPr>
      <t>PC17/0579</t>
    </r>
  </si>
  <si>
    <t xml:space="preserve">CBD Settlers Cove Pty Ltd </t>
  </si>
  <si>
    <t xml:space="preserve"> 22 x 4 bedroom residential units</t>
  </si>
  <si>
    <t>1 x Residential vacant lot</t>
  </si>
  <si>
    <t>15 x 3 and 4 bedroom residential units</t>
  </si>
  <si>
    <t>Remaining "trunk" pathways offset constructed under 23118 DA Lot reconfiguration for 8 high density lots (conditions 124 to 127)
Lot 7 = $16,591.00 @ CPI March 2014 Base Date</t>
  </si>
  <si>
    <t>MCU16/0137</t>
  </si>
  <si>
    <t>Gelherult No.2 Pty Ltd</t>
  </si>
  <si>
    <t>Lot 5 SP 188669</t>
  </si>
  <si>
    <t>Unit 5, 8 Selkirk Drive NOOSAVILLE</t>
  </si>
  <si>
    <t>Entertainment and Dining Business - Type 2 Recreation, Amusement and Fitness (Gym).  Total GFA is 719m2.  
Court area 378.4m2 (379m2 gfa)
Non court area 340.6m2 (340 m2 gfa)
No Change to Existing Impervious area</t>
  </si>
  <si>
    <t>Industrial Business Type 2 = 719 m2 gfa</t>
  </si>
  <si>
    <t>Sport &amp; Recreation Use Exempt from Public Parks network</t>
  </si>
  <si>
    <t>PC17/0409</t>
  </si>
  <si>
    <t>Building Work 
Pacific BCQ
Approval Number: 20170179</t>
  </si>
  <si>
    <t>John Barr</t>
  </si>
  <si>
    <t>109 hollett Road
NOOSAVILLE QLD 4566</t>
  </si>
  <si>
    <t>Lot 4 RP 849501</t>
  </si>
  <si>
    <t>109 Hollett Rd
NOOSAVILLE</t>
  </si>
  <si>
    <t>PC17/0474</t>
  </si>
  <si>
    <t>Building Work
Urban Certifiers 
Approval Number: 6679</t>
  </si>
  <si>
    <t>Costa Constructions (Aust) Pty Ltd</t>
  </si>
  <si>
    <t>PO Box 1173
BUDDINA QLD 4575</t>
  </si>
  <si>
    <t>Lot 98 RP 81810</t>
  </si>
  <si>
    <t>PC17/0573</t>
  </si>
  <si>
    <t>Building Work
Suncoast Building Approvals
Approval Number:
SBA 2017-999</t>
  </si>
  <si>
    <t>Sunshine Coast Designer Homes</t>
  </si>
  <si>
    <t>PO Box 1324
BUDDINA QLD 4575</t>
  </si>
  <si>
    <t>Lot 6 RP 115289</t>
  </si>
  <si>
    <t>PC17/0579</t>
  </si>
  <si>
    <t>Building Work
Noosa Building Certifiers
Approval Number:
20130353</t>
  </si>
  <si>
    <t>Teen Missions Int'l Australia</t>
  </si>
  <si>
    <t>PO Box 29
TEWANTIN QLD 4565</t>
  </si>
  <si>
    <t>Lot 2 SP 808087</t>
  </si>
  <si>
    <t>761 McKinnon Dr
COOROIBAH</t>
  </si>
  <si>
    <t>Expansion of Educational Faclilty re: New Building Chapel &amp; Stage area = 417m2 gfa
Total building &amp; roof area = 498m2 impervious area</t>
  </si>
  <si>
    <t xml:space="preserve">REFER Change to MCU  131998.982519.3 approved 6/08/2013 &amp; Delegated Report 21 June 2013
Existing Chapel &amp; Library = 7m x 15m = 105m2 gfa </t>
  </si>
  <si>
    <t>Council REBATE Applies for Community Organisation =  50% reduction for Education uses
IC Calc Option 2 applies @ below Max = CPI March 2017</t>
  </si>
  <si>
    <t>REC17/0018</t>
  </si>
  <si>
    <t xml:space="preserve">OM Smyth &amp; DEJ Ward
</t>
  </si>
  <si>
    <t>2 x Detached House lots</t>
  </si>
  <si>
    <t xml:space="preserve">General Receipt No. 0158
&amp; by Rams Adjustment internal Journal </t>
  </si>
  <si>
    <t>June 2017 Total =</t>
  </si>
  <si>
    <t>CPI Mar 2017</t>
  </si>
  <si>
    <t>Walhalla Holdings Pty Ltd TTE</t>
  </si>
  <si>
    <t>1310 Kongwak Rd
INVERLOCH  VIC  3996</t>
  </si>
  <si>
    <t>Duplex 2 x 2 bed units</t>
  </si>
  <si>
    <t>Missing Road &amp; Public Transport networks only
In addition to Contributions &amp; IA from original approval</t>
  </si>
  <si>
    <r>
      <t xml:space="preserve">MCU16/0084
</t>
    </r>
    <r>
      <rPr>
        <i/>
        <sz val="10"/>
        <color rgb="FF0000FF"/>
        <rFont val="Arial"/>
        <family val="2"/>
      </rPr>
      <t>PC17/0629</t>
    </r>
  </si>
  <si>
    <r>
      <t xml:space="preserve">MCU16/0095
</t>
    </r>
    <r>
      <rPr>
        <i/>
        <sz val="10"/>
        <color rgb="FF0000FF"/>
        <rFont val="Arial"/>
        <family val="2"/>
      </rPr>
      <t>PC17/0492</t>
    </r>
  </si>
  <si>
    <t>PC17/0628</t>
  </si>
  <si>
    <t>Building Work
Noosa Building Certifiers
Approval Number:
20161109</t>
  </si>
  <si>
    <t>Tony Suckling</t>
  </si>
  <si>
    <t>35 Pacific View Drive
TINBEERWAH QLD 4563</t>
  </si>
  <si>
    <t>Lot 23 RP 89506</t>
  </si>
  <si>
    <t>Lot 33 RP 186538</t>
  </si>
  <si>
    <r>
      <t xml:space="preserve">MCU16/0044
</t>
    </r>
    <r>
      <rPr>
        <b/>
        <sz val="10"/>
        <color rgb="FF0000FF"/>
        <rFont val="Arial"/>
        <family val="2"/>
      </rPr>
      <t xml:space="preserve">(STAGE 2)
</t>
    </r>
    <r>
      <rPr>
        <i/>
        <sz val="10"/>
        <color rgb="FF0000FF"/>
        <rFont val="Arial"/>
        <family val="2"/>
      </rPr>
      <t>PC17/0699</t>
    </r>
  </si>
  <si>
    <r>
      <t xml:space="preserve">MCU16/0133
</t>
    </r>
    <r>
      <rPr>
        <i/>
        <sz val="10"/>
        <color rgb="FF0000FF"/>
        <rFont val="Arial"/>
        <family val="2"/>
      </rPr>
      <t>PC17/0273</t>
    </r>
  </si>
  <si>
    <t>MCU17/0026</t>
  </si>
  <si>
    <t>15 Ross Crescent
SUNSHINE BEACH QLD 4567</t>
  </si>
  <si>
    <t>Lot 8 P 93124</t>
  </si>
  <si>
    <t>PC17/0128</t>
  </si>
  <si>
    <t>Building Work
Pacific BCQ
Approval Number:
20170038</t>
  </si>
  <si>
    <t>Baljinder Singh Ajimal &amp; Jasvinder Pal Kaur</t>
  </si>
  <si>
    <t>C/- Paul Sanderson
PO Box 1171
NOOSA HEADS QLD 4567</t>
  </si>
  <si>
    <t>Lot 17 RP 151412</t>
  </si>
  <si>
    <t>15 June Crescent
NOOSAVILLE</t>
  </si>
  <si>
    <t xml:space="preserve">AICS 2016 </t>
  </si>
  <si>
    <t>MCU17/0044</t>
  </si>
  <si>
    <t>DA Langdon</t>
  </si>
  <si>
    <t>C/- Martoo Consulting 
PO Box 1684
NOOSA HEADS QLD 4567</t>
  </si>
  <si>
    <t>Lot 231 RP 95668</t>
  </si>
  <si>
    <t>10 Sunshine Beach Rd
NOOSA HEADS</t>
  </si>
  <si>
    <t xml:space="preserve">Commercial Business - Type 1 (Office) - 326 m2 GFA 
(i.e Extension of existing building 11 m2)  
No change to existing Impervious area </t>
  </si>
  <si>
    <t xml:space="preserve">Commercial Service (Bank 315 m2) </t>
  </si>
  <si>
    <t>51990.143.02 (Change to Existing Approval DNA 189)</t>
  </si>
  <si>
    <t>G &amp; J Box Properties Pty Ltd TTE</t>
  </si>
  <si>
    <t>PO box 1477
COORPAROO DC QLD 4151</t>
  </si>
  <si>
    <t>This change decreases the landscaped area for the new additional carpark.
Council Stormwater only applies for the increased 9 m2 Impervious area.</t>
  </si>
  <si>
    <t>May 2017
Total =</t>
  </si>
  <si>
    <t>July 2017
Total =</t>
  </si>
  <si>
    <t>Paid 
incl parks refund Stg 5 &amp; 6 previously paid</t>
  </si>
  <si>
    <t>June 2017
Total =</t>
  </si>
  <si>
    <t>MCU15/0032.01
(Change to Existing Approval)</t>
  </si>
  <si>
    <t xml:space="preserve">Noosa Building Certifiers
</t>
  </si>
  <si>
    <t>PO Box 914
TEWANTIN QLD 4565</t>
  </si>
  <si>
    <t>Lot 5 SP 288945</t>
  </si>
  <si>
    <t>Unit 5 / 5 Kauri Street
COOROY</t>
  </si>
  <si>
    <t>Multiple Housing Type 4 - Conventional (Change to Unit 5 = 3 B/R Unit)</t>
  </si>
  <si>
    <t>Multiple Housing Type 4 - Conventional (Unit 5 = 2 B/R Unit)</t>
  </si>
  <si>
    <t>Mr A Sarris</t>
  </si>
  <si>
    <t xml:space="preserve">Sarris Architecture
9 Walker Street
MURRUMBEE VIC 3163
</t>
  </si>
  <si>
    <t>Lot 2 SP 294726</t>
  </si>
  <si>
    <t>MCU14/0102.06
(Change to Existing Approval)</t>
  </si>
  <si>
    <t>Retail Business Type 6 - Hardware = Additional Mezzanine 67 m2 GFA (Shop 1 &amp; 2)
No Change to Impervious Area</t>
  </si>
  <si>
    <t>REC17/0016</t>
  </si>
  <si>
    <t xml:space="preserve">OJR Hooper </t>
  </si>
  <si>
    <t>Lot 1 RP 161443</t>
  </si>
  <si>
    <t>290 David Low Way PEREGIAN BEACH</t>
  </si>
  <si>
    <t>Detached House lots x 2</t>
  </si>
  <si>
    <t>Detached House lots x 1</t>
  </si>
  <si>
    <r>
      <t xml:space="preserve">• This Infrastructure Charge Notice relates to Council’s Stormwater network missing from the original MCU approval </t>
    </r>
    <r>
      <rPr>
        <b/>
        <sz val="10"/>
        <color rgb="FF0000FF"/>
        <rFont val="Arial"/>
        <family val="2"/>
      </rPr>
      <t xml:space="preserve">132007.1841 </t>
    </r>
    <r>
      <rPr>
        <sz val="10"/>
        <color rgb="FF0000FF"/>
        <rFont val="Arial"/>
        <family val="2"/>
      </rPr>
      <t xml:space="preserve">for this development and has been limited to the maximum SPRP permissible for all Council networks.
• Infrastructure charge and contributions under original MCU approval </t>
    </r>
    <r>
      <rPr>
        <b/>
        <sz val="10"/>
        <color rgb="FF0000FF"/>
        <rFont val="Arial"/>
        <family val="2"/>
      </rPr>
      <t>132007.1841</t>
    </r>
    <r>
      <rPr>
        <sz val="10"/>
        <color rgb="FF0000FF"/>
        <rFont val="Arial"/>
        <family val="2"/>
      </rPr>
      <t xml:space="preserve"> 
- Coastal roads and Pathways payable to Council. 
- Sewerage payable to Unitywater. </t>
    </r>
  </si>
  <si>
    <r>
      <rPr>
        <b/>
        <sz val="10"/>
        <color rgb="FF0000FF"/>
        <rFont val="Arial"/>
        <family val="2"/>
      </rPr>
      <t xml:space="preserve">N </t>
    </r>
    <r>
      <rPr>
        <b/>
        <sz val="10"/>
        <rFont val="Arial"/>
        <family val="2"/>
      </rPr>
      <t xml:space="preserve">1126
</t>
    </r>
  </si>
  <si>
    <r>
      <t xml:space="preserve">MCU16/0056
</t>
    </r>
    <r>
      <rPr>
        <i/>
        <sz val="10"/>
        <color rgb="FF0000FF"/>
        <rFont val="Arial"/>
        <family val="2"/>
      </rPr>
      <t>PC16/0619 
CoC 19/08/2016</t>
    </r>
  </si>
  <si>
    <t>PC17/0366 
(also refer MCU13/0030.02)</t>
  </si>
  <si>
    <t>Building Work
Pacific BCQ
Approval Number:
20170206</t>
  </si>
  <si>
    <t>Noosacare Inc. Kabara</t>
  </si>
  <si>
    <t>C/- Middap Architecture Pty Ltd
PO Box 1352
NOOSAVILLE QLD 4566</t>
  </si>
  <si>
    <r>
      <rPr>
        <b/>
        <sz val="10"/>
        <color rgb="FF0000FF"/>
        <rFont val="Arial"/>
        <family val="2"/>
      </rPr>
      <t xml:space="preserve">N </t>
    </r>
    <r>
      <rPr>
        <b/>
        <sz val="10"/>
        <rFont val="Arial"/>
        <family val="2"/>
      </rPr>
      <t xml:space="preserve">1235
</t>
    </r>
    <r>
      <rPr>
        <sz val="10"/>
        <color rgb="FFFF0000"/>
        <rFont val="Arial"/>
        <family val="2"/>
      </rPr>
      <t>100% REBATE FOR COMMUNITY ORGANISATION</t>
    </r>
  </si>
  <si>
    <t>Existing Kitchen converting to Storeroom = No change to use &amp; GFA 
New Kitchen additional = 100 m2 GFA &amp; Impervious Area
New Covered Walkway over existing Open Walkway = No change to Impervious Area</t>
  </si>
  <si>
    <t>N/A Additions to original approval only</t>
  </si>
  <si>
    <t>132003.221008.1</t>
  </si>
  <si>
    <t>MCU17/0034</t>
  </si>
  <si>
    <t>Peak Physique Yoga Noosa</t>
  </si>
  <si>
    <t>2/17 Grant St
NOOSA HEADS QLD 4567</t>
  </si>
  <si>
    <t>Lot 4 BUP 101093</t>
  </si>
  <si>
    <t>Use is Exempt from Parks component</t>
  </si>
  <si>
    <t>Entertainment and Dining Type 2 - Sports and Recreation (additional 106m2 GFA at Mezzanine Level)
Court Area = 88 m2 gfa
Non-Court Area = 18 m2 gfa
Calc only for additional m2 gfa &amp; use</t>
  </si>
  <si>
    <t xml:space="preserve">N C Oliver </t>
  </si>
  <si>
    <t>Lot 1 SP 264909</t>
  </si>
  <si>
    <t>Community Use - Education Type 1 - Childcare   (18m2 GFA additional)</t>
  </si>
  <si>
    <t>Paid 
Council Networks</t>
  </si>
  <si>
    <t>July 2017 Total =</t>
  </si>
  <si>
    <t>August 2017
Total =</t>
  </si>
  <si>
    <t>PC17/0414</t>
  </si>
  <si>
    <t>PC17/0828</t>
  </si>
  <si>
    <t>Black Home Builders</t>
  </si>
  <si>
    <t>PO Box 599
MOFFAT BEACH QLD 4551</t>
  </si>
  <si>
    <t>Lot 1 RP 112629</t>
  </si>
  <si>
    <t>Stroud Homes Sunshine Coast</t>
  </si>
  <si>
    <t>9 Nicklin Way
MINYAMA QLD 4575</t>
  </si>
  <si>
    <t>Lot 43 SP 290494</t>
  </si>
  <si>
    <t>70 Straker Drive
COOROY</t>
  </si>
  <si>
    <t>51983.3225.09</t>
  </si>
  <si>
    <t>KL &amp; M Hingston</t>
  </si>
  <si>
    <t>1/12 Kennilworth Grove
GLEN IRIS VIC 3146</t>
  </si>
  <si>
    <t>Lot 20 GTP 1154</t>
  </si>
  <si>
    <t>Multiple housing Type 4 = 1 x 3 bed unit</t>
  </si>
  <si>
    <t>Multiple housing Type 4 = 1 x 2 bed unit</t>
  </si>
  <si>
    <t>Oakvale Homes Building Group Pty Ltd</t>
  </si>
  <si>
    <t>16 Cross St
GYMPIE QLD 4570</t>
  </si>
  <si>
    <t>Lot 53 RP 139584</t>
  </si>
  <si>
    <t>231 Ocean View Road COOROY QLD 4563</t>
  </si>
  <si>
    <t>Vacant Detached house lot</t>
  </si>
  <si>
    <t>Nil 
Additional to Bunnings Warehouse (Undefined by Planning Scheme)</t>
  </si>
  <si>
    <t>reduction $16,800 for payment of Non-res Lot
Disregard indexation as covered by higher payment of non-res lot.</t>
  </si>
  <si>
    <r>
      <t xml:space="preserve">paid
</t>
    </r>
    <r>
      <rPr>
        <sz val="8"/>
        <color rgb="FF0000FF"/>
        <rFont val="Arial"/>
        <family val="2"/>
      </rPr>
      <t>Disregard indexation as covered by higher payment of non-res lot</t>
    </r>
  </si>
  <si>
    <t>Building Work
Caloundra Building Approvals Number:
00007799</t>
  </si>
  <si>
    <t>Building Work
Caloundra Building Approvals Number:
00007652</t>
  </si>
  <si>
    <t>NOTE:
Reduction of $16,800 due to payment of AICN 166 for creation of the new Non-residential lot REC12/0014 (Now 188 Eumundi Rd Noosaville)
PAID $19,606 on 22/07/2015 Receipt: 1168457</t>
  </si>
  <si>
    <t>August 2017 Total =</t>
  </si>
  <si>
    <t>CPI Mar 2016</t>
  </si>
  <si>
    <r>
      <t xml:space="preserve">MCU16/0082
</t>
    </r>
    <r>
      <rPr>
        <i/>
        <sz val="10"/>
        <color rgb="FF0000FF"/>
        <rFont val="Arial"/>
        <family val="2"/>
      </rPr>
      <t>PC16/1283</t>
    </r>
  </si>
  <si>
    <t>PC17/0697</t>
  </si>
  <si>
    <t>Building Work
Pacific BCQ
Approval Number:
20170310</t>
  </si>
  <si>
    <t>H &amp; T Jacques</t>
  </si>
  <si>
    <t>C/- Greg Gibbs Architects
PO Box 1272
NOOSA HEADS QLD 4567</t>
  </si>
  <si>
    <t>Lot 2 RP 202441</t>
  </si>
  <si>
    <t>$6,190 
IA13 Stormwater 
@ CPI Mar-13
Refer to Sheet 4) AICN (Paid)</t>
  </si>
  <si>
    <t>$6,706  Mar-17 
IA13 Stormwater 
@ CPI Mar-13
Refer to Sheet 4) AICN (Paid)</t>
  </si>
  <si>
    <r>
      <t xml:space="preserve">IA 13
</t>
    </r>
    <r>
      <rPr>
        <sz val="10"/>
        <color rgb="FF0000FF"/>
        <rFont val="Arial"/>
        <family val="2"/>
      </rPr>
      <t>Extn Missing Stormwater</t>
    </r>
    <r>
      <rPr>
        <b/>
        <sz val="10"/>
        <color rgb="FF0000FF"/>
        <rFont val="Arial"/>
        <family val="2"/>
      </rPr>
      <t xml:space="preserve"> 
</t>
    </r>
    <r>
      <rPr>
        <sz val="10"/>
        <color rgb="FF0000FF"/>
        <rFont val="Arial"/>
        <family val="2"/>
      </rPr>
      <t>Also refer 132008.1973 contributions &amp;
 ICN.N1123 for Missing Public Transport</t>
    </r>
  </si>
  <si>
    <r>
      <rPr>
        <b/>
        <sz val="10"/>
        <color rgb="FF0000FF"/>
        <rFont val="Arial"/>
        <family val="2"/>
      </rPr>
      <t xml:space="preserve">N </t>
    </r>
    <r>
      <rPr>
        <b/>
        <sz val="10"/>
        <rFont val="Arial"/>
        <family val="2"/>
      </rPr>
      <t xml:space="preserve">1123
</t>
    </r>
    <r>
      <rPr>
        <sz val="10"/>
        <rFont val="Arial"/>
        <family val="2"/>
      </rPr>
      <t xml:space="preserve">
</t>
    </r>
    <r>
      <rPr>
        <sz val="10"/>
        <color rgb="FF0000FF"/>
        <rFont val="Arial"/>
        <family val="2"/>
      </rPr>
      <t>Also refer 132008.1973 &amp; IA.13</t>
    </r>
  </si>
  <si>
    <t>132008.1973.01
Extn</t>
  </si>
  <si>
    <t>Missing network Impervious area = 706m2</t>
  </si>
  <si>
    <r>
      <t xml:space="preserve">IA relating to missing </t>
    </r>
    <r>
      <rPr>
        <u/>
        <sz val="10"/>
        <color rgb="FF0000FF"/>
        <rFont val="Arial"/>
        <family val="2"/>
      </rPr>
      <t>Stormwater network</t>
    </r>
    <r>
      <rPr>
        <sz val="10"/>
        <color rgb="FF0000FF"/>
        <rFont val="Arial"/>
        <family val="2"/>
      </rPr>
      <t xml:space="preserve"> from original approval</t>
    </r>
  </si>
  <si>
    <t>PC17/0895</t>
  </si>
  <si>
    <t>Lot 260 RP 175940</t>
  </si>
  <si>
    <t>Building Work
Caloundra Building Approvals Number: SBA 2017-1369</t>
  </si>
  <si>
    <t>Avalon Granny Flats</t>
  </si>
  <si>
    <t>100 Sugar Road 
MAROOCHDORE QLD 4558</t>
  </si>
  <si>
    <t>75 Griffith Avenue
TEWANTIN QLD 4565</t>
  </si>
  <si>
    <t>MCU17/0053</t>
  </si>
  <si>
    <t>MJ Clair</t>
  </si>
  <si>
    <t>C/- Martoo Consulting
PO Box 1684
NOOSA HEADS  QLD  4567</t>
  </si>
  <si>
    <t>Lot 2 RP 76164</t>
  </si>
  <si>
    <t>Multiple housing Type 2 Duplex = 2 x 3 bed unit</t>
  </si>
  <si>
    <t>1 x Detached house</t>
  </si>
  <si>
    <t>CPI June 2017</t>
  </si>
  <si>
    <t>PC17/0725</t>
  </si>
  <si>
    <t>Building Work
Pacific BCQ
Number: 20170300</t>
  </si>
  <si>
    <t>J Wilby</t>
  </si>
  <si>
    <t>C/- BAA House
11 winston Road
WYNUM WEST QLD 4178</t>
  </si>
  <si>
    <t>Lot 6 RP 227490</t>
  </si>
  <si>
    <t>37 Kimbah Court
COOROIBAH</t>
  </si>
  <si>
    <t>Tea 4 Two Pty Ltd TTE</t>
  </si>
  <si>
    <t>Multiple Houseing Type 2 - Duplex</t>
  </si>
  <si>
    <t>Doonella Street P/L TTE</t>
  </si>
  <si>
    <t>Lots 32 RP 893427 &amp; Lot 903 T 1631</t>
  </si>
  <si>
    <t>1 x Detached House (on Lot 32)
Multiple Dwellings (6 Units on Lot 903 =  4 x 2 B/R + 1 x 1 B/R + 1 x 3 B/R (on Lot 903)
Bedroom configuration confirmed with Margot (property owner) by phone at 2.40pm on 7/10/2015
(As per previous approval and via Representation 11 Nov 2015)</t>
  </si>
  <si>
    <t>Resential Development
Multiple Housing Type 4 - Conventional (10 x 2 B/R Units)
Non-residential development
Commercial Business Type 1  - Office
Commercial Building Type 2 - Medical
Total GFA = 762sqm Highest &amp; Best Use (Commercial buildings can be used for either purpose)</t>
  </si>
  <si>
    <t>Mr HA Matheson PR</t>
  </si>
  <si>
    <t>Lot 35 RP186538</t>
  </si>
  <si>
    <r>
      <t xml:space="preserve">05/1219 DA
132005.1219
</t>
    </r>
    <r>
      <rPr>
        <sz val="8"/>
        <color rgb="FF0000FF"/>
        <rFont val="Arial"/>
        <family val="2"/>
      </rPr>
      <t xml:space="preserve">(Ext: 132005.1219.06)
</t>
    </r>
    <r>
      <rPr>
        <sz val="8"/>
        <color rgb="FFFF0000"/>
        <rFont val="Arial"/>
        <family val="2"/>
      </rPr>
      <t>PC16/0608 CoC issued 23/05/2017</t>
    </r>
  </si>
  <si>
    <r>
      <t xml:space="preserve">IC 364
+
</t>
    </r>
    <r>
      <rPr>
        <sz val="8"/>
        <color rgb="FF0000FF"/>
        <rFont val="Arial"/>
        <family val="2"/>
      </rPr>
      <t xml:space="preserve">IA 38   
 9/07/2014
</t>
    </r>
  </si>
  <si>
    <t>PAID IC 364</t>
  </si>
  <si>
    <r>
      <t xml:space="preserve">Use commenced  via AirBnB from March 2015 as "Pomona Rural Retreat Cottages"
</t>
    </r>
    <r>
      <rPr>
        <b/>
        <sz val="10"/>
        <color rgb="FF0000FF"/>
        <rFont val="Arial"/>
        <family val="2"/>
      </rPr>
      <t>Staged Payment Agreement Approved  3/08/2017</t>
    </r>
  </si>
  <si>
    <t>Stg Pmt 1</t>
  </si>
  <si>
    <t>Stg Pmt 2</t>
  </si>
  <si>
    <t>Stg Pmt 3</t>
  </si>
  <si>
    <t>Stg Pmt 4</t>
  </si>
  <si>
    <t>Stg Pmt 5</t>
  </si>
  <si>
    <r>
      <t xml:space="preserve">453
</t>
    </r>
    <r>
      <rPr>
        <b/>
        <sz val="10"/>
        <color rgb="FF0000FF"/>
        <rFont val="Arial"/>
        <family val="2"/>
      </rPr>
      <t xml:space="preserve">Staged Payment 
IA# 64
</t>
    </r>
    <r>
      <rPr>
        <b/>
        <sz val="10"/>
        <color rgb="FFFF0000"/>
        <rFont val="Arial"/>
        <family val="2"/>
      </rPr>
      <t>STAGE Pmt 2 
Due 20 DEC 2017</t>
    </r>
  </si>
  <si>
    <r>
      <t xml:space="preserve">453
</t>
    </r>
    <r>
      <rPr>
        <b/>
        <sz val="10"/>
        <color rgb="FF0000FF"/>
        <rFont val="Arial"/>
        <family val="2"/>
      </rPr>
      <t xml:space="preserve">Staged Payment 
IA# 64
</t>
    </r>
    <r>
      <rPr>
        <b/>
        <sz val="10"/>
        <color rgb="FFFF0000"/>
        <rFont val="Arial"/>
        <family val="2"/>
      </rPr>
      <t>STAGE Pmt 3 
Due 30 JUNE 2018</t>
    </r>
  </si>
  <si>
    <r>
      <t xml:space="preserve">453
</t>
    </r>
    <r>
      <rPr>
        <b/>
        <sz val="10"/>
        <color rgb="FF0000FF"/>
        <rFont val="Arial"/>
        <family val="2"/>
      </rPr>
      <t xml:space="preserve">Staged Payment 
IA# 64
</t>
    </r>
    <r>
      <rPr>
        <b/>
        <sz val="10"/>
        <color rgb="FFFF0000"/>
        <rFont val="Arial"/>
        <family val="2"/>
      </rPr>
      <t>STAGE Pmt 1 
Due 31 AUG 2017</t>
    </r>
  </si>
  <si>
    <t>Paid
STAGE 1</t>
  </si>
  <si>
    <t>Incorrectly paid at Mar 2017 
Balance indexation to Jun-2017 remaining</t>
  </si>
  <si>
    <t>LB Simmons &amp; TGV Pty Ltd TTE</t>
  </si>
  <si>
    <t>38 Park Cres 
SUNSHINE BEACH QLD 4567</t>
  </si>
  <si>
    <t>Lot 598 RP 48112</t>
  </si>
  <si>
    <t>Multiple Housing type 2 -duplex = 2 x equiv 3 bedroom units (i.e. 2 bedroom + closed in "rumpus" capable of being used as 3rd bedroom)</t>
  </si>
  <si>
    <t>MCU17/0046</t>
  </si>
  <si>
    <t>Paid Balance</t>
  </si>
  <si>
    <t>September 2017
Total =</t>
  </si>
  <si>
    <t>PC17/0476</t>
  </si>
  <si>
    <t>TINA &amp; ALBERTINA BANKS 
C/- KC ROBINSON</t>
  </si>
  <si>
    <t>15 RISLEY COURT
COORAN QLD 4569</t>
  </si>
  <si>
    <t>LOT 16 RP 885195</t>
  </si>
  <si>
    <t xml:space="preserve">1 x 1 B/R Secondary Dwelling  
</t>
  </si>
  <si>
    <t>IA Stormwater
$1,792 @ CPI Jun 14</t>
  </si>
  <si>
    <t>IA Public Parks &amp; LFC $8,960 @ CPI Jun 14</t>
  </si>
  <si>
    <t xml:space="preserve">IA Public Transport
$272 @ CPI Jun 14
</t>
  </si>
  <si>
    <t>Part Paid conditions 25 &amp; 29 only</t>
  </si>
  <si>
    <t>September 2017 Total =</t>
  </si>
  <si>
    <r>
      <t xml:space="preserve">c/- Ken Hicks &amp; Associates PO Box 232 Maroochydore QLD 4558 </t>
    </r>
    <r>
      <rPr>
        <sz val="8"/>
        <rFont val="Arial"/>
        <family val="2"/>
      </rPr>
      <t xml:space="preserve">
CARE Karen Harman 35 Lorilet Street PEREGIAN BEACH  QLD  4573</t>
    </r>
  </si>
  <si>
    <t>Lot 408 RP 48112</t>
  </si>
  <si>
    <t>61 Elanda St 
Sunshine Beach QLD 4567</t>
  </si>
  <si>
    <t xml:space="preserve">Multiple Housing type 2 - Duplex = 2 x 3 bedroom units </t>
  </si>
  <si>
    <t>Refer to AICN sheet re:
Extn IA for Missing:
- Stormwater
- Parks &amp; LFCF 
- Public Transport</t>
  </si>
  <si>
    <t>PC17/0587</t>
  </si>
  <si>
    <t>Building Work
Pacific BCQ
Number: 20170587</t>
  </si>
  <si>
    <t>TROY SINCLAIR BUILDER</t>
  </si>
  <si>
    <t>C/- NATANI DESIGNS
PO BOX 620
NOOSAVILLE 4566</t>
  </si>
  <si>
    <t>Lot 6 RP 73349</t>
  </si>
  <si>
    <t>11 Warana Street NOOSA HEADS QLD 4567</t>
  </si>
  <si>
    <t>1 x Secondary dwelling  
underneath existing main dwelling</t>
  </si>
  <si>
    <t>Part payment made 7/9/2017 receipt 1198487 for original amount issued at base date instead of correct indexation to Planning Reg 2017-18</t>
  </si>
  <si>
    <t>Paid original issued amount $5,981 at CPI Mar-17 on 31 Aug 2017. 
BALANCE Indexation to CPI Jun-17 remaining</t>
  </si>
  <si>
    <r>
      <rPr>
        <b/>
        <sz val="10"/>
        <color rgb="FF0000FF"/>
        <rFont val="Arial"/>
        <family val="2"/>
      </rPr>
      <t xml:space="preserve">N </t>
    </r>
    <r>
      <rPr>
        <b/>
        <sz val="10"/>
        <rFont val="Arial"/>
        <family val="2"/>
      </rPr>
      <t xml:space="preserve">1206
</t>
    </r>
    <r>
      <rPr>
        <sz val="10"/>
        <rFont val="Arial"/>
        <family val="2"/>
      </rPr>
      <t>Part Paid 31/08/2017 at CPI Mar-17</t>
    </r>
    <r>
      <rPr>
        <b/>
        <sz val="10"/>
        <rFont val="Arial"/>
        <family val="2"/>
      </rPr>
      <t xml:space="preserve">
</t>
    </r>
    <r>
      <rPr>
        <b/>
        <sz val="10"/>
        <color rgb="FFFF0000"/>
        <rFont val="Arial"/>
        <family val="2"/>
      </rPr>
      <t>Indexation to 
CPI Jun-17 remaining</t>
    </r>
  </si>
  <si>
    <r>
      <rPr>
        <b/>
        <sz val="10"/>
        <color rgb="FF0000FF"/>
        <rFont val="Arial"/>
        <family val="2"/>
      </rPr>
      <t xml:space="preserve">N </t>
    </r>
    <r>
      <rPr>
        <b/>
        <sz val="10"/>
        <rFont val="Arial"/>
        <family val="2"/>
      </rPr>
      <t xml:space="preserve">1206
</t>
    </r>
    <r>
      <rPr>
        <sz val="10"/>
        <rFont val="Arial"/>
        <family val="2"/>
      </rPr>
      <t>Part Paid 31/08/2017 at CPI Mar-17</t>
    </r>
    <r>
      <rPr>
        <b/>
        <sz val="10"/>
        <rFont val="Arial"/>
        <family val="2"/>
      </rPr>
      <t xml:space="preserve">
</t>
    </r>
    <r>
      <rPr>
        <sz val="10"/>
        <rFont val="Arial"/>
        <family val="2"/>
      </rPr>
      <t>Paid Remaining Balance Indexation to Jun-17</t>
    </r>
    <r>
      <rPr>
        <sz val="10"/>
        <color rgb="FFFF0000"/>
        <rFont val="Arial"/>
        <family val="2"/>
      </rPr>
      <t xml:space="preserve"> </t>
    </r>
  </si>
  <si>
    <r>
      <rPr>
        <b/>
        <sz val="10"/>
        <color rgb="FF0000FF"/>
        <rFont val="Arial"/>
        <family val="2"/>
      </rPr>
      <t xml:space="preserve">N </t>
    </r>
    <r>
      <rPr>
        <b/>
        <sz val="10"/>
        <rFont val="Arial"/>
        <family val="2"/>
      </rPr>
      <t xml:space="preserve">1117
</t>
    </r>
    <r>
      <rPr>
        <sz val="10"/>
        <rFont val="Arial"/>
        <family val="2"/>
      </rPr>
      <t xml:space="preserve">Part Paid at AICS Jul-14 </t>
    </r>
    <r>
      <rPr>
        <sz val="10"/>
        <color rgb="FFFF0000"/>
        <rFont val="Arial"/>
        <family val="2"/>
      </rPr>
      <t>Balance indexation to Planning Reg 2017-18 remaining</t>
    </r>
  </si>
  <si>
    <r>
      <t xml:space="preserve">Part Paid
</t>
    </r>
    <r>
      <rPr>
        <b/>
        <sz val="10"/>
        <color rgb="FFFF0000"/>
        <rFont val="Arial"/>
        <family val="2"/>
      </rPr>
      <t>Indexation missing</t>
    </r>
  </si>
  <si>
    <r>
      <t xml:space="preserve">Part Paid 
</t>
    </r>
    <r>
      <rPr>
        <b/>
        <sz val="10"/>
        <color rgb="FFFF0000"/>
        <rFont val="Arial"/>
        <family val="2"/>
      </rPr>
      <t>Indexation missing</t>
    </r>
  </si>
  <si>
    <t>Incorrectly paid at AICS Jul-14 
Balance indexation to Planning Reg 2017-18 remaining</t>
  </si>
  <si>
    <t>132004.5744.09
(Change to Existing Approval)</t>
  </si>
  <si>
    <t>will not lapse</t>
  </si>
  <si>
    <t>Lot 2 SP 162077
(Previously Part Lot D SP 215280)</t>
  </si>
  <si>
    <t>50 x 2 bedroom dwellings + 8 x 3 bedoom dwellings
(Change relates to multiple dwelling units component of overall development)</t>
  </si>
  <si>
    <r>
      <t xml:space="preserve">Nil, However:
</t>
    </r>
    <r>
      <rPr>
        <sz val="10"/>
        <color rgb="FFFF0000"/>
        <rFont val="Arial"/>
        <family val="2"/>
      </rPr>
      <t>Paid contributions under original approval for ICP Roads, Pathways &amp; Parks &amp; Water Supply &amp; Sewerage.
But MISSING Transport (4% Public Transport) &amp; 100% Stormwater
42 x 1 bedroom dwellings + 25 x 2 bedroom dwellings</t>
    </r>
  </si>
  <si>
    <t>MCU17/0076</t>
  </si>
  <si>
    <t>HK Lee</t>
  </si>
  <si>
    <t>C/- Adams Sparkes Town Planning &amp;
Development
PO Box 1000
BUDDINA QLD 4575</t>
  </si>
  <si>
    <t>Lot 6 RP 112875</t>
  </si>
  <si>
    <t>25 Edward Street NOOSAVILLE 4566</t>
  </si>
  <si>
    <t>Multiple Housing type 2 -duplex = 2 x  3 bedroom units</t>
  </si>
  <si>
    <t>ISSUED INDEX</t>
  </si>
  <si>
    <t>PAYMENT INDEX</t>
  </si>
  <si>
    <t>remaining charge is Unitywater's responsibility</t>
  </si>
  <si>
    <r>
      <t xml:space="preserve">152006.1999 </t>
    </r>
    <r>
      <rPr>
        <sz val="10"/>
        <color rgb="FF0000FF"/>
        <rFont val="Arial"/>
        <family val="2"/>
      </rPr>
      <t>(stage 1)</t>
    </r>
  </si>
  <si>
    <r>
      <t>152006.1999</t>
    </r>
    <r>
      <rPr>
        <sz val="10"/>
        <color rgb="FF0000FF"/>
        <rFont val="Arial"/>
        <family val="2"/>
      </rPr>
      <t xml:space="preserve"> (stage 2)</t>
    </r>
  </si>
  <si>
    <r>
      <t xml:space="preserve">152006.1999 </t>
    </r>
    <r>
      <rPr>
        <sz val="10"/>
        <color rgb="FF0000FF"/>
        <rFont val="Arial"/>
        <family val="2"/>
      </rPr>
      <t>(stage 3)</t>
    </r>
  </si>
  <si>
    <r>
      <t>152006.1999</t>
    </r>
    <r>
      <rPr>
        <sz val="10"/>
        <color rgb="FF0000FF"/>
        <rFont val="Arial"/>
        <family val="2"/>
      </rPr>
      <t xml:space="preserve"> (stage 4)</t>
    </r>
  </si>
  <si>
    <t>Use Commenced</t>
  </si>
  <si>
    <r>
      <t>17/2/00</t>
    </r>
    <r>
      <rPr>
        <sz val="8"/>
        <rFont val="Arial"/>
        <family val="2"/>
      </rPr>
      <t xml:space="preserve">     24/11/2009
</t>
    </r>
    <r>
      <rPr>
        <sz val="8"/>
        <color rgb="FF0000FF"/>
        <rFont val="Arial"/>
        <family val="2"/>
      </rPr>
      <t>Approval continues will not lapse</t>
    </r>
  </si>
  <si>
    <r>
      <t>9/06/2009</t>
    </r>
    <r>
      <rPr>
        <sz val="8"/>
        <rFont val="Arial"/>
        <family val="2"/>
      </rPr>
      <t xml:space="preserve">
</t>
    </r>
    <r>
      <rPr>
        <strike/>
        <sz val="8"/>
        <rFont val="Arial"/>
        <family val="2"/>
      </rPr>
      <t>4/1/2011</t>
    </r>
    <r>
      <rPr>
        <sz val="8"/>
        <rFont val="Arial"/>
        <family val="2"/>
      </rPr>
      <t xml:space="preserve">
</t>
    </r>
    <r>
      <rPr>
        <strike/>
        <sz val="8"/>
        <rFont val="Arial"/>
        <family val="2"/>
      </rPr>
      <t>21/12/2015</t>
    </r>
    <r>
      <rPr>
        <sz val="8"/>
        <rFont val="Arial"/>
        <family val="2"/>
      </rPr>
      <t xml:space="preserve">
</t>
    </r>
    <r>
      <rPr>
        <strike/>
        <sz val="8"/>
        <color rgb="FF0000FF"/>
        <rFont val="Arial"/>
        <family val="2"/>
      </rPr>
      <t>4/11/2017</t>
    </r>
    <r>
      <rPr>
        <sz val="8"/>
        <color rgb="FF0000FF"/>
        <rFont val="Arial"/>
        <family val="2"/>
      </rPr>
      <t xml:space="preserve">
4/11/2019</t>
    </r>
  </si>
  <si>
    <r>
      <t xml:space="preserve">7/09/2016
</t>
    </r>
    <r>
      <rPr>
        <sz val="8"/>
        <color rgb="FF0000FF"/>
        <rFont val="Arial"/>
        <family val="2"/>
      </rPr>
      <t>Will not Lapse However can be replaced by an alternative approval</t>
    </r>
  </si>
  <si>
    <r>
      <t xml:space="preserve">11/10/2011
</t>
    </r>
    <r>
      <rPr>
        <sz val="8"/>
        <color rgb="FF0000FF"/>
        <rFont val="Arial"/>
        <family val="2"/>
      </rPr>
      <t>Will not Lapse due to Stage 1 completed</t>
    </r>
  </si>
  <si>
    <r>
      <t xml:space="preserve">Balance Paid
</t>
    </r>
    <r>
      <rPr>
        <b/>
        <sz val="10"/>
        <color rgb="FFFF0000"/>
        <rFont val="Arial"/>
        <family val="2"/>
      </rPr>
      <t xml:space="preserve">Indexation </t>
    </r>
  </si>
  <si>
    <r>
      <rPr>
        <b/>
        <sz val="10"/>
        <color rgb="FF0000FF"/>
        <rFont val="Arial"/>
        <family val="2"/>
      </rPr>
      <t xml:space="preserve">N </t>
    </r>
    <r>
      <rPr>
        <b/>
        <sz val="10"/>
        <rFont val="Arial"/>
        <family val="2"/>
      </rPr>
      <t>1117</t>
    </r>
    <r>
      <rPr>
        <sz val="10"/>
        <rFont val="Arial"/>
        <family val="2"/>
      </rPr>
      <t xml:space="preserve">
Part Paid at AICS Jul-14 </t>
    </r>
    <r>
      <rPr>
        <sz val="10"/>
        <color rgb="FFFF0000"/>
        <rFont val="Arial"/>
        <family val="2"/>
      </rPr>
      <t xml:space="preserve">Balance indexation to Planning Reg 2017-18 </t>
    </r>
  </si>
  <si>
    <t>Planning Reg 2017-18</t>
  </si>
  <si>
    <r>
      <t xml:space="preserve">IC Notice Issued
</t>
    </r>
    <r>
      <rPr>
        <b/>
        <i/>
        <sz val="8"/>
        <rFont val="Arial"/>
        <family val="2"/>
      </rPr>
      <t>(CMRNICP)</t>
    </r>
  </si>
  <si>
    <t>Refer also to AICN.N 1071
for Missing Stormwater</t>
  </si>
  <si>
    <t>AICS 2014</t>
  </si>
  <si>
    <t>Planning Reg 2017</t>
  </si>
  <si>
    <t>51987.2900.1 
(Change to Existing Approval TPC1969)</t>
  </si>
  <si>
    <t>Lot 22 RP 839106</t>
  </si>
  <si>
    <t>Ancillary Dwelling unit (Managers Residence) = 1 x 1 bed dwelling
Office - 21m2 GFA  + Impervious area (5.8 x 4.9) = 29m2 impervious</t>
  </si>
  <si>
    <t>Ancillary Dwelling unit (Managers Residence) = 1 x 1 bed dwelling</t>
  </si>
  <si>
    <t>Ecclebrook Pty Ltd</t>
  </si>
  <si>
    <t>PC17/0877</t>
  </si>
  <si>
    <t>Building Work
Pacific BCQ
Number: 20150355</t>
  </si>
  <si>
    <t>Ian Kaye &amp; Jane Campbell-Kaye</t>
  </si>
  <si>
    <t>103 Hassall Street
CORINDA QLD 4075</t>
  </si>
  <si>
    <t>Lot 193 P 93134</t>
  </si>
  <si>
    <t>Approval is also For:
CONVERT EXISTING SHED TO MUSIC ROOM WITH
NEW BATHROOM ADDITION but this does not attract an IC</t>
  </si>
  <si>
    <t>PC17/0719</t>
  </si>
  <si>
    <t>Building Work
Pacific BCQ
Number: 20170719</t>
  </si>
  <si>
    <t>Don Howie</t>
  </si>
  <si>
    <t>PO Box 279
DONCASTER EAST VIC 3109</t>
  </si>
  <si>
    <t>Lot 12 RP 28715</t>
  </si>
  <si>
    <t>90 Moorindil Street
TEWANTIN</t>
  </si>
  <si>
    <r>
      <t xml:space="preserve">MCU15/0032
</t>
    </r>
    <r>
      <rPr>
        <sz val="10"/>
        <color rgb="FF0000FF"/>
        <rFont val="Arial"/>
        <family val="2"/>
      </rPr>
      <t xml:space="preserve">
(PC17/1077)</t>
    </r>
    <r>
      <rPr>
        <sz val="10"/>
        <rFont val="Arial"/>
        <family val="2"/>
      </rPr>
      <t xml:space="preserve">
</t>
    </r>
  </si>
  <si>
    <r>
      <rPr>
        <strike/>
        <sz val="10"/>
        <rFont val="Arial"/>
        <family val="2"/>
      </rPr>
      <t>30/08/2015</t>
    </r>
    <r>
      <rPr>
        <sz val="10"/>
        <rFont val="Arial"/>
        <family val="2"/>
      </rPr>
      <t xml:space="preserve">
1/03/2017
</t>
    </r>
    <r>
      <rPr>
        <b/>
        <sz val="10"/>
        <color rgb="FF0000FF"/>
        <rFont val="Arial"/>
        <family val="2"/>
      </rPr>
      <t>???</t>
    </r>
  </si>
  <si>
    <t>REC17/0009</t>
  </si>
  <si>
    <t>Mr AJ Meredith, LG Meredith</t>
  </si>
  <si>
    <t>70 Beddington Rd
DOONAN QLD 4562</t>
  </si>
  <si>
    <t>Lot 1 SP 119740</t>
  </si>
  <si>
    <t>38 Mountain Street POMONA QLD 4568</t>
  </si>
  <si>
    <r>
      <rPr>
        <b/>
        <sz val="10"/>
        <color rgb="FF0000FF"/>
        <rFont val="Arial"/>
        <family val="2"/>
      </rPr>
      <t xml:space="preserve">N </t>
    </r>
    <r>
      <rPr>
        <b/>
        <sz val="10"/>
        <rFont val="Arial"/>
        <family val="2"/>
      </rPr>
      <t>1153</t>
    </r>
  </si>
  <si>
    <t>Sharpe Enterprises Pty Ltd Tte</t>
  </si>
  <si>
    <t>C/- Martoo Consulting
PO Box 1684
NOOSA HEADS QLD 4567</t>
  </si>
  <si>
    <t>Lot 59 RP 228906</t>
  </si>
  <si>
    <t>Industrial Business Type 1 (Warehouse) - Approved GFA: 4,159m2 
Plus Impervious area = 1,756 m2</t>
  </si>
  <si>
    <t>Multiple Housing Type 4 - Conventional =
3+ Bed units = 6 
2 Bed units = 1</t>
  </si>
  <si>
    <r>
      <rPr>
        <b/>
        <sz val="10"/>
        <color rgb="FF0000FF"/>
        <rFont val="Arial"/>
        <family val="2"/>
      </rPr>
      <t xml:space="preserve">N </t>
    </r>
    <r>
      <rPr>
        <b/>
        <sz val="10"/>
        <rFont val="Arial"/>
        <family val="2"/>
      </rPr>
      <t xml:space="preserve">1003
</t>
    </r>
    <r>
      <rPr>
        <b/>
        <sz val="10"/>
        <color rgb="FF0000FF"/>
        <rFont val="Arial"/>
        <family val="2"/>
      </rPr>
      <t>(Stage 1)</t>
    </r>
  </si>
  <si>
    <r>
      <rPr>
        <b/>
        <sz val="10"/>
        <color rgb="FF0000FF"/>
        <rFont val="Arial"/>
        <family val="2"/>
      </rPr>
      <t xml:space="preserve">N </t>
    </r>
    <r>
      <rPr>
        <b/>
        <sz val="10"/>
        <rFont val="Arial"/>
        <family val="2"/>
      </rPr>
      <t xml:space="preserve">1201
</t>
    </r>
    <r>
      <rPr>
        <b/>
        <sz val="10"/>
        <color rgb="FF0000FF"/>
        <rFont val="Arial"/>
        <family val="2"/>
      </rPr>
      <t>(Stage 2)</t>
    </r>
  </si>
  <si>
    <r>
      <rPr>
        <sz val="8"/>
        <color rgb="FF0000FF"/>
        <rFont val="Arial"/>
        <family val="2"/>
      </rPr>
      <t xml:space="preserve">Multiple Housing </t>
    </r>
    <r>
      <rPr>
        <sz val="8"/>
        <rFont val="Arial"/>
        <family val="2"/>
      </rPr>
      <t xml:space="preserve">Type 4 – Conventional =
</t>
    </r>
    <r>
      <rPr>
        <sz val="8"/>
        <color rgb="FF0000FF"/>
        <rFont val="Arial"/>
        <family val="2"/>
      </rPr>
      <t>3+ bed units = 6
2 bed units = 6
1 bed units = 0</t>
    </r>
  </si>
  <si>
    <t xml:space="preserve">Lot 7 SP 178340 
</t>
  </si>
  <si>
    <r>
      <rPr>
        <sz val="10"/>
        <color rgb="FF0000FF"/>
        <rFont val="Arial"/>
        <family val="2"/>
      </rPr>
      <t xml:space="preserve">Multiple Housing </t>
    </r>
    <r>
      <rPr>
        <sz val="10"/>
        <rFont val="Arial"/>
        <family val="2"/>
      </rPr>
      <t xml:space="preserve">Type 4 – Conventional =
</t>
    </r>
    <r>
      <rPr>
        <sz val="10"/>
        <color rgb="FF0000FF"/>
        <rFont val="Arial"/>
        <family val="2"/>
      </rPr>
      <t>3+ bed units = 6
2 bed units = 6
1 bed units = 0</t>
    </r>
  </si>
  <si>
    <t>Total existing GFA = 589 m2
Refer previous approvals:
132007.0031 DA 
Vehicle Sales Premises assessable against the Superseded Planning Scheme - Tenancy 6 = 105m2 (changed from industry)
Balance Industry (589-105) = 484 m2
Plus Existing impervious = 1,543 m2</t>
  </si>
  <si>
    <t>Duplex Dwelling - 2 x 3 Bed units</t>
  </si>
  <si>
    <t>Duplex Dwelling - 2 x 2 Bed units</t>
  </si>
  <si>
    <t>Annette Louise Warner</t>
  </si>
  <si>
    <r>
      <t>20/02/2006       25/05/2006</t>
    </r>
    <r>
      <rPr>
        <sz val="8"/>
        <rFont val="Arial"/>
        <family val="2"/>
      </rPr>
      <t xml:space="preserve">
</t>
    </r>
    <r>
      <rPr>
        <strike/>
        <sz val="8"/>
        <rFont val="Arial"/>
        <family val="2"/>
      </rPr>
      <t>15/2/2010</t>
    </r>
    <r>
      <rPr>
        <sz val="8"/>
        <rFont val="Arial"/>
        <family val="2"/>
      </rPr>
      <t xml:space="preserve">
26/09/2017</t>
    </r>
  </si>
  <si>
    <t>PO Box 1234
NOOSA HEADS QLD 4567</t>
  </si>
  <si>
    <r>
      <t xml:space="preserve">Lots </t>
    </r>
    <r>
      <rPr>
        <strike/>
        <sz val="10"/>
        <rFont val="Arial"/>
        <family val="2"/>
      </rPr>
      <t xml:space="preserve">0, </t>
    </r>
    <r>
      <rPr>
        <sz val="10"/>
        <rFont val="Arial"/>
        <family val="2"/>
      </rPr>
      <t>1 &amp; 2 BUP 4262</t>
    </r>
  </si>
  <si>
    <r>
      <rPr>
        <strike/>
        <sz val="8"/>
        <rFont val="Arial"/>
        <family val="2"/>
      </rPr>
      <t xml:space="preserve">0 BUP 4262,  </t>
    </r>
    <r>
      <rPr>
        <sz val="8"/>
        <rFont val="Arial"/>
        <family val="2"/>
      </rPr>
      <t xml:space="preserve">          1 BUP 4262, &amp;           2 BUP 4262</t>
    </r>
  </si>
  <si>
    <t>15 June Crescent
NOOSAVILLE QLD 4566</t>
  </si>
  <si>
    <t>PC17/0873</t>
  </si>
  <si>
    <t>PC17/1104</t>
  </si>
  <si>
    <t>Building Work
Pacific BCQ
Number: 20170406</t>
  </si>
  <si>
    <t>Building Work
Sunshine Coast Inspection Services
Number: 170901</t>
  </si>
  <si>
    <t>Toby &amp; Alexandra Atterbury</t>
  </si>
  <si>
    <t>41 Wattlebird Drive
DOONAN QLD 4562</t>
  </si>
  <si>
    <t>Lot 11 RP 225628</t>
  </si>
  <si>
    <t>Mr J Linacre</t>
  </si>
  <si>
    <t>10 Lake Entrance Boulevard
NOOSAVILLE QLD 4566</t>
  </si>
  <si>
    <t>Lot 5 RP 224717</t>
  </si>
  <si>
    <r>
      <rPr>
        <b/>
        <sz val="10"/>
        <color rgb="FF0000FF"/>
        <rFont val="Arial"/>
        <family val="2"/>
      </rPr>
      <t xml:space="preserve">N </t>
    </r>
    <r>
      <rPr>
        <b/>
        <sz val="10"/>
        <rFont val="Arial"/>
        <family val="2"/>
      </rPr>
      <t xml:space="preserve">1252
</t>
    </r>
    <r>
      <rPr>
        <b/>
        <sz val="10"/>
        <color rgb="FF0000FF"/>
        <rFont val="Arial"/>
        <family val="2"/>
      </rPr>
      <t>Negotiated
Stage 5a Building A</t>
    </r>
  </si>
  <si>
    <r>
      <t xml:space="preserve">Change to existing approval
</t>
    </r>
    <r>
      <rPr>
        <b/>
        <sz val="10"/>
        <color rgb="FF0000FF"/>
        <rFont val="Arial"/>
        <family val="2"/>
      </rPr>
      <t>Negotiated to allow payment in Stages
Stage 5a Building A = 24 units</t>
    </r>
  </si>
  <si>
    <r>
      <t xml:space="preserve">Change to existing approval
</t>
    </r>
    <r>
      <rPr>
        <b/>
        <sz val="10"/>
        <color rgb="FF0000FF"/>
        <rFont val="Arial"/>
        <family val="2"/>
      </rPr>
      <t>Negotiated to allow payment in Stages
Stage 5b Building B = 34 units</t>
    </r>
  </si>
  <si>
    <r>
      <t xml:space="preserve">132004.5744.09
(Change to Existing Approval)
</t>
    </r>
    <r>
      <rPr>
        <b/>
        <sz val="10"/>
        <color rgb="FF0000FF"/>
        <rFont val="Arial"/>
        <family val="2"/>
      </rPr>
      <t xml:space="preserve">
</t>
    </r>
  </si>
  <si>
    <r>
      <rPr>
        <strike/>
        <sz val="10"/>
        <rFont val="Arial"/>
        <family val="2"/>
      </rPr>
      <t>7/09/2017</t>
    </r>
    <r>
      <rPr>
        <sz val="10"/>
        <rFont val="Arial"/>
        <family val="2"/>
      </rPr>
      <t xml:space="preserve">
</t>
    </r>
    <r>
      <rPr>
        <sz val="10"/>
        <color rgb="FF0000FF"/>
        <rFont val="Arial"/>
        <family val="2"/>
      </rPr>
      <t>5/10/2017</t>
    </r>
  </si>
  <si>
    <t>131999.982775.1</t>
  </si>
  <si>
    <t>Body Corporate for No 2 Hastings St CTS 2647</t>
  </si>
  <si>
    <t>C/- Ken Hindmarsh
PO Box 626
COTTON TREE  QLD  4558</t>
  </si>
  <si>
    <t>BUP 12996</t>
  </si>
  <si>
    <t>Entertainment &amp; Dining Type 1 - Food &amp; Beverage - 13.5m2 additional GFA
Proposal Gross Floor Area = 1613.5m2
No change/increase to existing impervious area on the site.</t>
  </si>
  <si>
    <t xml:space="preserve"> Approved (TPC 2434) Gross Floor Area = 1,600m2 </t>
  </si>
  <si>
    <t>MCU17/0510</t>
  </si>
  <si>
    <t>Lot 2 SP 295958</t>
  </si>
  <si>
    <t>0.9 Non-Residential Lot credit under Lot Reconfiguration 152007.1626.3 (Change to 07/1626)</t>
  </si>
  <si>
    <t>Remaining Path Offset under Lot Reconfiguration 152007.1626.3 included in Net calc</t>
  </si>
  <si>
    <t>132006.1542.03</t>
  </si>
  <si>
    <t>Duggan &amp; Parker Tye Service 
T/A Noosa's F1 Car &amp; Dog Wash</t>
  </si>
  <si>
    <t>Lot 35 SP 170751</t>
  </si>
  <si>
    <t>Nil
Additional areas to existing only considered</t>
  </si>
  <si>
    <t>Change to existing approval
Area associated with dog wash not included as there is an existing dog wash area moved to a new area</t>
  </si>
  <si>
    <r>
      <rPr>
        <strike/>
        <sz val="10"/>
        <rFont val="Arial"/>
        <family val="2"/>
      </rPr>
      <t>13/10/2017</t>
    </r>
    <r>
      <rPr>
        <sz val="10"/>
        <rFont val="Arial"/>
        <family val="2"/>
      </rPr>
      <t xml:space="preserve">
17/10/2017</t>
    </r>
  </si>
  <si>
    <r>
      <t xml:space="preserve">Additional car wash bay = 33 m2 gfa
+
</t>
    </r>
    <r>
      <rPr>
        <sz val="10"/>
        <color rgb="FF0000FF"/>
        <rFont val="Arial"/>
        <family val="2"/>
      </rPr>
      <t>Negotiated additional Impervious area relates only to additional New Storage Area = 44 m2</t>
    </r>
  </si>
  <si>
    <t>PC17/1182</t>
  </si>
  <si>
    <t>79 Moorindil Street
TEWANTIN QLD 4565</t>
  </si>
  <si>
    <t>Lot 24 RP 28718</t>
  </si>
  <si>
    <t>AJ Northcott</t>
  </si>
  <si>
    <t>MCU17/0078</t>
  </si>
  <si>
    <t>Lot 16 SP 297259</t>
  </si>
  <si>
    <t>20-22 Venture Drive NOOSAVILLE QLD 4566</t>
  </si>
  <si>
    <t>Industrial Business Type 2 - 1953m2 gfa
Ancillary dwellings (198.4m2 gfa) = 2 x 2 bedroom units
+
Impervious area = 3,277m2 lot area - 525 m2 landscaped area = 2,752 m2 impervious</t>
  </si>
  <si>
    <t>Industrial business type 2 - approved GFA: 392m2  &amp;  1 x Ancillary Dwelling Unit (3 bedroom)
+ 1002 m2 impervious area</t>
  </si>
  <si>
    <r>
      <t xml:space="preserve">Infrastructure contributions &amp; IC764 under previous development approval MCU 2007/2174 for 5 x 3 bedroom dwellings paid on 1 March 2010 Receipt 613290 for Water Supply, Sewerage, Parks and part Transport 96.2% (roads and pathways only). 
No contributions previously paid for Stormwater and part Transport (public transport 3.8%). 
Also </t>
    </r>
    <r>
      <rPr>
        <b/>
        <sz val="10"/>
        <color rgb="FF0000FF"/>
        <rFont val="Arial"/>
        <family val="2"/>
      </rPr>
      <t xml:space="preserve">N1092 </t>
    </r>
    <r>
      <rPr>
        <sz val="10"/>
        <color rgb="FF0000FF"/>
        <rFont val="Arial"/>
        <family val="2"/>
      </rPr>
      <t>re MCU15/0215.01 &amp; 03 (Change) is no longer payable due to  MCU15/0215.04 is reverting back to the original revelopment</t>
    </r>
  </si>
  <si>
    <t>October 2017
Total =</t>
  </si>
  <si>
    <t>MCU17/0024</t>
  </si>
  <si>
    <t>Sunshine Beach Surf Lifesaving Club Inc</t>
  </si>
  <si>
    <t>Lot 126 CP 845336 &amp; Lot 5 SP 267274</t>
  </si>
  <si>
    <t>Entertainment and dining business
• Type 1 Food &amp; beverages = 1,543
• Type 2 Recreation, amusement and fitness(2) = 1,208 m2 gfa
No change to impervious area (development over existing footprint)</t>
  </si>
  <si>
    <t>Entertainment and dining business
• Type 1 Food &amp; beverages = 1,053
• Type 2 Recreation, amusement and fitness(2) = 1097 m2 gfa</t>
  </si>
  <si>
    <r>
      <rPr>
        <strike/>
        <sz val="10"/>
        <color rgb="FFFF0000"/>
        <rFont val="Arial"/>
        <family val="2"/>
      </rPr>
      <t>1/03/2017</t>
    </r>
    <r>
      <rPr>
        <sz val="10"/>
        <color rgb="FFFF0000"/>
        <rFont val="Arial"/>
        <family val="2"/>
      </rPr>
      <t xml:space="preserve">
June 2017</t>
    </r>
  </si>
  <si>
    <t>Staged Payment No. 1</t>
  </si>
  <si>
    <t>Staged Payment No. 2</t>
  </si>
  <si>
    <t>Staged Payment No. 3</t>
  </si>
  <si>
    <t>Staged Payment No. 4</t>
  </si>
  <si>
    <t>Staged Payment No. 5</t>
  </si>
  <si>
    <t>Staged Payment No. 6</t>
  </si>
  <si>
    <r>
      <rPr>
        <b/>
        <sz val="10"/>
        <color rgb="FF0000FF"/>
        <rFont val="Arial"/>
        <family val="2"/>
      </rPr>
      <t xml:space="preserve">N </t>
    </r>
    <r>
      <rPr>
        <b/>
        <sz val="10"/>
        <rFont val="Arial"/>
        <family val="2"/>
      </rPr>
      <t xml:space="preserve">1229
</t>
    </r>
    <r>
      <rPr>
        <b/>
        <sz val="10"/>
        <color rgb="FFFF0000"/>
        <rFont val="Arial"/>
        <family val="2"/>
      </rPr>
      <t xml:space="preserve">
</t>
    </r>
    <r>
      <rPr>
        <b/>
        <sz val="10"/>
        <color rgb="FF0000FF"/>
        <rFont val="Arial"/>
        <family val="2"/>
      </rPr>
      <t>IA#65
Stage Payments No.1
DUE 20 Oct 2017</t>
    </r>
  </si>
  <si>
    <r>
      <rPr>
        <b/>
        <sz val="10"/>
        <color rgb="FF0000FF"/>
        <rFont val="Arial"/>
        <family val="2"/>
      </rPr>
      <t xml:space="preserve">N </t>
    </r>
    <r>
      <rPr>
        <b/>
        <sz val="10"/>
        <rFont val="Arial"/>
        <family val="2"/>
      </rPr>
      <t xml:space="preserve">1229
</t>
    </r>
    <r>
      <rPr>
        <b/>
        <sz val="10"/>
        <color rgb="FFFF0000"/>
        <rFont val="Arial"/>
        <family val="2"/>
      </rPr>
      <t xml:space="preserve">
</t>
    </r>
    <r>
      <rPr>
        <b/>
        <sz val="10"/>
        <color rgb="FF0000FF"/>
        <rFont val="Arial"/>
        <family val="2"/>
      </rPr>
      <t xml:space="preserve">IA#65
</t>
    </r>
    <r>
      <rPr>
        <b/>
        <sz val="10"/>
        <color rgb="FFFF0000"/>
        <rFont val="Arial"/>
        <family val="2"/>
      </rPr>
      <t>Stage Payments No.2
DUE 20 Dec 2017</t>
    </r>
  </si>
  <si>
    <t>PC17/1244</t>
  </si>
  <si>
    <t>PC17/1247</t>
  </si>
  <si>
    <t>Building Work
Sunshine Coast Inspection Services
Number: 170345</t>
  </si>
  <si>
    <t>Building Work
Cooloola Building Approvals
Number: 5394</t>
  </si>
  <si>
    <t>Peter McCafferty</t>
  </si>
  <si>
    <t>19 Palm Cove Crescent
TEWANTIN</t>
  </si>
  <si>
    <t>Lot 38 RP 174103</t>
  </si>
  <si>
    <t>19 Palm Cove Crescent
TEWANTIN QLD 4565</t>
  </si>
  <si>
    <t>Building Work
Noosa Building Certifiers
Approval Number:
20170436</t>
  </si>
  <si>
    <t>Steve &amp; Jenni Lowe</t>
  </si>
  <si>
    <t>10 Barbara Road
PEREGIAN BEACH QLD 4573</t>
  </si>
  <si>
    <t>Lot 52 RP 27813</t>
  </si>
  <si>
    <t>97 Werin Street
TEWANTIN</t>
  </si>
  <si>
    <r>
      <rPr>
        <b/>
        <sz val="10"/>
        <color rgb="FF0000FF"/>
        <rFont val="Arial"/>
        <family val="2"/>
      </rPr>
      <t xml:space="preserve">N </t>
    </r>
    <r>
      <rPr>
        <b/>
        <sz val="10"/>
        <rFont val="Arial"/>
        <family val="2"/>
      </rPr>
      <t>1268</t>
    </r>
  </si>
  <si>
    <t>51989.93.1</t>
  </si>
  <si>
    <t>Noosa Engineering &amp; Crane Hire Pty Ltd</t>
  </si>
  <si>
    <t>Lot 251 MCH4539</t>
  </si>
  <si>
    <t>9 Leo Alley Road
NOOSAVILLE QLD 4566</t>
  </si>
  <si>
    <t>9 Leo Alley Road
NOOSAVILLE</t>
  </si>
  <si>
    <t>Additional 83 square metes of additional GFA associated with the development of the building to the front of the existing manufacturing business.
The original approval allowed for additions to Metal Fabrication Workshop and Office
The 83 sqm metres relates to the difference in GFA associated with the original and the current approval.
There is no change in impervious areas</t>
  </si>
  <si>
    <t>Original development approval allowed for the development of a manufacturing shed and offices  - the office component was not constructed.</t>
  </si>
  <si>
    <r>
      <rPr>
        <b/>
        <sz val="10"/>
        <color rgb="FF0000FF"/>
        <rFont val="Arial"/>
        <family val="2"/>
      </rPr>
      <t xml:space="preserve">N </t>
    </r>
    <r>
      <rPr>
        <b/>
        <sz val="10"/>
        <rFont val="Arial"/>
        <family val="2"/>
      </rPr>
      <t>1270</t>
    </r>
  </si>
  <si>
    <t>November 2017
Total =</t>
  </si>
  <si>
    <t>PC17/0465</t>
  </si>
  <si>
    <t>Building Work
Pure Building Approvals
Number: 20175809</t>
  </si>
  <si>
    <t>MRA Designs</t>
  </si>
  <si>
    <t>1/33 Premier Circuit
WARANA QLD 4575</t>
  </si>
  <si>
    <t>Lot1 RP 64446</t>
  </si>
  <si>
    <t>51994.1353.01
Change to Existing</t>
  </si>
  <si>
    <t>Grill'd Healthy Burgers</t>
  </si>
  <si>
    <t>Lots 0 and 5 on SP 108800</t>
  </si>
  <si>
    <t>5/50 Hastings Street Noosa Heads QLD 4567</t>
  </si>
  <si>
    <t>n/a IC only based on additional gfa area</t>
  </si>
  <si>
    <t xml:space="preserve">Enclosing outdoor dining area to indoor. 
Original approval only paid W&amp;S headworks contributions for the outdoor area. </t>
  </si>
  <si>
    <t>Entertainment &amp; dining business - Type 1 food &amp; beverages = 32 m2 gfa
No change to existing lawfull impervious area</t>
  </si>
  <si>
    <t>Deborah Joy Crosby</t>
  </si>
  <si>
    <t>PO Box 1488
NOOSAVILLE BC  QLD  4566</t>
  </si>
  <si>
    <t>Lot 92 RP 136461</t>
  </si>
  <si>
    <t>21 Lake Cooroibah Road, Cooroibah 4565</t>
  </si>
  <si>
    <r>
      <rPr>
        <b/>
        <sz val="10"/>
        <color rgb="FF0000FF"/>
        <rFont val="Arial"/>
        <family val="2"/>
      </rPr>
      <t xml:space="preserve">N </t>
    </r>
    <r>
      <rPr>
        <b/>
        <sz val="10"/>
        <rFont val="Arial"/>
        <family val="2"/>
      </rPr>
      <t>1146</t>
    </r>
  </si>
  <si>
    <t>Part Paid by cheque 13/11/17 $3,643. Balance payment by Bond release $8,500</t>
  </si>
  <si>
    <t>RAL17/0506</t>
  </si>
  <si>
    <t>MCU17/0538</t>
  </si>
  <si>
    <t>5 Vision Court NOOSAVILLE, QLD 4566</t>
  </si>
  <si>
    <t>Lot 3 SP 295958</t>
  </si>
  <si>
    <t>Industrial Business - Type 2 Production, alteration, repackaging and repairing = GFA: 475m2 + Caretaker's 3 B/R Ancillary Dwelling Unit (147 m2 gfa)
+
Site area 1197 less 180m2 landscaped area = Impervious Area (1017 m2)</t>
  </si>
  <si>
    <t>Remaining Pathway Offset re: 152007.1626.03
= $0.59/m2 lot area @ CPI March 2011 indexed to new charge base date Lot 3 = $755 @ 1 July 2014 Base date</t>
  </si>
  <si>
    <t>0.9 Non-Res Lot per 152007.1626.03</t>
  </si>
  <si>
    <t>TA Stewart TTE and ML Stewart TTE</t>
  </si>
  <si>
    <t>C/- Earthcert Building Approvals
PO Box 101
EUMUNDI  QLD  4562</t>
  </si>
  <si>
    <t>Lot 5 on RP 55948</t>
  </si>
  <si>
    <t>Multiple Housing Type 4 Conventional
2 x 2 bedroom dwelling units and 1 x 3 bedroom dwelling unit</t>
  </si>
  <si>
    <t>1 x 3 bedroom dwelling</t>
  </si>
  <si>
    <t>MCU17/0071</t>
  </si>
  <si>
    <t>Building Work 
JDBA Certifiers
Decision Notice: BA170041</t>
  </si>
  <si>
    <t>Kanvas Design</t>
  </si>
  <si>
    <t>PO Box 1228
NOOSAVILLE QLD 4566</t>
  </si>
  <si>
    <t>Lot 52 RP 68719</t>
  </si>
  <si>
    <t>25 Eumundi Noosa Road
NOOSAVILLE QLD 4566</t>
  </si>
  <si>
    <t>MS &amp; KP Bunker</t>
  </si>
  <si>
    <t>Lot 5 RP 82318</t>
  </si>
  <si>
    <t>8 Opal St, COOROY, QLD 4563</t>
  </si>
  <si>
    <t>PC17/1320</t>
  </si>
  <si>
    <t>PC17/1158</t>
  </si>
  <si>
    <t>Building Work 
North Shore Building Certifiers
Decision Notice: 17-165</t>
  </si>
  <si>
    <t>Steve Campbell Designs</t>
  </si>
  <si>
    <t>4 Rene Street
NOOSAVILLE QLD 4566</t>
  </si>
  <si>
    <t>Lot 304 C 5602</t>
  </si>
  <si>
    <t>51 Kauri St
COOROY</t>
  </si>
  <si>
    <r>
      <rPr>
        <b/>
        <sz val="10"/>
        <color rgb="FF0000FF"/>
        <rFont val="Arial"/>
        <family val="2"/>
      </rPr>
      <t xml:space="preserve">N </t>
    </r>
    <r>
      <rPr>
        <b/>
        <sz val="10"/>
        <rFont val="Arial"/>
        <family val="2"/>
      </rPr>
      <t xml:space="preserve">1280
</t>
    </r>
    <r>
      <rPr>
        <b/>
        <sz val="10"/>
        <color rgb="FF0000FF"/>
        <rFont val="Arial"/>
        <family val="2"/>
      </rPr>
      <t>STAGE 2</t>
    </r>
  </si>
  <si>
    <t>Blue Care</t>
  </si>
  <si>
    <t>C/- Rps
PO Box 1559
FORTITUDE VALLEY QLD 4006</t>
  </si>
  <si>
    <t>Nil - applied in stage 1</t>
  </si>
  <si>
    <t>RAL17/0505</t>
  </si>
  <si>
    <t>Eagle Street Finance Pty Ltd</t>
  </si>
  <si>
    <t>Lot 20 SP 233313</t>
  </si>
  <si>
    <t>67 Butler St
TEWANTIN QLD 4565</t>
  </si>
  <si>
    <t>1 Residential Lot</t>
  </si>
  <si>
    <t>6 x Residential Lots</t>
  </si>
  <si>
    <t>37 Kimbah Court
COOROIBAH QLD 4565</t>
  </si>
  <si>
    <t>Part Pmt 
Bal Pmt</t>
  </si>
  <si>
    <t>13/11/2017
22/11/2017</t>
  </si>
  <si>
    <t>1200497
1200737</t>
  </si>
  <si>
    <t>Lot 10 SP 241386 &amp; Lot 6 RP 149498</t>
  </si>
  <si>
    <t>Eagle Rise Developments Pty Ltd</t>
  </si>
  <si>
    <t>21 x Residential Lots</t>
  </si>
  <si>
    <r>
      <t xml:space="preserve">3 Residential Lots
</t>
    </r>
    <r>
      <rPr>
        <sz val="10"/>
        <color rgb="FF0000FF"/>
        <rFont val="Arial"/>
        <family val="2"/>
      </rPr>
      <t>14 Eagle Dr (Lot 31 RP 149497) has been included in the existing development credit as the existing house is to make way for an offsite stormwater bio-basin.</t>
    </r>
  </si>
  <si>
    <t>MCU17/0054</t>
  </si>
  <si>
    <t>Tewantin Retail Pty Ltd</t>
  </si>
  <si>
    <t>Lots 2 + 3 RP 152351 &amp; Lot 4 SP 133160</t>
  </si>
  <si>
    <t>Retail Business Type 2 - Shop = 720 m2
Entertainment and Dining Business Type 1 - Food and Beverages = 235 m2
 +
2912 m2 impervious area</t>
  </si>
  <si>
    <t xml:space="preserve">Building 1: 290 m2 GFA (industry)
Building 2: 120 m2 GFA (industry)
Building 3: 373 m2 GFA (retail shops)
Building 4: 130 m2 GFA (retail shops)
Building 5: 160 m2 GFA (veterinary surgery)
Existing Impervious = 3296m2 est </t>
  </si>
  <si>
    <t>Building Work 
(Council Approval)</t>
  </si>
  <si>
    <t xml:space="preserve">M Design
</t>
  </si>
  <si>
    <t>C/- Michael Broeren
PO Box 290
PEREGIAN BEACH  QLD  4573</t>
  </si>
  <si>
    <t>Lot 8 RP72504</t>
  </si>
  <si>
    <t xml:space="preserve">1 x Detached House 
+ 1 x 1 B/R Secondary Dwelling  
</t>
  </si>
  <si>
    <t>PC17/1370</t>
  </si>
  <si>
    <t>Building Work 
EarthCert Building Approvals
Decision Notice: 170263</t>
  </si>
  <si>
    <t>Paul &amp; Twyllalee Bellette</t>
  </si>
  <si>
    <t>36 Livistona Drive
DOONAN QLD 4562</t>
  </si>
  <si>
    <t>Lot 26 RP 836923</t>
  </si>
  <si>
    <t>MCU17/0554</t>
  </si>
  <si>
    <t>Teewah Power Co P/L</t>
  </si>
  <si>
    <t>PO Box 1707
BUDERIM QLD 4556</t>
  </si>
  <si>
    <t>Lot 5 SP 179869</t>
  </si>
  <si>
    <t>Nil 
(addition to existing Industrial Building)</t>
  </si>
  <si>
    <t>Stormwater component of IC not applicable for cartakers unit located inside existing Industrial building.</t>
  </si>
  <si>
    <t>CPI Sept 2017</t>
  </si>
  <si>
    <r>
      <rPr>
        <b/>
        <sz val="10"/>
        <color rgb="FF0000FF"/>
        <rFont val="Arial"/>
        <family val="2"/>
      </rPr>
      <t xml:space="preserve">N </t>
    </r>
    <r>
      <rPr>
        <b/>
        <sz val="10"/>
        <rFont val="Arial"/>
        <family val="2"/>
      </rPr>
      <t xml:space="preserve">1261
</t>
    </r>
    <r>
      <rPr>
        <b/>
        <sz val="10"/>
        <color rgb="FFFF0000"/>
        <rFont val="Arial"/>
        <family val="2"/>
      </rPr>
      <t xml:space="preserve">
Due 20 Dec 2017</t>
    </r>
  </si>
  <si>
    <r>
      <rPr>
        <b/>
        <sz val="10"/>
        <color rgb="FF0000FF"/>
        <rFont val="Arial"/>
        <family val="2"/>
      </rPr>
      <t xml:space="preserve">N </t>
    </r>
    <r>
      <rPr>
        <b/>
        <sz val="10"/>
        <rFont val="Arial"/>
        <family val="2"/>
      </rPr>
      <t xml:space="preserve">1251
</t>
    </r>
    <r>
      <rPr>
        <b/>
        <sz val="10"/>
        <color rgb="FFFF0000"/>
        <rFont val="Arial"/>
        <family val="2"/>
      </rPr>
      <t xml:space="preserve">
Due 20 Dec 2017</t>
    </r>
  </si>
  <si>
    <r>
      <rPr>
        <b/>
        <sz val="10"/>
        <color rgb="FF0000FF"/>
        <rFont val="Arial"/>
        <family val="2"/>
      </rPr>
      <t xml:space="preserve">N </t>
    </r>
    <r>
      <rPr>
        <b/>
        <sz val="10"/>
        <rFont val="Arial"/>
        <family val="2"/>
      </rPr>
      <t xml:space="preserve">1159
</t>
    </r>
    <r>
      <rPr>
        <b/>
        <sz val="10"/>
        <color rgb="FFFF0000"/>
        <rFont val="Arial"/>
        <family val="2"/>
      </rPr>
      <t xml:space="preserve">
DUE 20 Dec 2017</t>
    </r>
  </si>
  <si>
    <t>December 2017
Total =</t>
  </si>
  <si>
    <t>October 2017 Total =</t>
  </si>
  <si>
    <t>PC17/0741</t>
  </si>
  <si>
    <t>PC17/1406</t>
  </si>
  <si>
    <t>Building Work
AAA Certifications 
Decision Notice: DA 20170594</t>
  </si>
  <si>
    <t>Building Work
Suncaost Building Approvals
Decision Notice: SBA 2017-2299</t>
  </si>
  <si>
    <t>when the certificate of classification or final inspection certificate for the building work is given &amp;/or prior to occupancy of the building</t>
  </si>
  <si>
    <t>Dr R I McLean</t>
  </si>
  <si>
    <t>14 Spinnaker Street
TEWANTIN QLD 4565</t>
  </si>
  <si>
    <t>Lot 7 SP 248171</t>
  </si>
  <si>
    <t>John Burke</t>
  </si>
  <si>
    <t>20 Collins Road
YANDINA QLD 4561</t>
  </si>
  <si>
    <t>Lot 108 RP 881884</t>
  </si>
  <si>
    <t>CPI Sep 2017</t>
  </si>
  <si>
    <r>
      <rPr>
        <b/>
        <sz val="10"/>
        <color rgb="FF0000FF"/>
        <rFont val="Arial"/>
        <family val="2"/>
      </rPr>
      <t xml:space="preserve">N </t>
    </r>
    <r>
      <rPr>
        <b/>
        <sz val="10"/>
        <rFont val="Arial"/>
        <family val="2"/>
      </rPr>
      <t xml:space="preserve">1162
</t>
    </r>
    <r>
      <rPr>
        <b/>
        <sz val="10"/>
        <color rgb="FFFF0000"/>
        <rFont val="Arial"/>
        <family val="2"/>
      </rPr>
      <t xml:space="preserve">
</t>
    </r>
    <r>
      <rPr>
        <sz val="10"/>
        <color rgb="FFFF0000"/>
        <rFont val="Arial"/>
        <family val="2"/>
      </rPr>
      <t>PC17/0740 COC issued 4/12/2017</t>
    </r>
    <r>
      <rPr>
        <b/>
        <sz val="10"/>
        <color rgb="FFFF0000"/>
        <rFont val="Arial"/>
        <family val="2"/>
      </rPr>
      <t xml:space="preserve">
DUE 20 Dec 2017</t>
    </r>
    <r>
      <rPr>
        <b/>
        <sz val="10"/>
        <rFont val="Arial"/>
        <family val="2"/>
      </rPr>
      <t xml:space="preserve">
</t>
    </r>
  </si>
  <si>
    <t>December 2017 Total =</t>
  </si>
  <si>
    <t>REC17/0020</t>
  </si>
  <si>
    <t>WM Projects No 3 Pty Ltd</t>
  </si>
  <si>
    <t>C/- Project Urban
PO Box 6380
MAROOCHYDORE QLD 4558</t>
  </si>
  <si>
    <t>Reconfiguration of a Lot (21 residential lots and 1 drainage lot)</t>
  </si>
  <si>
    <r>
      <rPr>
        <strike/>
        <sz val="10"/>
        <rFont val="Arial"/>
        <family val="2"/>
      </rPr>
      <t>20/11/2017</t>
    </r>
    <r>
      <rPr>
        <sz val="10"/>
        <rFont val="Arial"/>
        <family val="2"/>
      </rPr>
      <t xml:space="preserve">
11/12/2017</t>
    </r>
  </si>
  <si>
    <t>PC17/1258</t>
  </si>
  <si>
    <t>PC17/1424</t>
  </si>
  <si>
    <t>Building Work
Building Approvals United QLD
Permit Number: 20171456</t>
  </si>
  <si>
    <t>Building Work
Suncoast Building Inspection Services Permit Number: 171112</t>
  </si>
  <si>
    <t>Lots 19 &amp; 20 RP 80027</t>
  </si>
  <si>
    <t>Lot 3 RP 901392</t>
  </si>
  <si>
    <t>Julie Perrie</t>
  </si>
  <si>
    <t>Lot 174 RP 142650</t>
  </si>
  <si>
    <t>11 Cambuca Court
TEWANTIN</t>
  </si>
  <si>
    <t>MA &amp; LC Diamond</t>
  </si>
  <si>
    <t>17 Paldao Rise
PEREGIAN BEACH</t>
  </si>
  <si>
    <t>Lot 450 MCH 4837</t>
  </si>
  <si>
    <t>PC17/1217</t>
  </si>
  <si>
    <t>Building Work
Earthcert Building Approvals
Approval Number:
170281</t>
  </si>
  <si>
    <t>Christian Schwaerzler</t>
  </si>
  <si>
    <t>168 Coothara Rd
COOTHARABA QLD 4565</t>
  </si>
  <si>
    <t>36 Lake Weyba Rd
NOOSAVILLE QLD 4566</t>
  </si>
  <si>
    <t>1201354+AI197:AS197</t>
  </si>
  <si>
    <r>
      <rPr>
        <b/>
        <sz val="10"/>
        <color rgb="FF0000FF"/>
        <rFont val="Arial"/>
        <family val="2"/>
      </rPr>
      <t xml:space="preserve">N </t>
    </r>
    <r>
      <rPr>
        <b/>
        <sz val="10"/>
        <rFont val="Arial"/>
        <family val="2"/>
      </rPr>
      <t xml:space="preserve">1245
</t>
    </r>
    <r>
      <rPr>
        <b/>
        <sz val="10"/>
        <color rgb="FF0000FF"/>
        <rFont val="Arial"/>
        <family val="2"/>
      </rPr>
      <t>IA# 66</t>
    </r>
    <r>
      <rPr>
        <b/>
        <sz val="10"/>
        <rFont val="Arial"/>
        <family val="2"/>
      </rPr>
      <t xml:space="preserve">
</t>
    </r>
    <r>
      <rPr>
        <b/>
        <sz val="10"/>
        <color rgb="FFFF0000"/>
        <rFont val="Arial"/>
        <family val="2"/>
      </rPr>
      <t>Stage Pmt 2
Due 30 June 2018</t>
    </r>
  </si>
  <si>
    <r>
      <rPr>
        <b/>
        <sz val="10"/>
        <color rgb="FF0000FF"/>
        <rFont val="Arial"/>
        <family val="2"/>
      </rPr>
      <t xml:space="preserve">N </t>
    </r>
    <r>
      <rPr>
        <b/>
        <sz val="10"/>
        <rFont val="Arial"/>
        <family val="2"/>
      </rPr>
      <t xml:space="preserve">1245
</t>
    </r>
    <r>
      <rPr>
        <b/>
        <sz val="10"/>
        <color rgb="FF0000FF"/>
        <rFont val="Arial"/>
        <family val="2"/>
      </rPr>
      <t>IA# 66</t>
    </r>
    <r>
      <rPr>
        <b/>
        <sz val="10"/>
        <rFont val="Arial"/>
        <family val="2"/>
      </rPr>
      <t xml:space="preserve">
</t>
    </r>
    <r>
      <rPr>
        <b/>
        <sz val="10"/>
        <color rgb="FF0000FF"/>
        <rFont val="Arial"/>
        <family val="2"/>
      </rPr>
      <t xml:space="preserve">Stage Pmt 1
</t>
    </r>
    <r>
      <rPr>
        <b/>
        <sz val="10"/>
        <color rgb="FFFF0000"/>
        <rFont val="Arial"/>
        <family val="2"/>
      </rPr>
      <t>DUE 20 Dec 2017</t>
    </r>
  </si>
  <si>
    <t>Noosaville Medical &amp; Professional Centre Pty Ltd</t>
  </si>
  <si>
    <t>C/- Adamson Town Planning
PO Box 78
PEREGIAN BEACH QLD 4573</t>
  </si>
  <si>
    <t>Lot 1 RP230931</t>
  </si>
  <si>
    <t>MCU16/0098.01 
(Change to Existing)</t>
  </si>
  <si>
    <t>Reduction due to Payment of Original Charge Notice (Rev 0) on 8/12/2016 Receipt 1188349 = $36,698.00</t>
  </si>
  <si>
    <t>MCU17/0060</t>
  </si>
  <si>
    <t>MCU17/0530</t>
  </si>
  <si>
    <t>Noosa Hot Bread Shop</t>
  </si>
  <si>
    <t>Lot 2 RP 1866</t>
  </si>
  <si>
    <t>34 Maple Street, Cooroy QLD 4563</t>
  </si>
  <si>
    <t>Entertainment &amp; Dining Business Type 1 Food &amp; Beverage = 560 m2 gfa
all works within the existing building and utilise the building only for a
restaurant/cafe and bakery
No change to site impervious area = whole lot = 885m2</t>
  </si>
  <si>
    <t>historically used for a service station and garage and more recently for a showroom for power equipment sales and repairs at the front of the site known as Madill Garage Cooroy.
Retail Business Types 4 Showroom &amp; 5 Vehicle uses = 560 m2 gfa
No change to site impervious area = whole lot = 885m2</t>
  </si>
  <si>
    <r>
      <rPr>
        <strike/>
        <sz val="10"/>
        <rFont val="Arial"/>
        <family val="2"/>
      </rPr>
      <t>1/09/2011</t>
    </r>
    <r>
      <rPr>
        <sz val="10"/>
        <rFont val="Arial"/>
        <family val="2"/>
      </rPr>
      <t xml:space="preserve">
14/08/2015</t>
    </r>
  </si>
  <si>
    <r>
      <t>MCU11/0071
MCU11/0071.02</t>
    </r>
    <r>
      <rPr>
        <sz val="10"/>
        <color rgb="FF0000FF"/>
        <rFont val="Arial"/>
        <family val="2"/>
      </rPr>
      <t xml:space="preserve">
</t>
    </r>
    <r>
      <rPr>
        <b/>
        <sz val="10"/>
        <color rgb="FF0000FF"/>
        <rFont val="Arial"/>
        <family val="2"/>
      </rPr>
      <t>MCU11/0071.03 extn in progress</t>
    </r>
  </si>
  <si>
    <t>January 2018
Total =</t>
  </si>
  <si>
    <t>21/12/2017
receipted 4/01/2018</t>
  </si>
  <si>
    <t>MB Stevic, T Stevic</t>
  </si>
  <si>
    <t>24 Antipodes Cl
CASTAWAYS BEACH QLD 4567</t>
  </si>
  <si>
    <t>Lot 113 RP 132135</t>
  </si>
  <si>
    <t>7 Ventura St Sunrise Beach Qld 4567</t>
  </si>
  <si>
    <t>Multiple Housing Type 2 Duplex = 
1 x 2 bed + 1 x 3 bed units</t>
  </si>
  <si>
    <r>
      <rPr>
        <b/>
        <sz val="10"/>
        <color rgb="FF0000FF"/>
        <rFont val="Arial"/>
        <family val="2"/>
      </rPr>
      <t xml:space="preserve">N </t>
    </r>
    <r>
      <rPr>
        <b/>
        <sz val="10"/>
        <rFont val="Arial"/>
        <family val="2"/>
      </rPr>
      <t>1161
OVERDUE
Payment due 19 January 2018</t>
    </r>
  </si>
  <si>
    <t>Building Work
EarthCert Building Approvals 
Permit Number: 170227</t>
  </si>
  <si>
    <t>Jesterbella Pty Ltd</t>
  </si>
  <si>
    <t>12 James Street,
Gympie QLD 4570</t>
  </si>
  <si>
    <t>Lot 104 RP881884</t>
  </si>
  <si>
    <t>PC17/1228</t>
  </si>
  <si>
    <t>MCU17/0050</t>
  </si>
  <si>
    <t>Travis Drenth Constructions P/L</t>
  </si>
  <si>
    <t>85 Poinciana Avenue Tewantin QLD 4565</t>
  </si>
  <si>
    <t>Lot 11 RP 214207</t>
  </si>
  <si>
    <t xml:space="preserve">Multiple Dwelling Type 4  =
3 x 1 bedroom + 2 x 2 bedroom units
</t>
  </si>
  <si>
    <t xml:space="preserve">REFUND Cheque Issued </t>
  </si>
  <si>
    <t>Cheque 101188</t>
  </si>
  <si>
    <t>(Note Outdoor Seating Area: 40.0 sqm is no longer a covered part of the building structure &amp; therfore not classed as gfa)
(Note: Stormwater charge component reduction for caretakers unit located inside existing industrial building impervious area)</t>
  </si>
  <si>
    <r>
      <rPr>
        <b/>
        <sz val="10"/>
        <color rgb="FF0000FF"/>
        <rFont val="Arial"/>
        <family val="2"/>
      </rPr>
      <t xml:space="preserve">N </t>
    </r>
    <r>
      <rPr>
        <b/>
        <sz val="10"/>
        <rFont val="Arial"/>
        <family val="2"/>
      </rPr>
      <t xml:space="preserve">1158
Amended
</t>
    </r>
    <r>
      <rPr>
        <b/>
        <sz val="10"/>
        <color rgb="FFFF0000"/>
        <rFont val="Arial"/>
        <family val="2"/>
      </rPr>
      <t>=
REFUND ISSUED</t>
    </r>
  </si>
  <si>
    <r>
      <t xml:space="preserve">MCU17/0080
</t>
    </r>
    <r>
      <rPr>
        <sz val="10"/>
        <color rgb="FF0000FF"/>
        <rFont val="Arial"/>
        <family val="2"/>
      </rPr>
      <t>(PC17/1310 issued 10/01/2018)</t>
    </r>
  </si>
  <si>
    <t>Industrial Business Type 2 -  Production, alteration, repackaging &amp; repairing (1,841m2).
Impervious Area = 3,055.75m2 (includes Hardstand &amp; Roof areas)</t>
  </si>
  <si>
    <t>RAL17/0512</t>
  </si>
  <si>
    <t>CR McKie &amp; K McKie</t>
  </si>
  <si>
    <t>Lot 32 RP 136462</t>
  </si>
  <si>
    <t>2 x Res Lots</t>
  </si>
  <si>
    <t>1 x Res Lot</t>
  </si>
  <si>
    <t>Paid Council Networks</t>
  </si>
  <si>
    <t>PC17/1209</t>
  </si>
  <si>
    <t>PC18/0053</t>
  </si>
  <si>
    <t xml:space="preserve">Detached House + 
1 B/R Secondary Dwelling  
</t>
  </si>
  <si>
    <t>9 Antipodes Cl CASTAWAYS BEACH QLD 4567</t>
  </si>
  <si>
    <t>Lot 180 CP 888720</t>
  </si>
  <si>
    <t>c/- Steve Tutle 
29 Lorraine Ave
Marcoola Beach, QLD 4564</t>
  </si>
  <si>
    <t>Vacant Res Lot</t>
  </si>
  <si>
    <t>Building Work
Sunshine Coast Inspection Services
Permit Number: 180115</t>
  </si>
  <si>
    <t>R &amp; J WILLIAMSON</t>
  </si>
  <si>
    <t>16 ORIENT DRIVE, SUNRISE BEACH, QLD, 4567</t>
  </si>
  <si>
    <t>Building Work
Northshore Building Approvals Qld Pty Ltd 
Permit Number: 17-171</t>
  </si>
  <si>
    <t>Lot 245 RP 135364</t>
  </si>
  <si>
    <r>
      <rPr>
        <sz val="10"/>
        <color rgb="FF0000FF"/>
        <rFont val="Arial"/>
        <family val="2"/>
      </rPr>
      <t xml:space="preserve">Multiple Housing </t>
    </r>
    <r>
      <rPr>
        <sz val="10"/>
        <rFont val="Arial"/>
        <family val="2"/>
      </rPr>
      <t xml:space="preserve">Type 4 – Conventional =
</t>
    </r>
    <r>
      <rPr>
        <sz val="10"/>
        <color rgb="FF0000FF"/>
        <rFont val="Arial"/>
        <family val="2"/>
      </rPr>
      <t>3+ bed units = 20
2 bed units = 0
1 bed units = 0</t>
    </r>
  </si>
  <si>
    <t>Nil
Existing credit applied in Stage CTS 100</t>
  </si>
  <si>
    <r>
      <rPr>
        <sz val="10"/>
        <color rgb="FF0000FF"/>
        <rFont val="Arial"/>
        <family val="2"/>
      </rPr>
      <t xml:space="preserve">Multiple Housing </t>
    </r>
    <r>
      <rPr>
        <sz val="10"/>
        <rFont val="Arial"/>
        <family val="2"/>
      </rPr>
      <t xml:space="preserve">Type 4 – Conventional =
</t>
    </r>
    <r>
      <rPr>
        <sz val="10"/>
        <color rgb="FF0000FF"/>
        <rFont val="Arial"/>
        <family val="2"/>
      </rPr>
      <t>3+ bed units = 16
2 bed units = 5
1 bed units = 7</t>
    </r>
  </si>
  <si>
    <r>
      <rPr>
        <sz val="10"/>
        <color rgb="FF0000FF"/>
        <rFont val="Arial"/>
        <family val="2"/>
      </rPr>
      <t xml:space="preserve">Multiple Housing </t>
    </r>
    <r>
      <rPr>
        <sz val="10"/>
        <rFont val="Arial"/>
        <family val="2"/>
      </rPr>
      <t xml:space="preserve">Type 4 – Conventional =
</t>
    </r>
    <r>
      <rPr>
        <sz val="10"/>
        <color rgb="FF0000FF"/>
        <rFont val="Arial"/>
        <family val="2"/>
      </rPr>
      <t>3+ bed units = 7
2 bed units = 6
1 bed units = 0</t>
    </r>
  </si>
  <si>
    <r>
      <rPr>
        <sz val="10"/>
        <color rgb="FF0000FF"/>
        <rFont val="Arial"/>
        <family val="2"/>
      </rPr>
      <t xml:space="preserve">Multiple Housing </t>
    </r>
    <r>
      <rPr>
        <sz val="10"/>
        <rFont val="Arial"/>
        <family val="2"/>
      </rPr>
      <t xml:space="preserve">Type 4 – Conventional =
</t>
    </r>
    <r>
      <rPr>
        <sz val="10"/>
        <color rgb="FF0000FF"/>
        <rFont val="Arial"/>
        <family val="2"/>
      </rPr>
      <t>3+ bed units = 9
2 bed units = 0
1 bed units = 0</t>
    </r>
  </si>
  <si>
    <r>
      <rPr>
        <strike/>
        <sz val="8"/>
        <rFont val="Arial"/>
        <family val="2"/>
      </rPr>
      <t>3 SP 178323
Lot 3 SP 178323)</t>
    </r>
    <r>
      <rPr>
        <sz val="8"/>
        <rFont val="Arial"/>
        <family val="2"/>
      </rPr>
      <t xml:space="preserve">
Lot 7 SP 178340 </t>
    </r>
  </si>
  <si>
    <r>
      <rPr>
        <strike/>
        <sz val="8"/>
        <rFont val="Arial"/>
        <family val="2"/>
      </rPr>
      <t>Links &amp; Leslie Dr</t>
    </r>
    <r>
      <rPr>
        <sz val="8"/>
        <rFont val="Arial"/>
        <family val="2"/>
      </rPr>
      <t xml:space="preserve">
75 Resort Drive 
Noosa Heads</t>
    </r>
  </si>
  <si>
    <r>
      <rPr>
        <sz val="8"/>
        <color rgb="FF0000FF"/>
        <rFont val="Arial"/>
        <family val="2"/>
      </rPr>
      <t xml:space="preserve">Multiple Housing </t>
    </r>
    <r>
      <rPr>
        <sz val="8"/>
        <rFont val="Arial"/>
        <family val="2"/>
      </rPr>
      <t xml:space="preserve">Type 4 – Conventional =
</t>
    </r>
    <r>
      <rPr>
        <sz val="8"/>
        <color rgb="FF0000FF"/>
        <rFont val="Arial"/>
        <family val="2"/>
      </rPr>
      <t>3+ bed units = 20
2 bed units = 0
1 bed units = 0</t>
    </r>
  </si>
  <si>
    <r>
      <rPr>
        <sz val="8"/>
        <color rgb="FF0000FF"/>
        <rFont val="Arial"/>
        <family val="2"/>
      </rPr>
      <t xml:space="preserve">Multiple Housing </t>
    </r>
    <r>
      <rPr>
        <sz val="8"/>
        <rFont val="Arial"/>
        <family val="2"/>
      </rPr>
      <t xml:space="preserve">Type 4 – Conventional =
</t>
    </r>
    <r>
      <rPr>
        <sz val="8"/>
        <color rgb="FF0000FF"/>
        <rFont val="Arial"/>
        <family val="2"/>
      </rPr>
      <t>3+ bed units = 16
2 bed units = 5
1 bed units = 7</t>
    </r>
  </si>
  <si>
    <r>
      <rPr>
        <sz val="8"/>
        <color rgb="FF0000FF"/>
        <rFont val="Arial"/>
        <family val="2"/>
      </rPr>
      <t xml:space="preserve">Multiple Housing </t>
    </r>
    <r>
      <rPr>
        <sz val="8"/>
        <rFont val="Arial"/>
        <family val="2"/>
      </rPr>
      <t xml:space="preserve">Type 4 – Conventional =
</t>
    </r>
    <r>
      <rPr>
        <sz val="8"/>
        <color rgb="FF0000FF"/>
        <rFont val="Arial"/>
        <family val="2"/>
      </rPr>
      <t>3+ bed units = 7
2 bed units = 6
1 bed units = 0</t>
    </r>
  </si>
  <si>
    <r>
      <rPr>
        <sz val="8"/>
        <color rgb="FF0000FF"/>
        <rFont val="Arial"/>
        <family val="2"/>
      </rPr>
      <t xml:space="preserve">Multiple Housing </t>
    </r>
    <r>
      <rPr>
        <sz val="8"/>
        <rFont val="Arial"/>
        <family val="2"/>
      </rPr>
      <t xml:space="preserve">Type 4 – Conventional =
</t>
    </r>
    <r>
      <rPr>
        <sz val="8"/>
        <color rgb="FF0000FF"/>
        <rFont val="Arial"/>
        <family val="2"/>
      </rPr>
      <t>3+ bed units = 9
2 bed units = 0
1 bed units = 0</t>
    </r>
  </si>
  <si>
    <t>MCU16/0144</t>
  </si>
  <si>
    <t>Margaret A MCFarland</t>
  </si>
  <si>
    <t xml:space="preserve"> Retail Business Type 2 - Shop (Café - 98.6m2) and Salon (31.4m2) = 130m2 gfa
+ 1 Dwelling house
+ 38m2 additional Impervious area (additional car park area)</t>
  </si>
  <si>
    <t>1 General store (130m2) + 1 Dwelling house</t>
  </si>
  <si>
    <r>
      <t xml:space="preserve">Multiple Housing Type 4 = </t>
    </r>
    <r>
      <rPr>
        <strike/>
        <sz val="10"/>
        <rFont val="Arial"/>
        <family val="2"/>
      </rPr>
      <t>3 x 3 bed unit</t>
    </r>
    <r>
      <rPr>
        <sz val="10"/>
        <rFont val="Arial"/>
        <family val="2"/>
      </rPr>
      <t xml:space="preserve">
</t>
    </r>
    <r>
      <rPr>
        <sz val="10"/>
        <color rgb="FF0000FF"/>
        <rFont val="Arial"/>
        <family val="2"/>
      </rPr>
      <t>Representations &amp; Negotiated Decision &amp; Approved Plans Rev G
= 1 x 3 bed dwelling (existing house) 
+ 2 x 2 bedroom dwelling units with open media rooms (Previously considered as 3 bed units due to closed Media rooms Representations amended plans with media rooms now open i.e. no longer considered equivalent as a closed bedroom)</t>
    </r>
  </si>
  <si>
    <t>SA Peak &amp; MA Peak</t>
  </si>
  <si>
    <t xml:space="preserve">C/- Pacific BCQ
PO Box 1901
NOOSAVILLE BC  QLD  4566
</t>
  </si>
  <si>
    <t>Lot 104 RP 907724</t>
  </si>
  <si>
    <r>
      <rPr>
        <strike/>
        <sz val="10"/>
        <rFont val="Arial"/>
        <family val="2"/>
      </rPr>
      <t>MCU13/0086</t>
    </r>
    <r>
      <rPr>
        <sz val="10"/>
        <rFont val="Arial"/>
        <family val="2"/>
      </rPr>
      <t xml:space="preserve">
</t>
    </r>
    <r>
      <rPr>
        <sz val="10"/>
        <color rgb="FF0000FF"/>
        <rFont val="Arial"/>
        <family val="2"/>
      </rPr>
      <t>MCU13/0086.01 Extn</t>
    </r>
  </si>
  <si>
    <r>
      <t xml:space="preserve">MCU13/0211
</t>
    </r>
    <r>
      <rPr>
        <sz val="10"/>
        <color rgb="FF0000FF"/>
        <rFont val="Arial"/>
        <family val="2"/>
      </rPr>
      <t>MCU13/0211.01 Extn</t>
    </r>
  </si>
  <si>
    <r>
      <rPr>
        <strike/>
        <sz val="10"/>
        <rFont val="Arial"/>
        <family val="2"/>
      </rPr>
      <t>10/02/2018</t>
    </r>
    <r>
      <rPr>
        <sz val="10"/>
        <rFont val="Arial"/>
        <family val="2"/>
      </rPr>
      <t xml:space="preserve">
</t>
    </r>
    <r>
      <rPr>
        <sz val="10"/>
        <color rgb="FF0000FF"/>
        <rFont val="Arial"/>
        <family val="2"/>
      </rPr>
      <t>12/02/2020</t>
    </r>
  </si>
  <si>
    <t>1 x Residential lot &amp; dwelling house</t>
  </si>
  <si>
    <t>Caretakers Residence - 3 bedroom 
(+ existing dwelling house)</t>
  </si>
  <si>
    <r>
      <t xml:space="preserve">05/0220 (DA)
</t>
    </r>
    <r>
      <rPr>
        <sz val="8"/>
        <color rgb="FF0000FF"/>
        <rFont val="Arial"/>
        <family val="2"/>
      </rPr>
      <t>132005.220.04
132005.220.05 Extn</t>
    </r>
    <r>
      <rPr>
        <b/>
        <sz val="8"/>
        <color rgb="FF0000FF"/>
        <rFont val="Arial"/>
        <family val="2"/>
      </rPr>
      <t xml:space="preserve">
</t>
    </r>
  </si>
  <si>
    <r>
      <t>4/11/2008</t>
    </r>
    <r>
      <rPr>
        <sz val="8"/>
        <rFont val="Arial"/>
        <family val="2"/>
      </rPr>
      <t xml:space="preserve">
</t>
    </r>
    <r>
      <rPr>
        <strike/>
        <sz val="8"/>
        <rFont val="Arial"/>
        <family val="2"/>
      </rPr>
      <t>4/11/2011</t>
    </r>
    <r>
      <rPr>
        <sz val="8"/>
        <rFont val="Arial"/>
        <family val="2"/>
      </rPr>
      <t xml:space="preserve">
</t>
    </r>
    <r>
      <rPr>
        <strike/>
        <sz val="8"/>
        <rFont val="Arial"/>
        <family val="2"/>
      </rPr>
      <t>21/12/2015</t>
    </r>
    <r>
      <rPr>
        <sz val="8"/>
        <rFont val="Arial"/>
        <family val="2"/>
      </rPr>
      <t xml:space="preserve">
</t>
    </r>
    <r>
      <rPr>
        <sz val="8"/>
        <color rgb="FF0000FF"/>
        <rFont val="Arial"/>
        <family val="2"/>
      </rPr>
      <t>4/11/2019</t>
    </r>
  </si>
  <si>
    <t xml:space="preserve">1 x vacant lot (rural residential) </t>
  </si>
  <si>
    <t>CPI Dec 2017</t>
  </si>
  <si>
    <r>
      <rPr>
        <strike/>
        <sz val="8"/>
        <rFont val="Arial"/>
        <family val="2"/>
      </rPr>
      <t>29/01/2008</t>
    </r>
    <r>
      <rPr>
        <sz val="8"/>
        <rFont val="Arial"/>
        <family val="2"/>
      </rPr>
      <t xml:space="preserve">
</t>
    </r>
    <r>
      <rPr>
        <strike/>
        <sz val="8"/>
        <color rgb="FF0000FF"/>
        <rFont val="Arial"/>
        <family val="2"/>
      </rPr>
      <t>13/02/2013</t>
    </r>
    <r>
      <rPr>
        <sz val="8"/>
        <color rgb="FF0000FF"/>
        <rFont val="Arial"/>
        <family val="2"/>
      </rPr>
      <t xml:space="preserve">
2/11/2016</t>
    </r>
  </si>
  <si>
    <r>
      <rPr>
        <strike/>
        <sz val="8"/>
        <rFont val="Arial"/>
        <family val="2"/>
      </rPr>
      <t>29/01/2012</t>
    </r>
    <r>
      <rPr>
        <sz val="8"/>
        <rFont val="Arial"/>
        <family val="2"/>
      </rPr>
      <t xml:space="preserve">
</t>
    </r>
    <r>
      <rPr>
        <strike/>
        <sz val="8"/>
        <color rgb="FF0000FF"/>
        <rFont val="Arial"/>
        <family val="2"/>
      </rPr>
      <t>4/11/2016</t>
    </r>
    <r>
      <rPr>
        <sz val="8"/>
        <color rgb="FF0000FF"/>
        <rFont val="Arial"/>
        <family val="2"/>
      </rPr>
      <t xml:space="preserve">
4/11/2020</t>
    </r>
  </si>
  <si>
    <r>
      <t>24/02/2009</t>
    </r>
    <r>
      <rPr>
        <sz val="8"/>
        <rFont val="Arial"/>
        <family val="2"/>
      </rPr>
      <t xml:space="preserve">
</t>
    </r>
    <r>
      <rPr>
        <strike/>
        <sz val="8"/>
        <rFont val="Arial"/>
        <family val="2"/>
      </rPr>
      <t>13/05/09</t>
    </r>
    <r>
      <rPr>
        <sz val="8"/>
        <rFont val="Arial"/>
        <family val="2"/>
      </rPr>
      <t xml:space="preserve">
</t>
    </r>
    <r>
      <rPr>
        <sz val="8"/>
        <color rgb="FF0000FF"/>
        <rFont val="Arial"/>
        <family val="2"/>
      </rPr>
      <t>20/06/2013</t>
    </r>
  </si>
  <si>
    <r>
      <t>24/02/2013</t>
    </r>
    <r>
      <rPr>
        <sz val="8"/>
        <rFont val="Arial"/>
        <family val="2"/>
      </rPr>
      <t xml:space="preserve">
</t>
    </r>
    <r>
      <rPr>
        <strike/>
        <sz val="8"/>
        <rFont val="Arial"/>
        <family val="2"/>
      </rPr>
      <t>12/05/2013</t>
    </r>
    <r>
      <rPr>
        <sz val="8"/>
        <rFont val="Arial"/>
        <family val="2"/>
      </rPr>
      <t xml:space="preserve">
</t>
    </r>
    <r>
      <rPr>
        <sz val="8"/>
        <color rgb="FF0000FF"/>
        <rFont val="Arial"/>
        <family val="2"/>
      </rPr>
      <t>12/05/2017</t>
    </r>
  </si>
  <si>
    <r>
      <t>8/10/2009</t>
    </r>
    <r>
      <rPr>
        <sz val="8"/>
        <rFont val="Arial"/>
        <family val="2"/>
      </rPr>
      <t xml:space="preserve">
</t>
    </r>
    <r>
      <rPr>
        <strike/>
        <sz val="8"/>
        <color rgb="FF0000FF"/>
        <rFont val="Arial"/>
        <family val="2"/>
      </rPr>
      <t>18/1/2010</t>
    </r>
    <r>
      <rPr>
        <sz val="8"/>
        <color rgb="FF0000FF"/>
        <rFont val="Arial"/>
        <family val="2"/>
      </rPr>
      <t xml:space="preserve">
</t>
    </r>
    <r>
      <rPr>
        <strike/>
        <sz val="8"/>
        <color rgb="FF0000FF"/>
        <rFont val="Arial"/>
        <family val="2"/>
      </rPr>
      <t>8/10/2013</t>
    </r>
    <r>
      <rPr>
        <sz val="8"/>
        <color rgb="FF0000FF"/>
        <rFont val="Arial"/>
        <family val="2"/>
      </rPr>
      <t xml:space="preserve">
22/12/2014</t>
    </r>
  </si>
  <si>
    <r>
      <t>8/10/2009</t>
    </r>
    <r>
      <rPr>
        <sz val="8"/>
        <rFont val="Arial"/>
        <family val="2"/>
      </rPr>
      <t xml:space="preserve">
</t>
    </r>
    <r>
      <rPr>
        <strike/>
        <sz val="8"/>
        <color rgb="FF0000FF"/>
        <rFont val="Arial"/>
        <family val="2"/>
      </rPr>
      <t>8/10/2013</t>
    </r>
    <r>
      <rPr>
        <sz val="8"/>
        <color rgb="FF0000FF"/>
        <rFont val="Arial"/>
        <family val="2"/>
      </rPr>
      <t xml:space="preserve">
</t>
    </r>
    <r>
      <rPr>
        <strike/>
        <sz val="8"/>
        <color rgb="FF0000FF"/>
        <rFont val="Arial"/>
        <family val="2"/>
      </rPr>
      <t>8/10/2017</t>
    </r>
    <r>
      <rPr>
        <sz val="8"/>
        <color rgb="FF0000FF"/>
        <rFont val="Arial"/>
        <family val="2"/>
      </rPr>
      <t xml:space="preserve">
8/10/2021</t>
    </r>
  </si>
  <si>
    <r>
      <t>8/10/2009</t>
    </r>
    <r>
      <rPr>
        <sz val="8"/>
        <rFont val="Arial"/>
        <family val="2"/>
      </rPr>
      <t xml:space="preserve">
</t>
    </r>
    <r>
      <rPr>
        <strike/>
        <sz val="8"/>
        <rFont val="Arial"/>
        <family val="2"/>
      </rPr>
      <t>18/1/2010</t>
    </r>
    <r>
      <rPr>
        <sz val="8"/>
        <rFont val="Arial"/>
        <family val="2"/>
      </rPr>
      <t xml:space="preserve">
</t>
    </r>
    <r>
      <rPr>
        <strike/>
        <sz val="8"/>
        <color rgb="FF0000FF"/>
        <rFont val="Arial"/>
        <family val="2"/>
      </rPr>
      <t>8/10/2013</t>
    </r>
    <r>
      <rPr>
        <sz val="8"/>
        <color rgb="FF0000FF"/>
        <rFont val="Arial"/>
        <family val="2"/>
      </rPr>
      <t xml:space="preserve">
22/12/2014</t>
    </r>
  </si>
  <si>
    <r>
      <t>8/10/2009</t>
    </r>
    <r>
      <rPr>
        <sz val="8"/>
        <rFont val="Arial"/>
        <family val="2"/>
      </rPr>
      <t xml:space="preserve">
</t>
    </r>
    <r>
      <rPr>
        <strike/>
        <sz val="8"/>
        <rFont val="Arial"/>
        <family val="2"/>
      </rPr>
      <t>8/10/2013</t>
    </r>
    <r>
      <rPr>
        <sz val="8"/>
        <rFont val="Arial"/>
        <family val="2"/>
      </rPr>
      <t xml:space="preserve">
</t>
    </r>
    <r>
      <rPr>
        <strike/>
        <sz val="8"/>
        <color rgb="FF0000FF"/>
        <rFont val="Arial"/>
        <family val="2"/>
      </rPr>
      <t>8/10/2017</t>
    </r>
    <r>
      <rPr>
        <sz val="8"/>
        <color rgb="FF0000FF"/>
        <rFont val="Arial"/>
        <family val="2"/>
      </rPr>
      <t xml:space="preserve">
8/10/2021</t>
    </r>
  </si>
  <si>
    <r>
      <t xml:space="preserve">Court Approval
</t>
    </r>
    <r>
      <rPr>
        <strike/>
        <sz val="8"/>
        <rFont val="Arial"/>
        <family val="2"/>
      </rPr>
      <t>12/02/2010</t>
    </r>
    <r>
      <rPr>
        <sz val="8"/>
        <rFont val="Arial"/>
        <family val="2"/>
      </rPr>
      <t xml:space="preserve">
</t>
    </r>
    <r>
      <rPr>
        <strike/>
        <sz val="8"/>
        <rFont val="Arial"/>
        <family val="2"/>
      </rPr>
      <t>24/01/2012</t>
    </r>
    <r>
      <rPr>
        <sz val="8"/>
        <rFont val="Arial"/>
        <family val="2"/>
      </rPr>
      <t xml:space="preserve">
</t>
    </r>
    <r>
      <rPr>
        <sz val="8"/>
        <color rgb="FF0000FF"/>
        <rFont val="Arial"/>
        <family val="2"/>
      </rPr>
      <t>15/11/2013</t>
    </r>
  </si>
  <si>
    <r>
      <rPr>
        <strike/>
        <sz val="8"/>
        <rFont val="Arial"/>
        <family val="2"/>
      </rPr>
      <t>4/02/2014</t>
    </r>
    <r>
      <rPr>
        <sz val="8"/>
        <rFont val="Arial"/>
        <family val="2"/>
      </rPr>
      <t xml:space="preserve">
</t>
    </r>
    <r>
      <rPr>
        <sz val="8"/>
        <color rgb="FF0000FF"/>
        <rFont val="Arial"/>
        <family val="2"/>
      </rPr>
      <t>28/09/2016</t>
    </r>
  </si>
  <si>
    <r>
      <rPr>
        <strike/>
        <sz val="8"/>
        <rFont val="Arial"/>
        <family val="2"/>
      </rPr>
      <t>26/03/2010</t>
    </r>
    <r>
      <rPr>
        <sz val="8"/>
        <rFont val="Arial"/>
        <family val="2"/>
      </rPr>
      <t xml:space="preserve">
</t>
    </r>
    <r>
      <rPr>
        <sz val="8"/>
        <color rgb="FF0000FF"/>
        <rFont val="Arial"/>
        <family val="2"/>
      </rPr>
      <t>26/06/2014</t>
    </r>
  </si>
  <si>
    <r>
      <rPr>
        <strike/>
        <sz val="8"/>
        <rFont val="Arial"/>
        <family val="2"/>
      </rPr>
      <t>26/03/2014</t>
    </r>
    <r>
      <rPr>
        <sz val="8"/>
        <rFont val="Arial"/>
        <family val="2"/>
      </rPr>
      <t xml:space="preserve">
</t>
    </r>
    <r>
      <rPr>
        <sz val="8"/>
        <color rgb="FF0000FF"/>
        <rFont val="Arial"/>
        <family val="2"/>
      </rPr>
      <t>26/03/2018</t>
    </r>
  </si>
  <si>
    <r>
      <t>23/08/2010</t>
    </r>
    <r>
      <rPr>
        <sz val="8"/>
        <rFont val="Arial"/>
        <family val="2"/>
      </rPr>
      <t xml:space="preserve">
</t>
    </r>
    <r>
      <rPr>
        <strike/>
        <sz val="8"/>
        <rFont val="Arial"/>
        <family val="2"/>
      </rPr>
      <t>3/11/2010</t>
    </r>
    <r>
      <rPr>
        <sz val="8"/>
        <rFont val="Arial"/>
        <family val="2"/>
      </rPr>
      <t xml:space="preserve">
</t>
    </r>
    <r>
      <rPr>
        <sz val="8"/>
        <color rgb="FF0000FF"/>
        <rFont val="Arial"/>
        <family val="2"/>
      </rPr>
      <t>14/01/2015</t>
    </r>
  </si>
  <si>
    <r>
      <t>23/08/2014</t>
    </r>
    <r>
      <rPr>
        <sz val="8"/>
        <rFont val="Arial"/>
        <family val="2"/>
      </rPr>
      <t xml:space="preserve">
</t>
    </r>
    <r>
      <rPr>
        <strike/>
        <sz val="8"/>
        <rFont val="Arial"/>
        <family val="2"/>
      </rPr>
      <t>28/10/2014</t>
    </r>
    <r>
      <rPr>
        <sz val="8"/>
        <rFont val="Arial"/>
        <family val="2"/>
      </rPr>
      <t xml:space="preserve">
</t>
    </r>
    <r>
      <rPr>
        <sz val="8"/>
        <color rgb="FF0000FF"/>
        <rFont val="Arial"/>
        <family val="2"/>
      </rPr>
      <t>28/10/2018</t>
    </r>
  </si>
  <si>
    <r>
      <rPr>
        <strike/>
        <sz val="8"/>
        <rFont val="Arial"/>
        <family val="2"/>
      </rPr>
      <t>6/12/2014</t>
    </r>
    <r>
      <rPr>
        <sz val="8"/>
        <rFont val="Arial"/>
        <family val="2"/>
      </rPr>
      <t xml:space="preserve">
</t>
    </r>
    <r>
      <rPr>
        <sz val="8"/>
        <color rgb="FF0000FF"/>
        <rFont val="Arial"/>
        <family val="2"/>
      </rPr>
      <t>6/12/2018</t>
    </r>
  </si>
  <si>
    <r>
      <rPr>
        <strike/>
        <sz val="8"/>
        <rFont val="Arial"/>
        <family val="2"/>
      </rPr>
      <t>6/12/2010</t>
    </r>
    <r>
      <rPr>
        <sz val="8"/>
        <rFont val="Arial"/>
        <family val="2"/>
      </rPr>
      <t xml:space="preserve">
</t>
    </r>
    <r>
      <rPr>
        <sz val="8"/>
        <color rgb="FF0000FF"/>
        <rFont val="Arial"/>
        <family val="2"/>
      </rPr>
      <t>28/10/2014</t>
    </r>
  </si>
  <si>
    <r>
      <t xml:space="preserve">4/07/2017
</t>
    </r>
    <r>
      <rPr>
        <sz val="10"/>
        <color rgb="FFFF0000"/>
        <rFont val="Arial"/>
        <family val="2"/>
      </rPr>
      <t>Under Staged Payment Agreement</t>
    </r>
  </si>
  <si>
    <t>Paid $4,285 Sep 88
for 4 villas
Paid $2,357 June 89
for 2 villas</t>
  </si>
  <si>
    <t>MCU17/0536</t>
  </si>
  <si>
    <t>RGG Blackmore</t>
  </si>
  <si>
    <t>PO Box 1100
MARCHYDORE QLD 4558</t>
  </si>
  <si>
    <t>1 x Detached house +
Additional Ancillary Dwelling Unit = 1 x 3 bedroom dwelling</t>
  </si>
  <si>
    <t>132001.210146.1</t>
  </si>
  <si>
    <t>Mettes Institute</t>
  </si>
  <si>
    <t xml:space="preserve">PO Box 334
TEWANTIN  QLD  4565
</t>
  </si>
  <si>
    <t>Lot 1 RP 174916</t>
  </si>
  <si>
    <t>Commercial Business Type 2 = 36m2 additional GFA &amp; Impervious area</t>
  </si>
  <si>
    <t>n/a (additional to existing)</t>
  </si>
  <si>
    <t>$44,160 Koala Offset 
Paid 5-Dec-2014 
Receipt: 1158656</t>
  </si>
  <si>
    <r>
      <t xml:space="preserve">REC17/0011
</t>
    </r>
    <r>
      <rPr>
        <sz val="10"/>
        <color rgb="FF0000FF"/>
        <rFont val="Arial"/>
        <family val="2"/>
      </rPr>
      <t>(Negotiated Decision)</t>
    </r>
  </si>
  <si>
    <t xml:space="preserve">105 Resort Drive 
NOOSA HEADS QLD 4566 </t>
  </si>
  <si>
    <t>Stage CTS 600
(Changed development &amp; staging)</t>
  </si>
  <si>
    <t>Stage CTS 200 Balance
(Changed development &amp; staging)</t>
  </si>
  <si>
    <r>
      <t xml:space="preserve">Nil 
</t>
    </r>
    <r>
      <rPr>
        <sz val="10"/>
        <color rgb="FF0000FF"/>
        <rFont val="Arial"/>
        <family val="2"/>
      </rPr>
      <t>Accounted for in Stage CTS 200 Bal</t>
    </r>
  </si>
  <si>
    <r>
      <rPr>
        <b/>
        <sz val="10"/>
        <color rgb="FF0000FF"/>
        <rFont val="Arial"/>
        <family val="2"/>
      </rPr>
      <t xml:space="preserve">N </t>
    </r>
    <r>
      <rPr>
        <b/>
        <sz val="10"/>
        <rFont val="Arial"/>
        <family val="2"/>
      </rPr>
      <t xml:space="preserve">1140
</t>
    </r>
    <r>
      <rPr>
        <sz val="10"/>
        <color rgb="FFFF0000"/>
        <rFont val="Arial"/>
        <family val="2"/>
      </rPr>
      <t>100% REBATE COMMUNITY ORGANISATION
PC17/0070 (Stg 1)</t>
    </r>
  </si>
  <si>
    <t>Noosa Gymnastics Club Inc+L12:Q12L12:R12B12L12:P12B12L12:P12L12:Q12</t>
  </si>
  <si>
    <r>
      <t xml:space="preserve">19/08/2020
</t>
    </r>
    <r>
      <rPr>
        <sz val="10"/>
        <color rgb="FF0000FF"/>
        <rFont val="Arial"/>
        <family val="2"/>
      </rPr>
      <t>Will not lapse due to completion of Stage 1</t>
    </r>
  </si>
  <si>
    <t>132007.1841.7</t>
  </si>
  <si>
    <t>Reece Australia P/L</t>
  </si>
  <si>
    <t>C/- Town Planning Alliance
PO Box 5329
WEST END QLD 4101</t>
  </si>
  <si>
    <t>1/100 Rene St NOOSAVILLE QLD 4566</t>
  </si>
  <si>
    <t>Lot 1 SP 230643</t>
  </si>
  <si>
    <t>Industrial Business Type 2 = 928m²
+
Impervious area = 1425 m2</t>
  </si>
  <si>
    <t>Vacant Industrial Lot</t>
  </si>
  <si>
    <t>This charge only applies to missing Public Transport (4.3% transport) &amp; 100% Stormwater networks not previously included in MCU 07/1841
Charge LIMITED TO Max total Permissible</t>
  </si>
  <si>
    <t xml:space="preserve">MCU 07/1841 &amp; ICP 978 roads, pathways &amp; public parks assessed &amp; contributions issued
Charge </t>
  </si>
  <si>
    <r>
      <rPr>
        <b/>
        <sz val="10"/>
        <color rgb="FF0000FF"/>
        <rFont val="Arial"/>
        <family val="2"/>
      </rPr>
      <t xml:space="preserve">N </t>
    </r>
    <r>
      <rPr>
        <b/>
        <sz val="10"/>
        <rFont val="Arial"/>
        <family val="2"/>
      </rPr>
      <t xml:space="preserve">1305
</t>
    </r>
    <r>
      <rPr>
        <b/>
        <sz val="10"/>
        <color rgb="FF0000FF"/>
        <rFont val="Arial"/>
        <family val="2"/>
      </rPr>
      <t>+
ICP 977 &amp; 
Contributions 07/1841</t>
    </r>
  </si>
  <si>
    <t>February  2018
Total =</t>
  </si>
  <si>
    <r>
      <rPr>
        <b/>
        <sz val="10"/>
        <color rgb="FF0000FF"/>
        <rFont val="Arial"/>
        <family val="2"/>
      </rPr>
      <t xml:space="preserve">N </t>
    </r>
    <r>
      <rPr>
        <b/>
        <sz val="10"/>
        <rFont val="Arial"/>
        <family val="2"/>
      </rPr>
      <t xml:space="preserve">1002
</t>
    </r>
    <r>
      <rPr>
        <sz val="10"/>
        <color rgb="FFFF0000"/>
        <rFont val="Arial"/>
        <family val="2"/>
      </rPr>
      <t xml:space="preserve">PC14/0801 &amp; </t>
    </r>
    <r>
      <rPr>
        <u/>
        <sz val="10"/>
        <color rgb="FFFF0000"/>
        <rFont val="Arial"/>
        <family val="2"/>
      </rPr>
      <t>PC15/1057</t>
    </r>
    <r>
      <rPr>
        <sz val="10"/>
        <color rgb="FFFF0000"/>
        <rFont val="Arial"/>
        <family val="2"/>
      </rPr>
      <t xml:space="preserve"> Final BA Inspection Certificate  issued 26/10/2016 </t>
    </r>
    <r>
      <rPr>
        <u/>
        <sz val="10"/>
        <color rgb="FFFF0000"/>
        <rFont val="Arial"/>
        <family val="2"/>
      </rPr>
      <t>for 2nd dwelling</t>
    </r>
  </si>
  <si>
    <r>
      <rPr>
        <b/>
        <sz val="10"/>
        <color rgb="FF0000FF"/>
        <rFont val="Arial"/>
        <family val="2"/>
      </rPr>
      <t xml:space="preserve">N </t>
    </r>
    <r>
      <rPr>
        <b/>
        <sz val="10"/>
        <rFont val="Arial"/>
        <family val="2"/>
      </rPr>
      <t xml:space="preserve">1143
</t>
    </r>
    <r>
      <rPr>
        <sz val="10"/>
        <color rgb="FFFF0000"/>
        <rFont val="Arial"/>
        <family val="2"/>
      </rPr>
      <t>BA issued
PC17/0048
(Stage 1 - Units 1 &amp; 2
Final Inspecion 3 Feb 2018)</t>
    </r>
  </si>
  <si>
    <r>
      <t xml:space="preserve">Multiple Housing Type 4 - Conventional (10 x 2 Bedroom Units)
</t>
    </r>
    <r>
      <rPr>
        <b/>
        <sz val="10"/>
        <color rgb="FF0000FF"/>
        <rFont val="Arial"/>
        <family val="2"/>
      </rPr>
      <t>Stage 2 (5 x 2 bed units)</t>
    </r>
  </si>
  <si>
    <t>Lot 5 RP 209009</t>
  </si>
  <si>
    <t>1 x Detached Dwelling House
+ 1 x 1 bedroom Secondary Dwelling</t>
  </si>
  <si>
    <t>MCU16/0097.01 (Change)</t>
  </si>
  <si>
    <t>Lot 4 SP291340</t>
  </si>
  <si>
    <t>4/1 Selkirk Ave, Noosaville QLD 4566</t>
  </si>
  <si>
    <t>Industrial Business Type 2 = 30m² additional mezzanine area to existing
No change to Impervious area.</t>
  </si>
  <si>
    <t xml:space="preserve">Travcon PTY LTD Trading as 
Build4U Quality Constructions
</t>
  </si>
  <si>
    <t xml:space="preserve">PO BOX 708 
Coolum Beach 4573
</t>
  </si>
  <si>
    <r>
      <rPr>
        <b/>
        <sz val="10"/>
        <color rgb="FF0000FF"/>
        <rFont val="Arial"/>
        <family val="2"/>
      </rPr>
      <t xml:space="preserve">N </t>
    </r>
    <r>
      <rPr>
        <b/>
        <sz val="10"/>
        <rFont val="Arial"/>
        <family val="2"/>
      </rPr>
      <t xml:space="preserve">1224
</t>
    </r>
    <r>
      <rPr>
        <i/>
        <sz val="10"/>
        <color rgb="FF0000FF"/>
        <rFont val="Arial"/>
        <family val="2"/>
      </rPr>
      <t>(PC18/0010)</t>
    </r>
  </si>
  <si>
    <t>MCU17/0568</t>
  </si>
  <si>
    <t>C/-Noosa Town Planning
42 Gympie St
TEWANTIN QLD 4565</t>
  </si>
  <si>
    <t>Lot 2 RP176126</t>
  </si>
  <si>
    <t>Industrial business Type 2 = 86m2 gfa
+ 
Impervious area = 4,012</t>
  </si>
  <si>
    <t>Tourism Noosa Ltd</t>
  </si>
  <si>
    <t>c/- Jennifer Roberts
2 Parklyn Court TEWANTIN QLD 4565</t>
  </si>
  <si>
    <t>Lot 3 CP 86268</t>
  </si>
  <si>
    <t xml:space="preserve">Education type 4 Information = Additional 12 m2 gfa
No change to impervious area
</t>
  </si>
  <si>
    <t>132004.4078.09 
(Change)</t>
  </si>
  <si>
    <r>
      <rPr>
        <b/>
        <sz val="10"/>
        <color rgb="FF0000FF"/>
        <rFont val="Arial"/>
        <family val="2"/>
      </rPr>
      <t xml:space="preserve">N </t>
    </r>
    <r>
      <rPr>
        <b/>
        <sz val="10"/>
        <rFont val="Arial"/>
        <family val="2"/>
      </rPr>
      <t xml:space="preserve">1309
</t>
    </r>
    <r>
      <rPr>
        <sz val="10"/>
        <color rgb="FFFF0000"/>
        <rFont val="Arial"/>
        <family val="2"/>
      </rPr>
      <t>100% REBATE FOR COMMUNITY ORGANISATION</t>
    </r>
  </si>
  <si>
    <t>March 2018 Total =</t>
  </si>
  <si>
    <t>PC18/0151</t>
  </si>
  <si>
    <t>Building Work
Pure Building Approvals
Number: 20186439</t>
  </si>
  <si>
    <t>Tim Ditchfield Architects</t>
  </si>
  <si>
    <t>PO Box 603
NOOSA HEADS QLD 4567</t>
  </si>
  <si>
    <t>Lot 185 RP 48113</t>
  </si>
  <si>
    <t xml:space="preserve">17 Elanda Street
SUNSHINE BEACH </t>
  </si>
  <si>
    <t>Detached House = 1 Dwelling House + 1 x 1 B/R Secondary Dwelling</t>
  </si>
  <si>
    <t>Existing 1 x Dwelling House</t>
  </si>
  <si>
    <t>MCU18/0002</t>
  </si>
  <si>
    <t>Mr AJ Jackson</t>
  </si>
  <si>
    <t>PO Box 2034
NOOSA HEADS QLD 4567</t>
  </si>
  <si>
    <t>Lot 3 SP 161928</t>
  </si>
  <si>
    <t>3/48 Mary Street NOOSAVILLE QLD 4566</t>
  </si>
  <si>
    <t>Commercial Business Type 1 Office = 68 m2 gfa</t>
  </si>
  <si>
    <t xml:space="preserve">Calcs result in negative transport &amp; nil stormwater = Therefore have just applied Total Net Charge $2,741 payable to Parks </t>
  </si>
  <si>
    <t>MCU18/0012</t>
  </si>
  <si>
    <t>Lot 26 SP 139155</t>
  </si>
  <si>
    <t xml:space="preserve">1 x Detached House 
+ 1 x 1 B/R Secondary Dwelling  
</t>
  </si>
  <si>
    <t>1 x vacant res lot</t>
  </si>
  <si>
    <t>MCU17/0571</t>
  </si>
  <si>
    <t>6 Lorraine Ave
MARCOOLA QLD 4564</t>
  </si>
  <si>
    <t>Lot 6 SP 295958</t>
  </si>
  <si>
    <t>Industrial Business Type 2 = 2 x Industrial Tenancies = 899 m2 gfa
Impervious Area: Site Area (1701.3m2) - Landscaping Area (280.2m2) = 1421 m2 Impervious</t>
  </si>
  <si>
    <t>1 x vacant Industrial lot
Lot reconfiguration = 152007.1626.3 (Change to 2007/1626) = Apply credit equivalent to 0.9 Non-Res Lot Transport &amp; Parks
• Stormwater = NIL</t>
  </si>
  <si>
    <t>152007.1626.3 - Remaining Path offset = $0.59/m2 lot area @ CPI March 2011 indexed to new charge base date = $1,082 deducted from Transport</t>
  </si>
  <si>
    <t>MCU17/0560</t>
  </si>
  <si>
    <t xml:space="preserve">Billy Lids Australia P/L TTE </t>
  </si>
  <si>
    <t>Lot 10 SP216079</t>
  </si>
  <si>
    <t>Industrial business type 2 - production, alteration,repackaging &amp; reparing = 859 m2 total GFA
+ Ancillary dwelling unit = 4 x 1 bed units 
Impervious area = 1613m²</t>
  </si>
  <si>
    <t>152007.1626.3 - Remaining Path offset = $0.59/m2 lot area @ CPI March 2011 indexed to new charge base date = $1,209 deducted from Transport</t>
  </si>
  <si>
    <t>March  2018
Total =</t>
  </si>
  <si>
    <t>MCU18/0018</t>
  </si>
  <si>
    <t>Pile-It Pty Ltd</t>
  </si>
  <si>
    <t>C/- Project BA
PO Box 914
TEWANTIN QLD 4565</t>
  </si>
  <si>
    <t>Lot 261 SP124748</t>
  </si>
  <si>
    <t>n/a is in addition to existing Industrial Building</t>
  </si>
  <si>
    <t>Stormwater charge is not applicable as unit is over existing Industrial shed GFA &amp; impervious area</t>
  </si>
  <si>
    <t>Material Change of Use for Ancillary Dwelling Unit = 1 x 2 bedroom unit
+
No change to impervious area</t>
  </si>
  <si>
    <t>MCU17/0039</t>
  </si>
  <si>
    <t>Sean Widera</t>
  </si>
  <si>
    <t>Lot 2 RP 114684</t>
  </si>
  <si>
    <t xml:space="preserve">Multiple Housing Type 4 Conventional
1 x 3 bedroom 2 x 2 bedroom Units
</t>
  </si>
  <si>
    <t>PC18/0206</t>
  </si>
  <si>
    <t>Ross Fisher</t>
  </si>
  <si>
    <t>Lot 15 SP 187860</t>
  </si>
  <si>
    <t>15/11B Venture Drive
NOOSAVILLE QLD 4566</t>
  </si>
  <si>
    <t>Industrial Business Type 2 - Production, alteration, repackaging &amp; repairing (Additional Mezzanine Floor = 27 m2)
No change to Impervious Area</t>
  </si>
  <si>
    <t>NIL (only relates to additional mezzanine - was NOT previously approved)</t>
  </si>
  <si>
    <r>
      <rPr>
        <b/>
        <sz val="10"/>
        <color rgb="FF0000FF"/>
        <rFont val="Arial"/>
        <family val="2"/>
      </rPr>
      <t xml:space="preserve">N </t>
    </r>
    <r>
      <rPr>
        <b/>
        <sz val="10"/>
        <rFont val="Arial"/>
        <family val="2"/>
      </rPr>
      <t xml:space="preserve">1317
</t>
    </r>
    <r>
      <rPr>
        <i/>
        <sz val="10"/>
        <color rgb="FF0000FF"/>
        <rFont val="Arial"/>
        <family val="2"/>
      </rPr>
      <t>Amended - applicant address was incorrect</t>
    </r>
  </si>
  <si>
    <r>
      <t xml:space="preserve">19 Allambi </t>
    </r>
    <r>
      <rPr>
        <strike/>
        <sz val="10"/>
        <color rgb="FF0000FF"/>
        <rFont val="Arial"/>
        <family val="2"/>
      </rPr>
      <t>Rise</t>
    </r>
    <r>
      <rPr>
        <sz val="10"/>
        <rFont val="Arial"/>
        <family val="2"/>
      </rPr>
      <t xml:space="preserve"> Terrace
NOOSA HEADS QLD 4567</t>
    </r>
  </si>
  <si>
    <t>MCU17/0550</t>
  </si>
  <si>
    <t>JUMP Swim Schools</t>
  </si>
  <si>
    <t>PO Box 1410
SURFERS PARADISE QLD 4217</t>
  </si>
  <si>
    <t>Lot 3 RP 230888</t>
  </si>
  <si>
    <t>5 Commerce Court 
NOOSAVILLE QLD 4566</t>
  </si>
  <si>
    <t>Entertainment &amp; dining business Type 2 Recreation, amusement &amp; fitness (Indoor Swim School) = Total 190m2 GFA
(Estimates taken from Plans)
Court Area = 114 m2 GFA (est 60% of total area) 
Non-Court Area = 76 m2 GFA (est 40% of total area) 
(No change to impervious area)</t>
  </si>
  <si>
    <t>Industrial Business Type 2 = 190m2 GFA</t>
  </si>
  <si>
    <t>The Trust Complany (Australia) Limited</t>
  </si>
  <si>
    <t>Lot 1 SP 115778</t>
  </si>
  <si>
    <t>4-24 Gibson Road
NOOSAVILLE QLD 4566</t>
  </si>
  <si>
    <t>Retail Business Type 2 = 4,900 m2 GFA
Change to Development approval to create additional GFA of 84m2 to the Noosa Village shopping complex (this includes the extension to the Woolworths supermarket (54m2) and an outdoor dining component (30m2). No increase of impervious area. However 30m2 of the existing impervious area becomes an outdoor dining space which is currently car spaces.</t>
  </si>
  <si>
    <t xml:space="preserve">Retail Business Type 2 = Previously approved/existing GFA is 4,816m2 </t>
  </si>
  <si>
    <r>
      <rPr>
        <b/>
        <sz val="10"/>
        <color rgb="FF0000FF"/>
        <rFont val="Arial"/>
        <family val="2"/>
      </rPr>
      <t xml:space="preserve">N </t>
    </r>
    <r>
      <rPr>
        <b/>
        <sz val="10"/>
        <rFont val="Arial"/>
        <family val="2"/>
      </rPr>
      <t xml:space="preserve">1232
</t>
    </r>
    <r>
      <rPr>
        <sz val="10"/>
        <color rgb="FFFF0000"/>
        <rFont val="Arial"/>
        <family val="2"/>
      </rPr>
      <t>PC17/0815 final 1/08/2017
Letter issued 27/02/18 PAYMENT DUE 
26 MARCH 2018</t>
    </r>
  </si>
  <si>
    <r>
      <t xml:space="preserve">IC 977
</t>
    </r>
    <r>
      <rPr>
        <b/>
        <sz val="8"/>
        <color rgb="FF0000FF"/>
        <rFont val="Arial"/>
        <family val="2"/>
      </rPr>
      <t>+
ICN.N1305</t>
    </r>
  </si>
  <si>
    <t>PC18/0358</t>
  </si>
  <si>
    <t>Building Work
Pure Building Approvals
Number: 20186550</t>
  </si>
  <si>
    <t>Ub Wo Pty Ltd</t>
  </si>
  <si>
    <t xml:space="preserve">Tim Penrose 
PO Box 1984
SUNSHINE PLAZA QLD 4558
</t>
  </si>
  <si>
    <t>Lot 685 P 93128</t>
  </si>
  <si>
    <t>61 Lorikeet Drive
PEREGIAN BEACH QLD 473</t>
  </si>
  <si>
    <t>Detached House + Secondary Dwelling</t>
  </si>
  <si>
    <t>3 x 1 Bedroom Flats</t>
  </si>
  <si>
    <r>
      <rPr>
        <strike/>
        <sz val="10"/>
        <rFont val="Arial"/>
        <family val="2"/>
      </rPr>
      <t>5/12/2016</t>
    </r>
    <r>
      <rPr>
        <sz val="10"/>
        <rFont val="Arial"/>
        <family val="2"/>
      </rPr>
      <t xml:space="preserve">
14/02/2018</t>
    </r>
  </si>
  <si>
    <t>MCU14/0039
Court Judgement
Appeal No. 171 of 2015 Approved 18/11/2016 
Use commenced on Judgement</t>
  </si>
  <si>
    <t>Revision 1 per Court Order 6/12/2017
1 x Detached House
+
Cultivation Type 2 Intensive (Turf Farm) = 3 x existing sheds = 385m2 gfa</t>
  </si>
  <si>
    <r>
      <t xml:space="preserve">Cultivation Type 2 – Tomato Farm
Additional development to existing = 
Glasshouse shed = 144m x 140m = 20,160m2 gfa
Multipurpose shed = 475m2 gfa (est from aerial photos) 
</t>
    </r>
    <r>
      <rPr>
        <b/>
        <sz val="10"/>
        <rFont val="Arial"/>
        <family val="2"/>
      </rPr>
      <t xml:space="preserve">Total additional development = Cultivation Type 2 - Intensive = 20,635 m2 gfa 
</t>
    </r>
    <r>
      <rPr>
        <b/>
        <sz val="10"/>
        <color rgb="FFFF0000"/>
        <rFont val="Arial"/>
        <family val="2"/>
      </rPr>
      <t>+ 1 x Detached House</t>
    </r>
  </si>
  <si>
    <r>
      <rPr>
        <b/>
        <sz val="8"/>
        <rFont val="Arial"/>
        <family val="2"/>
      </rPr>
      <t>05/1137 (DA)
132005.1137</t>
    </r>
    <r>
      <rPr>
        <sz val="8"/>
        <color rgb="FF0000FF"/>
        <rFont val="Arial"/>
        <family val="2"/>
      </rPr>
      <t xml:space="preserve"> 
(Ext: 132005.1137.05)
(Ext: 132005.1137.06)</t>
    </r>
  </si>
  <si>
    <r>
      <t>23/03/2006</t>
    </r>
    <r>
      <rPr>
        <sz val="8"/>
        <rFont val="Arial"/>
        <family val="2"/>
      </rPr>
      <t xml:space="preserve"> </t>
    </r>
    <r>
      <rPr>
        <strike/>
        <sz val="8"/>
        <rFont val="Arial"/>
        <family val="2"/>
      </rPr>
      <t>13/10/2006</t>
    </r>
    <r>
      <rPr>
        <sz val="8"/>
        <rFont val="Arial"/>
        <family val="2"/>
      </rPr>
      <t xml:space="preserve">
</t>
    </r>
    <r>
      <rPr>
        <strike/>
        <sz val="8"/>
        <color rgb="FF0000FF"/>
        <rFont val="Arial"/>
        <family val="2"/>
      </rPr>
      <t>29/4/2010
17/10/2014</t>
    </r>
    <r>
      <rPr>
        <sz val="8"/>
        <color rgb="FF0000FF"/>
        <rFont val="Arial"/>
        <family val="2"/>
      </rPr>
      <t xml:space="preserve">
19/03/2018</t>
    </r>
  </si>
  <si>
    <r>
      <t>23/03/2010 13/10/2010</t>
    </r>
    <r>
      <rPr>
        <sz val="8"/>
        <rFont val="Arial"/>
        <family val="2"/>
      </rPr>
      <t xml:space="preserve">
</t>
    </r>
    <r>
      <rPr>
        <strike/>
        <sz val="8"/>
        <color rgb="FF0000FF"/>
        <rFont val="Arial"/>
        <family val="2"/>
      </rPr>
      <t>13/10/2012</t>
    </r>
    <r>
      <rPr>
        <sz val="8"/>
        <color rgb="FF0000FF"/>
        <rFont val="Arial"/>
        <family val="2"/>
      </rPr>
      <t xml:space="preserve">
</t>
    </r>
    <r>
      <rPr>
        <strike/>
        <sz val="8"/>
        <color rgb="FF0000FF"/>
        <rFont val="Arial"/>
        <family val="2"/>
      </rPr>
      <t>13/10/2014
23/03/2016
23/03/2018</t>
    </r>
    <r>
      <rPr>
        <sz val="8"/>
        <color rgb="FF0000FF"/>
        <rFont val="Arial"/>
        <family val="2"/>
      </rPr>
      <t xml:space="preserve">
23/03/2020</t>
    </r>
  </si>
  <si>
    <r>
      <rPr>
        <strike/>
        <sz val="8"/>
        <rFont val="Arial"/>
        <family val="2"/>
      </rPr>
      <t xml:space="preserve">07/0616 </t>
    </r>
    <r>
      <rPr>
        <sz val="8"/>
        <rFont val="Arial"/>
        <family val="2"/>
      </rPr>
      <t xml:space="preserve">
</t>
    </r>
    <r>
      <rPr>
        <strike/>
        <sz val="8"/>
        <color rgb="FF0000FF"/>
        <rFont val="Arial"/>
        <family val="2"/>
      </rPr>
      <t>11/10/2013
11/10/2017</t>
    </r>
    <r>
      <rPr>
        <sz val="8"/>
        <color rgb="FF0000FF"/>
        <rFont val="Arial"/>
        <family val="2"/>
      </rPr>
      <t xml:space="preserve">
11/10/2021</t>
    </r>
    <r>
      <rPr>
        <sz val="8"/>
        <rFont val="Arial"/>
        <family val="2"/>
      </rPr>
      <t xml:space="preserve">
</t>
    </r>
  </si>
  <si>
    <r>
      <rPr>
        <strike/>
        <sz val="8"/>
        <rFont val="Arial"/>
        <family val="2"/>
      </rPr>
      <t>11/10/2007</t>
    </r>
    <r>
      <rPr>
        <sz val="8"/>
        <rFont val="Arial"/>
        <family val="2"/>
      </rPr>
      <t xml:space="preserve">
</t>
    </r>
    <r>
      <rPr>
        <strike/>
        <sz val="8"/>
        <color rgb="FF0000FF"/>
        <rFont val="Arial"/>
        <family val="2"/>
      </rPr>
      <t>9/05/2011
19/09/2013</t>
    </r>
    <r>
      <rPr>
        <sz val="8"/>
        <color rgb="FF0000FF"/>
        <rFont val="Arial"/>
        <family val="2"/>
      </rPr>
      <t xml:space="preserve">
16/06/2017</t>
    </r>
  </si>
  <si>
    <r>
      <t xml:space="preserve">07/0616 (DA)
132007.616
</t>
    </r>
    <r>
      <rPr>
        <sz val="8"/>
        <color rgb="FF0000FF"/>
        <rFont val="Arial"/>
        <family val="2"/>
      </rPr>
      <t>(Ext: 132007.616.03)
(Ext: 132007.616.04)</t>
    </r>
  </si>
  <si>
    <r>
      <t xml:space="preserve">Bld B on Lot 2
</t>
    </r>
    <r>
      <rPr>
        <sz val="8"/>
        <color rgb="FFFF0000"/>
        <rFont val="Arial"/>
        <family val="2"/>
      </rPr>
      <t>Building work has already commenced prior to approval.</t>
    </r>
    <r>
      <rPr>
        <sz val="8"/>
        <rFont val="Arial"/>
        <family val="2"/>
      </rPr>
      <t xml:space="preserve">
</t>
    </r>
    <r>
      <rPr>
        <b/>
        <sz val="8"/>
        <color rgb="FFFF0000"/>
        <rFont val="Arial"/>
        <family val="2"/>
      </rPr>
      <t>PC17/0829</t>
    </r>
    <r>
      <rPr>
        <sz val="8"/>
        <color rgb="FFFF0000"/>
        <rFont val="Arial"/>
        <family val="2"/>
      </rPr>
      <t xml:space="preserve"> Notice of Engagement received 26/07/2017 
Waiting on BA Approval to assess &amp; issue Missing Network charges</t>
    </r>
  </si>
  <si>
    <r>
      <t xml:space="preserve">Bld A on Lot 1
</t>
    </r>
    <r>
      <rPr>
        <sz val="8"/>
        <color rgb="FF0000FF"/>
        <rFont val="Arial"/>
        <family val="2"/>
      </rPr>
      <t xml:space="preserve">
</t>
    </r>
    <r>
      <rPr>
        <b/>
        <sz val="8"/>
        <color rgb="FF0000FF"/>
        <rFont val="Arial"/>
        <family val="2"/>
      </rPr>
      <t>PLUS missing networks re 132007.1841.7</t>
    </r>
  </si>
  <si>
    <r>
      <t xml:space="preserve">08/2063 (DA)
</t>
    </r>
    <r>
      <rPr>
        <sz val="8"/>
        <color rgb="FF0000FF"/>
        <rFont val="Arial"/>
        <family val="2"/>
      </rPr>
      <t>extn: 132008.2063.01</t>
    </r>
  </si>
  <si>
    <t>35 Walter Hay Dr 
NOOSAVILLE QLD 4566</t>
  </si>
  <si>
    <t>MCU18/0003</t>
  </si>
  <si>
    <t>20 Nannygai Street
NOOSAVILLE QLD 4566</t>
  </si>
  <si>
    <t>April 2018
Total =</t>
  </si>
  <si>
    <t>Tomothy James McGary</t>
  </si>
  <si>
    <t>Lot 36 RP 63879</t>
  </si>
  <si>
    <t>April 2018 Total =</t>
  </si>
  <si>
    <t>MCU18/0006</t>
  </si>
  <si>
    <t>D Knott</t>
  </si>
  <si>
    <t>PO Box 1860
NOOSAVILLE QLD 4568</t>
  </si>
  <si>
    <t>Lot 497 RP48112</t>
  </si>
  <si>
    <t>Multiple Housing Type 2 - Duplex = 2 x 2 bedroom units</t>
  </si>
  <si>
    <t>Multiple Housing Type 2 - Duplex = 2 x 4 bedroom units</t>
  </si>
  <si>
    <t>Lot 258 SP 297276</t>
  </si>
  <si>
    <t>150 Sheppersons Lane, Kin Kin QLD 4571
(+ 900 Sheppersons Lane)
FORMERLY Lot 259 on CP MCH187</t>
  </si>
  <si>
    <t>On judgement of the court being given in respect of the proceedings in the Agreed Terms, Neilsens shall pay to the Council the following amounts within 30 days:
(a) $30,000 to be paid into the Council's landcare fund.
(b) 23,256.75 in reimbursement for the Council's costs of employing its consultant engineer to advise it in relation to the operation of the Kin Kinn Quarry.</t>
  </si>
  <si>
    <r>
      <rPr>
        <sz val="10"/>
        <color rgb="FF0000FF"/>
        <rFont val="Arial"/>
        <family val="2"/>
      </rPr>
      <t xml:space="preserve">N </t>
    </r>
    <r>
      <rPr>
        <sz val="10"/>
        <rFont val="Arial"/>
        <family val="2"/>
      </rPr>
      <t xml:space="preserve">1215
</t>
    </r>
    <r>
      <rPr>
        <sz val="10"/>
        <color rgb="FFFF0000"/>
        <rFont val="Arial"/>
        <family val="2"/>
      </rPr>
      <t>Final certificate issued 9/10/2017
OVERDUE Letter issued 11/04/2018
PAYMENT DUE 
30/04/2018</t>
    </r>
  </si>
  <si>
    <r>
      <rPr>
        <sz val="10"/>
        <color rgb="FF0000FF"/>
        <rFont val="Arial"/>
        <family val="2"/>
      </rPr>
      <t xml:space="preserve">N </t>
    </r>
    <r>
      <rPr>
        <sz val="10"/>
        <rFont val="Arial"/>
        <family val="2"/>
      </rPr>
      <t xml:space="preserve">1230
</t>
    </r>
    <r>
      <rPr>
        <sz val="10"/>
        <color rgb="FFFF0000"/>
        <rFont val="Arial"/>
        <family val="2"/>
      </rPr>
      <t>Use Commenced advised by M Cantori 27/03/2018
Letter Issued 27/03/2018 Payment DUE 27/04/201</t>
    </r>
  </si>
  <si>
    <t>PC18/0049</t>
  </si>
  <si>
    <t>Building Work
Earthcert
Number: 180017</t>
  </si>
  <si>
    <t>Deborah Gillard &amp; Steven Maughan</t>
  </si>
  <si>
    <t>6 Ben Lexcen Drive
SUNRISE BEACH QLD 4567</t>
  </si>
  <si>
    <t>Lot 597 MCH 4885</t>
  </si>
  <si>
    <t>Vipassana Centre QLD Ltd</t>
  </si>
  <si>
    <t>35 Rules Road
POMONA QLD 4568</t>
  </si>
  <si>
    <t>Lot 6 RP 848414</t>
  </si>
  <si>
    <r>
      <t xml:space="preserve">Industrial business Type 2 = </t>
    </r>
    <r>
      <rPr>
        <sz val="10"/>
        <color rgb="FF0000FF"/>
        <rFont val="Arial"/>
        <family val="2"/>
      </rPr>
      <t xml:space="preserve">1,968m2 gfa - 420m2 Loading bays area = Chargeable 1548m2 GFA </t>
    </r>
    <r>
      <rPr>
        <sz val="10"/>
        <rFont val="Arial"/>
        <family val="2"/>
      </rPr>
      <t xml:space="preserve">
+ 
Impervious area = 4,060</t>
    </r>
  </si>
  <si>
    <r>
      <t xml:space="preserve">MCU14/0039
Court Judgement
Appeal No. 171 of 2015 Approved 18/11/2016
Received IC 2/12/2016
</t>
    </r>
    <r>
      <rPr>
        <sz val="10"/>
        <color rgb="FFFF0000"/>
        <rFont val="Arial"/>
        <family val="2"/>
      </rPr>
      <t/>
    </r>
  </si>
  <si>
    <r>
      <rPr>
        <b/>
        <sz val="10"/>
        <color rgb="FF0000FF"/>
        <rFont val="Arial"/>
        <family val="2"/>
      </rPr>
      <t xml:space="preserve">N </t>
    </r>
    <r>
      <rPr>
        <b/>
        <sz val="10"/>
        <rFont val="Arial"/>
        <family val="2"/>
      </rPr>
      <t xml:space="preserve">1163
</t>
    </r>
    <r>
      <rPr>
        <sz val="10"/>
        <color rgb="FFFF0000"/>
        <rFont val="Arial"/>
        <family val="2"/>
      </rPr>
      <t xml:space="preserve">
P&amp;E APPEAL 3/2017
Judgement made 26/03/18
PAYMENT DUE 25 APRIL 2018</t>
    </r>
  </si>
  <si>
    <r>
      <rPr>
        <b/>
        <sz val="10"/>
        <color rgb="FF0000FF"/>
        <rFont val="Arial"/>
        <family val="2"/>
      </rPr>
      <t>Planning Reg 2017-18</t>
    </r>
    <r>
      <rPr>
        <sz val="10"/>
        <color rgb="FF0000FF"/>
        <rFont val="Arial"/>
        <family val="2"/>
      </rPr>
      <t xml:space="preserve">
Note rate remains un-indexed from AICS 2016 index</t>
    </r>
  </si>
  <si>
    <t>CPI March 2018</t>
  </si>
  <si>
    <t>RAL18/0004</t>
  </si>
  <si>
    <t>Jasu Projects Pty Ltd Jasu Projects Family TTE</t>
  </si>
  <si>
    <t>C/- Adams + Sparkes Town Planning
PO Box 1000
BUDDINA QLD 4575</t>
  </si>
  <si>
    <t>Lot 360 P 93115</t>
  </si>
  <si>
    <t>319 David Low Way
PEREGIAN BEACH</t>
  </si>
  <si>
    <t>Lot Reconfig = 2 Res Lots</t>
  </si>
  <si>
    <t>Credit for 1 Detached House lot</t>
  </si>
  <si>
    <t>PC18/0419</t>
  </si>
  <si>
    <t>May 2018
Total =</t>
  </si>
  <si>
    <t>Jun-2016
(Vegetation Offset)</t>
  </si>
  <si>
    <r>
      <t>51987.2970 (TPC 1899)</t>
    </r>
    <r>
      <rPr>
        <sz val="8"/>
        <rFont val="Arial"/>
        <family val="2"/>
      </rPr>
      <t xml:space="preserve">
Court Decision re Changes to Original Approval
Court Judgement: D18 of 2016</t>
    </r>
  </si>
  <si>
    <t>Neilsens Quality Gravels Pty Ltd</t>
  </si>
  <si>
    <t>Court Decision re Changes to Original Approval
Court Judgement: D18 of 2016</t>
  </si>
  <si>
    <t>c/- Affinity Partners Pty Ltd
28 Brookes St Bowen Hills QLD 4006</t>
  </si>
  <si>
    <t>MCU
Court Order</t>
  </si>
  <si>
    <t>MCU14/0082.02</t>
  </si>
  <si>
    <t>Noosa Men’s Shed Inc.</t>
  </si>
  <si>
    <t>C/- Pacific BCQ
PO Box 1901
NOOSAVILLE DC QLD 4566</t>
  </si>
  <si>
    <t>Sewerage Treatment Plant Wallum Lane 
NOOSA HEADS QLD 4567</t>
  </si>
  <si>
    <t>Wellbeing Type 2 - Social  =  36 m2 GFA &amp; Impervious area (Additional to existing)</t>
  </si>
  <si>
    <t xml:space="preserve">n/a </t>
  </si>
  <si>
    <t>MCU18/0021</t>
  </si>
  <si>
    <t>Tike Property</t>
  </si>
  <si>
    <t>Lot 10 RP 64525</t>
  </si>
  <si>
    <t>Multiple Housing Type 2 - Duplex = 2 x 3 or more bedroom units</t>
  </si>
  <si>
    <t>1 Detached House</t>
  </si>
  <si>
    <r>
      <rPr>
        <b/>
        <sz val="10"/>
        <color rgb="FF0000FF"/>
        <rFont val="Arial"/>
        <family val="2"/>
      </rPr>
      <t xml:space="preserve">N </t>
    </r>
    <r>
      <rPr>
        <b/>
        <sz val="10"/>
        <rFont val="Arial"/>
        <family val="2"/>
      </rPr>
      <t xml:space="preserve">1186
(STAGE 1)
</t>
    </r>
    <r>
      <rPr>
        <i/>
        <sz val="10"/>
        <color rgb="FF0000FF"/>
        <rFont val="Arial"/>
        <family val="2"/>
      </rPr>
      <t>(PC17/0343)</t>
    </r>
  </si>
  <si>
    <t>PC18/0508</t>
  </si>
  <si>
    <t>Building Work
Noosa Building Approvals
Number: 20180508</t>
  </si>
  <si>
    <t>Lara Good</t>
  </si>
  <si>
    <t>Elysium Noosa
9 Blue Gum Road
NOOSA HEADS QLD 4567</t>
  </si>
  <si>
    <t>Lot 137 SP 267426</t>
  </si>
  <si>
    <t>Planning Regulation 2017</t>
  </si>
  <si>
    <t>Building Work
Noosa Building Approvals
Number: 20180034</t>
  </si>
  <si>
    <t>Hyren E Hehring</t>
  </si>
  <si>
    <t>2/91 McDonald Street
JOONDANNA WA 6060</t>
  </si>
  <si>
    <t>Lot 12 RP 890948</t>
  </si>
  <si>
    <r>
      <t xml:space="preserve">IA 68 
</t>
    </r>
    <r>
      <rPr>
        <sz val="8"/>
        <rFont val="Arial"/>
        <family val="2"/>
      </rPr>
      <t xml:space="preserve">Deed for payment of contributions
</t>
    </r>
  </si>
  <si>
    <t>Journal: GJ005398
to project code 
PJ101108.1001.42032</t>
  </si>
  <si>
    <t>$56,933.75
(a) $30,000 to be paid into the Council's landcare fund.
(b) 23,256.75 in reimbursement for the Council's costs of employing its consultant engineer
+
$3,677 Development fee</t>
  </si>
  <si>
    <t>Jun-2016
to project code 
PJ101108.1001.42032</t>
  </si>
  <si>
    <t>42 Gympie St
TEWANTIN QLD 4565</t>
  </si>
  <si>
    <t>Lot 11 RP 71186</t>
  </si>
  <si>
    <t>Lot 12 SP 269257</t>
  </si>
  <si>
    <t>1 Detached House Lot</t>
  </si>
  <si>
    <t>PC18/0423</t>
  </si>
  <si>
    <t>Building Work
Cooloola Building Approvals
Number: 5751</t>
  </si>
  <si>
    <t>Asset Cabins &amp; Homes Pty Ltd</t>
  </si>
  <si>
    <t>11 Langton Rd
GYMPIE QLD 4570</t>
  </si>
  <si>
    <t>Lot 2 RP 846208</t>
  </si>
  <si>
    <t>22 Turpentine Road 
RINGTAIL CREEK</t>
  </si>
  <si>
    <t xml:space="preserve">132002.220269.1 
(Minor Change) </t>
  </si>
  <si>
    <t>Lot 11 SP 146048</t>
  </si>
  <si>
    <t xml:space="preserve">247-251 Gympie Tce Noosaville Qld 4566  </t>
  </si>
  <si>
    <t>Entertainment &amp; dining business use (Restaurant) = 93m2 gfa 
i.e. = additional 7m2 gfa &amp; 
7m2 imparvious area</t>
  </si>
  <si>
    <t xml:space="preserve">Entertainment &amp; dining business use (Restaurant) = 86m2 gfa </t>
  </si>
  <si>
    <t>will not lapse due to being a change</t>
  </si>
  <si>
    <t>Planning Regulation 2017-2018</t>
  </si>
  <si>
    <t>1206602 ($76,609 part)
1206604 ($71 bal)</t>
  </si>
  <si>
    <t>MCU18/0008</t>
  </si>
  <si>
    <t>Harbrookson P/L</t>
  </si>
  <si>
    <t>37 Creek Rd
NOOSAVILLE QLD 4566</t>
  </si>
  <si>
    <t>Lot 8 SP 295958</t>
  </si>
  <si>
    <t>Vacant =  0.9 Industrial lot per Lot reconfiguration 152007.1626.3</t>
  </si>
  <si>
    <t>Remaining Pathway Offset re: 152007.1626.03
= $0.59/m2 lot area @ CPI March 2011 = $1,004 @ current Planning reg 2017 index (Included in calculated net  Transport amount)</t>
  </si>
  <si>
    <t>Industrial Business = 718 m2 gfa
+
1,340 m2 impervious area</t>
  </si>
  <si>
    <t>PC18/0530</t>
  </si>
  <si>
    <t>PC18/0531</t>
  </si>
  <si>
    <t>Oly Homes</t>
  </si>
  <si>
    <t>PO Box 684
YANDINA QLD 4561</t>
  </si>
  <si>
    <t>Lot 6 RP 895126</t>
  </si>
  <si>
    <t>Building Work
Building Approvals United QLD
Number: 20181587</t>
  </si>
  <si>
    <t>Building Work
Caloundra Building Approvals
Number: 00008125</t>
  </si>
  <si>
    <t>Caloundra Building Approvals</t>
  </si>
  <si>
    <t>155 Bulcock Street
CALOUNDRA QLD 4551</t>
  </si>
  <si>
    <t>Lot 5 RP 93966</t>
  </si>
  <si>
    <t>57 Gympie Street
TEWANTIN</t>
  </si>
  <si>
    <t>Building Work
James &amp; Michelle Picton
Number: BA180129</t>
  </si>
  <si>
    <t>James &amp; Michelle Picton</t>
  </si>
  <si>
    <t>25 Belleden Place
COOROY</t>
  </si>
  <si>
    <t>Lot 7 RP 848536</t>
  </si>
  <si>
    <t>Transferred to Rates</t>
  </si>
  <si>
    <t>Charges Update Journals: 1684037 &amp; 1684039
&amp; resultant 
GL Posting Journals: 1684038 &amp; 1684040</t>
  </si>
  <si>
    <r>
      <rPr>
        <b/>
        <sz val="10"/>
        <color rgb="FF0000FF"/>
        <rFont val="Arial"/>
        <family val="2"/>
      </rPr>
      <t xml:space="preserve">N </t>
    </r>
    <r>
      <rPr>
        <b/>
        <sz val="10"/>
        <rFont val="Arial"/>
        <family val="2"/>
      </rPr>
      <t xml:space="preserve">1294
</t>
    </r>
    <r>
      <rPr>
        <b/>
        <sz val="10"/>
        <color rgb="FFFF0000"/>
        <rFont val="Arial"/>
        <family val="2"/>
      </rPr>
      <t>U</t>
    </r>
    <r>
      <rPr>
        <sz val="10"/>
        <color rgb="FFFF0000"/>
        <rFont val="Arial"/>
        <family val="2"/>
      </rPr>
      <t xml:space="preserve">se Commenced Jan 2018 
Payment Date extended to Friday 18 May 2018
</t>
    </r>
    <r>
      <rPr>
        <b/>
        <sz val="10"/>
        <color rgb="FFFF0000"/>
        <rFont val="Arial"/>
        <family val="2"/>
      </rPr>
      <t>Not Paid &amp; Charge Transferred to Rates 21/05/2018</t>
    </r>
  </si>
  <si>
    <t>Refer also to Exemption Certificate EXE18/0001 re only 1 secondary dwelling allowed 
(i.e. No food prep facilities pemitted inside House alterations as Secondary dwelling relates only to alterations to separate Studio)</t>
  </si>
  <si>
    <t>MCU17/0565</t>
  </si>
  <si>
    <t>M Design</t>
  </si>
  <si>
    <t>PO Box 290
PEREGIAN BEACH QLD 4573</t>
  </si>
  <si>
    <t>Lot 323 RP 168110</t>
  </si>
  <si>
    <t>PC18/0570</t>
  </si>
  <si>
    <t>Building Work
Lee Janssen, Avalon Granny Flats
Number: SBA 2018-976</t>
  </si>
  <si>
    <t>Lee Janssen
Avalon Granny Flats</t>
  </si>
  <si>
    <t>PO Box 5620
MAROOCHYDORE QLD 4558</t>
  </si>
  <si>
    <t>36 Livistona Drive 
DOONAN</t>
  </si>
  <si>
    <r>
      <t>MCU16/0112</t>
    </r>
    <r>
      <rPr>
        <sz val="10"/>
        <color rgb="FF0000FF"/>
        <rFont val="Arial"/>
        <family val="2"/>
      </rPr>
      <t>.01 (Change)</t>
    </r>
    <r>
      <rPr>
        <sz val="10"/>
        <rFont val="Arial"/>
        <family val="2"/>
      </rPr>
      <t xml:space="preserve">
</t>
    </r>
    <r>
      <rPr>
        <i/>
        <sz val="10"/>
        <color rgb="FF0000FF"/>
        <rFont val="Arial"/>
        <family val="2"/>
      </rPr>
      <t>PC17/0740</t>
    </r>
  </si>
  <si>
    <r>
      <t xml:space="preserve">Industrial business type 2 = 1582m²
Entertainment and dining business type 1 = </t>
    </r>
    <r>
      <rPr>
        <strike/>
        <sz val="10"/>
        <rFont val="Arial"/>
        <family val="2"/>
      </rPr>
      <t xml:space="preserve">118 </t>
    </r>
    <r>
      <rPr>
        <sz val="10"/>
        <color rgb="FF0000FF"/>
        <rFont val="Arial"/>
        <family val="2"/>
      </rPr>
      <t xml:space="preserve">160 </t>
    </r>
    <r>
      <rPr>
        <sz val="10"/>
        <rFont val="Arial"/>
        <family val="2"/>
      </rPr>
      <t xml:space="preserve">m²
Impervious area = </t>
    </r>
    <r>
      <rPr>
        <strike/>
        <sz val="10"/>
        <rFont val="Arial"/>
        <family val="2"/>
      </rPr>
      <t>3580</t>
    </r>
    <r>
      <rPr>
        <sz val="10"/>
        <rFont val="Arial"/>
        <family val="2"/>
      </rPr>
      <t xml:space="preserve"> </t>
    </r>
    <r>
      <rPr>
        <sz val="10"/>
        <color rgb="FF0000FF"/>
        <rFont val="Arial"/>
        <family val="2"/>
      </rPr>
      <t xml:space="preserve">3590 </t>
    </r>
    <r>
      <rPr>
        <sz val="10"/>
        <rFont val="Arial"/>
        <family val="2"/>
      </rPr>
      <t>m2</t>
    </r>
  </si>
  <si>
    <t>MCU17/0572</t>
  </si>
  <si>
    <t>NKS Corporation Pty Ltd</t>
  </si>
  <si>
    <t>175 Eumundi Noosa Road NOOSAVILLE QLD 4566</t>
  </si>
  <si>
    <t>Lot 1 RP 131576</t>
  </si>
  <si>
    <t xml:space="preserve">Retail Business - Type 2 (Shop and Salon) 123sqm +
Retail Business - Type 5 (Vehicle Uses) 100sqm
+ Impervious area = 1,728 m2 </t>
  </si>
  <si>
    <t>Current lawful use is Industrial - total GFA is 728m2
+ Existing impervious area = 1,230m2</t>
  </si>
  <si>
    <t>All IC's&amp; Contributions reached Max permissible SPRP at AICS 2016
This ICN is for missing Public Transport &amp; Stormwater Networks</t>
  </si>
  <si>
    <r>
      <rPr>
        <b/>
        <sz val="10"/>
        <color rgb="FF0000FF"/>
        <rFont val="Arial"/>
        <family val="2"/>
      </rPr>
      <t xml:space="preserve">N </t>
    </r>
    <r>
      <rPr>
        <b/>
        <sz val="10"/>
        <rFont val="Arial"/>
        <family val="2"/>
      </rPr>
      <t xml:space="preserve">1178
</t>
    </r>
    <r>
      <rPr>
        <b/>
        <sz val="10"/>
        <color rgb="FF0000FF"/>
        <rFont val="Arial"/>
        <family val="2"/>
      </rPr>
      <t xml:space="preserve">+ 
ICP  925 Rev 1
+
ICAN Rev 1 </t>
    </r>
    <r>
      <rPr>
        <sz val="10"/>
        <color rgb="FF0000FF"/>
        <rFont val="Arial"/>
        <family val="2"/>
      </rPr>
      <t xml:space="preserve">(PSP Contributions
dated 13 Feb 2017) </t>
    </r>
    <r>
      <rPr>
        <b/>
        <sz val="10"/>
        <color rgb="FF0000FF"/>
        <rFont val="Arial"/>
        <family val="2"/>
      </rPr>
      <t xml:space="preserve">
</t>
    </r>
  </si>
  <si>
    <t>MCU18/0035</t>
  </si>
  <si>
    <t>Mixhill Pty Ltd</t>
  </si>
  <si>
    <t>Lot 266 P 93113</t>
  </si>
  <si>
    <t>7 Martin Street, Peregian Beach QLD 4573</t>
  </si>
  <si>
    <t>1 Detached House/Lot</t>
  </si>
  <si>
    <t>PC17/0829</t>
  </si>
  <si>
    <t>LANDHART PTY LTD
T/AS KARLOO CONSTRUCTIONS (QLD)</t>
  </si>
  <si>
    <t>PO BOX 844
BUDERIM QLD 4556</t>
  </si>
  <si>
    <t>2/100 Rene St NOOSAVILLE QLD 4566</t>
  </si>
  <si>
    <t>LOT 2 SP 230643</t>
  </si>
  <si>
    <t>N1342 relates to the missing Public Transport and Stormwater networks and is in addition to the Infrastructure Charges Notice IC 978 and PSP contribution conditions payable under the original MCU approval 132007.1841.</t>
  </si>
  <si>
    <t>Industrial Business type 2 = 795 m2 gfa
+
Impervious area = 1469 m2</t>
  </si>
  <si>
    <t>Vacant Industrial Land</t>
  </si>
  <si>
    <t>limited to cap the development’s total infrastructure charges and contributions under both development permits to the maximum permissible under the Planning Legislation and Regulation current at the time of issue.</t>
  </si>
  <si>
    <t>PC18/0414</t>
  </si>
  <si>
    <t>Building Work:
Earthcert Building Approvals
Number: 180115</t>
  </si>
  <si>
    <t>Mr DR Hanby &amp; Ms T Rogers</t>
  </si>
  <si>
    <t>24 Vista Street
BOREEN POINT QLD 4565</t>
  </si>
  <si>
    <t>Lot 1 RP 187540</t>
  </si>
  <si>
    <t>Building Work:
Earthcert Building Approvals
Number: 180068</t>
  </si>
  <si>
    <t>Kim &amp; Brian Paterson</t>
  </si>
  <si>
    <t>174 Lady Elliot Drive
Agnes Water QLD 4677</t>
  </si>
  <si>
    <t>Lot 13 RP 887629</t>
  </si>
  <si>
    <t xml:space="preserve">MCU17/0521
</t>
  </si>
  <si>
    <t>29/05/20018</t>
  </si>
  <si>
    <r>
      <t xml:space="preserve">Mar2018
</t>
    </r>
    <r>
      <rPr>
        <sz val="8"/>
        <color rgb="FF0000FF"/>
        <rFont val="Arial"/>
        <family val="2"/>
      </rPr>
      <t xml:space="preserve">
$270.00 Part Paid 29/05/2018 
Receipt 1206840 </t>
    </r>
  </si>
  <si>
    <t>Part Paid 
Pathway only</t>
  </si>
  <si>
    <r>
      <t xml:space="preserve">Bld E on Lot 5
</t>
    </r>
    <r>
      <rPr>
        <b/>
        <sz val="8"/>
        <rFont val="Arial"/>
        <family val="2"/>
      </rPr>
      <t xml:space="preserve">
</t>
    </r>
    <r>
      <rPr>
        <b/>
        <sz val="8"/>
        <color rgb="FF0000FF"/>
        <rFont val="Arial"/>
        <family val="2"/>
      </rPr>
      <t>Part Payment Pathways only</t>
    </r>
  </si>
  <si>
    <r>
      <t xml:space="preserve">Bld E on Lot 5
</t>
    </r>
    <r>
      <rPr>
        <sz val="8"/>
        <color rgb="FF0000FF"/>
        <rFont val="Arial"/>
        <family val="2"/>
      </rPr>
      <t xml:space="preserve">$270.00 Part Paid Pathways 29/05/2018 
Receipt 1206840 </t>
    </r>
  </si>
  <si>
    <t>CPI Mar 2018</t>
  </si>
  <si>
    <r>
      <t xml:space="preserve">1 x Residential Lot
</t>
    </r>
    <r>
      <rPr>
        <sz val="10"/>
        <color rgb="FF0000FF"/>
        <rFont val="Arial"/>
        <family val="2"/>
      </rPr>
      <t>(but credit for pre-amagamated 1984 lot reconfiguration of 2 lots)</t>
    </r>
  </si>
  <si>
    <r>
      <t xml:space="preserve">372
</t>
    </r>
    <r>
      <rPr>
        <b/>
        <sz val="10"/>
        <color rgb="FFFF0000"/>
        <rFont val="Arial"/>
        <family val="2"/>
      </rPr>
      <t xml:space="preserve">LAPSED 8/3/2015 </t>
    </r>
    <r>
      <rPr>
        <sz val="10"/>
        <color rgb="FF0000FF"/>
        <rFont val="Arial"/>
        <family val="2"/>
      </rPr>
      <t>Confirmed by GC 7/08/2015</t>
    </r>
    <r>
      <rPr>
        <b/>
        <sz val="10"/>
        <rFont val="Arial"/>
        <family val="2"/>
      </rPr>
      <t xml:space="preserve">
</t>
    </r>
  </si>
  <si>
    <r>
      <t xml:space="preserve">213
</t>
    </r>
    <r>
      <rPr>
        <b/>
        <sz val="10"/>
        <color rgb="FFFF0000"/>
        <rFont val="Arial"/>
        <family val="2"/>
      </rPr>
      <t xml:space="preserve">LAPSED 14/12/2015 </t>
    </r>
    <r>
      <rPr>
        <sz val="10"/>
        <color rgb="FF0000FF"/>
        <rFont val="Arial"/>
        <family val="2"/>
      </rPr>
      <t>Confirmed by GC 11/08/2015</t>
    </r>
  </si>
  <si>
    <r>
      <t xml:space="preserve">Also subject to contributions per ""Noosa North Shore Eco-Tourism Portal Development Code" clause 0025 (25% component = $13,400 at CPI June 2004) = $16,697.- at CPI March 2011. Notice of Financial Contribution issued for this._x000D_
Recognition for payment required to be made under Condition 32 of the Development Permit (previously towards a "non-trunk" local road but now included as a component of the "trunk" road network specified in Council's Resolution)_x000D_
</t>
    </r>
    <r>
      <rPr>
        <b/>
        <sz val="10"/>
        <color rgb="FF0000FF"/>
        <rFont val="Arial"/>
        <family val="2"/>
      </rPr>
      <t xml:space="preserve">Planning &amp; Environment Court: Appeal No 3544 of 2012, Judgement/Order dated 8th November 2013 </t>
    </r>
    <r>
      <rPr>
        <sz val="10"/>
        <color rgb="FF0000FF"/>
        <rFont val="Arial"/>
        <family val="2"/>
      </rPr>
      <t>deleting the charge for Public parks &amp; Land for Community facilities of $100,800 (as recognition of earlier open space dedication made under the Noosa North Shore Eco-Tourism Portal Development Code overall outcome 0017, Preliminary Approval (132003.221037 (23537 DA)) and Development Approval 132005.1550 for stage 1 of the overall development.</t>
    </r>
  </si>
  <si>
    <r>
      <t xml:space="preserve">23
</t>
    </r>
    <r>
      <rPr>
        <b/>
        <sz val="10"/>
        <color rgb="FFFF0000"/>
        <rFont val="Arial"/>
        <family val="2"/>
      </rPr>
      <t>LAPSED
26/08/2015</t>
    </r>
    <r>
      <rPr>
        <b/>
        <sz val="10"/>
        <rFont val="Arial"/>
        <family val="2"/>
      </rPr>
      <t xml:space="preserve">
</t>
    </r>
    <r>
      <rPr>
        <sz val="10"/>
        <color rgb="FF0000FF"/>
        <rFont val="Arial"/>
        <family val="2"/>
      </rPr>
      <t>Confirmed by MC 26/08/2015</t>
    </r>
  </si>
  <si>
    <r>
      <t xml:space="preserve">256
</t>
    </r>
    <r>
      <rPr>
        <b/>
        <sz val="10"/>
        <color rgb="FF0000FF"/>
        <rFont val="Arial"/>
        <family val="2"/>
      </rPr>
      <t xml:space="preserve">
</t>
    </r>
    <r>
      <rPr>
        <sz val="10"/>
        <color rgb="FF0000FF"/>
        <rFont val="Arial"/>
        <family val="2"/>
      </rPr>
      <t xml:space="preserve">132007.1259 &amp; IC916 re Stage 1 also applies
</t>
    </r>
    <r>
      <rPr>
        <u/>
        <sz val="10"/>
        <color rgb="FF0000FF"/>
        <rFont val="Arial"/>
        <family val="2"/>
      </rPr>
      <t>OR</t>
    </r>
    <r>
      <rPr>
        <b/>
        <sz val="10"/>
        <color rgb="FF0000FF"/>
        <rFont val="Arial"/>
        <family val="2"/>
      </rPr>
      <t xml:space="preserve">
</t>
    </r>
    <r>
      <rPr>
        <b/>
        <sz val="10"/>
        <color rgb="FFFF0000"/>
        <rFont val="Arial"/>
        <family val="2"/>
      </rPr>
      <t xml:space="preserve">Now REPLACED BY Alternative Stg 1
RE:  MCU13/0251 ICN.N1017 
&amp; 
PC16/0006 issued </t>
    </r>
  </si>
  <si>
    <r>
      <rPr>
        <b/>
        <sz val="10"/>
        <color rgb="FF0000FF"/>
        <rFont val="Arial"/>
        <family val="2"/>
      </rPr>
      <t xml:space="preserve">N </t>
    </r>
    <r>
      <rPr>
        <b/>
        <sz val="10"/>
        <rFont val="Arial"/>
        <family val="2"/>
      </rPr>
      <t xml:space="preserve">1114
</t>
    </r>
    <r>
      <rPr>
        <sz val="10"/>
        <rFont val="Arial"/>
        <family val="2"/>
      </rPr>
      <t>100% REBATE FOR COMMUNITY ORGANISATION</t>
    </r>
  </si>
  <si>
    <r>
      <t xml:space="preserve">216
</t>
    </r>
    <r>
      <rPr>
        <b/>
        <sz val="10"/>
        <color rgb="FFFF0000"/>
        <rFont val="Arial"/>
        <family val="2"/>
      </rPr>
      <t>LAPSED 6/6/16 in T1</t>
    </r>
  </si>
  <si>
    <r>
      <t xml:space="preserve">406
</t>
    </r>
    <r>
      <rPr>
        <b/>
        <sz val="10"/>
        <color rgb="FFFF0000"/>
        <rFont val="Arial"/>
        <family val="2"/>
      </rPr>
      <t>REPLACED BY
 ICN N.1072</t>
    </r>
    <r>
      <rPr>
        <b/>
        <sz val="10"/>
        <rFont val="Arial"/>
        <family val="2"/>
      </rPr>
      <t xml:space="preserve">
</t>
    </r>
    <r>
      <rPr>
        <sz val="10"/>
        <rFont val="Arial"/>
        <family val="2"/>
      </rPr>
      <t xml:space="preserve">
100% REBATE FOR COMMUNITY ORGANISATION</t>
    </r>
  </si>
  <si>
    <r>
      <t xml:space="preserve">MCU13/0030
(stage 1)
</t>
    </r>
    <r>
      <rPr>
        <b/>
        <sz val="10"/>
        <color rgb="FFFF0000"/>
        <rFont val="Arial"/>
        <family val="2"/>
      </rPr>
      <t>(REPLACED BY MCU13/0030.01 Change)</t>
    </r>
  </si>
  <si>
    <r>
      <t xml:space="preserve">407
</t>
    </r>
    <r>
      <rPr>
        <b/>
        <sz val="10"/>
        <color rgb="FFFF0000"/>
        <rFont val="Arial"/>
        <family val="2"/>
      </rPr>
      <t>REPLACED BY
 ICN N.1072</t>
    </r>
    <r>
      <rPr>
        <b/>
        <sz val="10"/>
        <rFont val="Arial"/>
        <family val="2"/>
      </rPr>
      <t xml:space="preserve">
</t>
    </r>
    <r>
      <rPr>
        <sz val="10"/>
        <rFont val="Arial"/>
        <family val="2"/>
      </rPr>
      <t>100% REBATE FOR COMMUNITY ORGANISATION</t>
    </r>
  </si>
  <si>
    <r>
      <t xml:space="preserve">MCU13/0030 (stage 2)
</t>
    </r>
    <r>
      <rPr>
        <b/>
        <sz val="10"/>
        <color rgb="FFFF0000"/>
        <rFont val="Arial"/>
        <family val="2"/>
      </rPr>
      <t>(REPLACED BY MCU13/0030.01 Change)</t>
    </r>
  </si>
  <si>
    <r>
      <t xml:space="preserve">35
</t>
    </r>
    <r>
      <rPr>
        <b/>
        <sz val="10"/>
        <color rgb="FFFF0000"/>
        <rFont val="Arial"/>
        <family val="2"/>
      </rPr>
      <t xml:space="preserve">Lapsed 7/6/2016
</t>
    </r>
    <r>
      <rPr>
        <sz val="10"/>
        <color rgb="FF0000FF"/>
        <rFont val="Arial"/>
        <family val="2"/>
      </rPr>
      <t>TB researched &amp; confirmed 14/09/2016</t>
    </r>
  </si>
  <si>
    <r>
      <rPr>
        <strike/>
        <sz val="10"/>
        <rFont val="Arial"/>
        <family val="2"/>
      </rPr>
      <t xml:space="preserve">3/08/2015
</t>
    </r>
    <r>
      <rPr>
        <sz val="10"/>
        <color rgb="FF0000FF"/>
        <rFont val="Arial"/>
        <family val="2"/>
      </rPr>
      <t>7/06/2016</t>
    </r>
  </si>
  <si>
    <r>
      <rPr>
        <b/>
        <sz val="10"/>
        <color rgb="FF0000FF"/>
        <rFont val="Arial"/>
        <family val="2"/>
      </rPr>
      <t xml:space="preserve">Amended N </t>
    </r>
    <r>
      <rPr>
        <b/>
        <sz val="10"/>
        <rFont val="Arial"/>
        <family val="2"/>
      </rPr>
      <t xml:space="preserve">1092
</t>
    </r>
    <r>
      <rPr>
        <b/>
        <sz val="10"/>
        <color rgb="FFFF0000"/>
        <rFont val="Arial"/>
        <family val="2"/>
      </rPr>
      <t>CANCELLED 28/11/2016</t>
    </r>
    <r>
      <rPr>
        <b/>
        <sz val="10"/>
        <rFont val="Arial"/>
        <family val="2"/>
      </rPr>
      <t xml:space="preserve">
</t>
    </r>
    <r>
      <rPr>
        <b/>
        <sz val="10"/>
        <color rgb="FF0000FF"/>
        <rFont val="Arial"/>
        <family val="2"/>
      </rPr>
      <t>PLUS
Original ICN.N1001 Now only applies</t>
    </r>
  </si>
  <si>
    <r>
      <rPr>
        <strike/>
        <sz val="10"/>
        <rFont val="Arial"/>
        <family val="2"/>
      </rPr>
      <t>21/09/2015</t>
    </r>
    <r>
      <rPr>
        <sz val="10"/>
        <rFont val="Arial"/>
        <family val="2"/>
      </rPr>
      <t xml:space="preserve">
</t>
    </r>
    <r>
      <rPr>
        <strike/>
        <sz val="10"/>
        <color rgb="FF0000FF"/>
        <rFont val="Arial"/>
        <family val="2"/>
      </rPr>
      <t>22/07/2016</t>
    </r>
    <r>
      <rPr>
        <sz val="10"/>
        <color rgb="FF0000FF"/>
        <rFont val="Arial"/>
        <family val="2"/>
      </rPr>
      <t xml:space="preserve">
28/11/2016</t>
    </r>
  </si>
  <si>
    <r>
      <rPr>
        <strike/>
        <sz val="10"/>
        <rFont val="Arial"/>
        <family val="2"/>
      </rPr>
      <t>MCU13/0215.01</t>
    </r>
    <r>
      <rPr>
        <sz val="10"/>
        <rFont val="Arial"/>
        <family val="2"/>
      </rPr>
      <t xml:space="preserve">
</t>
    </r>
    <r>
      <rPr>
        <strike/>
        <sz val="10"/>
        <rFont val="Arial"/>
        <family val="2"/>
      </rPr>
      <t>MCU13/0215.03</t>
    </r>
    <r>
      <rPr>
        <sz val="10"/>
        <color rgb="FF0000FF"/>
        <rFont val="Arial"/>
        <family val="2"/>
      </rPr>
      <t xml:space="preserve">
</t>
    </r>
    <r>
      <rPr>
        <i/>
        <sz val="10"/>
        <color rgb="FF0000FF"/>
        <rFont val="Arial"/>
        <family val="2"/>
      </rPr>
      <t>(PC16/0736</t>
    </r>
    <r>
      <rPr>
        <sz val="10"/>
        <color rgb="FF0000FF"/>
        <rFont val="Arial"/>
        <family val="2"/>
      </rPr>
      <t>)
MCU13/0215.04</t>
    </r>
  </si>
  <si>
    <r>
      <t xml:space="preserve">C/- </t>
    </r>
    <r>
      <rPr>
        <sz val="10"/>
        <color rgb="FF0000FF"/>
        <rFont val="Arial"/>
        <family val="2"/>
      </rPr>
      <t xml:space="preserve">Project Urban
</t>
    </r>
    <r>
      <rPr>
        <strike/>
        <sz val="10"/>
        <rFont val="Arial"/>
        <family val="2"/>
      </rPr>
      <t xml:space="preserve">KHA Development Managers </t>
    </r>
    <r>
      <rPr>
        <sz val="10"/>
        <rFont val="Arial"/>
        <family val="2"/>
      </rPr>
      <t xml:space="preserve">
PO Box  6380
MAROOCHYDORE BC  QLD  4558</t>
    </r>
  </si>
  <si>
    <r>
      <t xml:space="preserve">Refer also to N1001 re original MCU13/0215 which also remains payable
</t>
    </r>
    <r>
      <rPr>
        <sz val="10"/>
        <color rgb="FFFF0000"/>
        <rFont val="Arial"/>
        <family val="2"/>
      </rPr>
      <t xml:space="preserve">Indexation Applies as total amount remains below permissible SPRP maximum </t>
    </r>
  </si>
  <si>
    <r>
      <t xml:space="preserve">Multiple Housing - Type 4 – Conventional 
Additional 2 </t>
    </r>
    <r>
      <rPr>
        <strike/>
        <sz val="10"/>
        <color rgb="FF0000FF"/>
        <rFont val="Arial"/>
        <family val="2"/>
      </rPr>
      <t>amended to 1</t>
    </r>
    <r>
      <rPr>
        <strike/>
        <sz val="10"/>
        <rFont val="Arial"/>
        <family val="2"/>
      </rPr>
      <t xml:space="preserve"> units to original approval
1 x 3 Bedroom Unit +
</t>
    </r>
    <r>
      <rPr>
        <strike/>
        <sz val="10"/>
        <color rgb="FF0000FF"/>
        <rFont val="Arial"/>
        <family val="2"/>
      </rPr>
      <t xml:space="preserve">1 x 2 Bedroom Unit
</t>
    </r>
    <r>
      <rPr>
        <sz val="10"/>
        <color rgb="FF0000FF"/>
        <rFont val="Arial"/>
        <family val="2"/>
      </rPr>
      <t>Reverted to original development with IC N1001 onlu applying</t>
    </r>
  </si>
  <si>
    <r>
      <rPr>
        <b/>
        <sz val="10"/>
        <color rgb="FF0000FF"/>
        <rFont val="Arial"/>
        <family val="2"/>
      </rPr>
      <t xml:space="preserve">N </t>
    </r>
    <r>
      <rPr>
        <b/>
        <sz val="10"/>
        <rFont val="Arial"/>
        <family val="2"/>
      </rPr>
      <t xml:space="preserve">1190
</t>
    </r>
    <r>
      <rPr>
        <b/>
        <sz val="10"/>
        <color rgb="FFFF0000"/>
        <rFont val="Arial"/>
        <family val="2"/>
      </rPr>
      <t>CANCELLED 21/04/2017</t>
    </r>
  </si>
  <si>
    <r>
      <t xml:space="preserve">1 x 1 B/R Secondary Dwelling  
</t>
    </r>
    <r>
      <rPr>
        <sz val="10"/>
        <color rgb="FFFF0000"/>
        <rFont val="Arial"/>
        <family val="2"/>
      </rPr>
      <t>Now just standard additions/alterations to existing detached house.</t>
    </r>
  </si>
  <si>
    <r>
      <rPr>
        <b/>
        <sz val="10"/>
        <color rgb="FF0000FF"/>
        <rFont val="Arial"/>
        <family val="2"/>
      </rPr>
      <t xml:space="preserve">N </t>
    </r>
    <r>
      <rPr>
        <b/>
        <sz val="10"/>
        <rFont val="Arial"/>
        <family val="2"/>
      </rPr>
      <t xml:space="preserve">1203
</t>
    </r>
    <r>
      <rPr>
        <b/>
        <sz val="10"/>
        <color rgb="FFFF0000"/>
        <rFont val="Arial"/>
        <family val="2"/>
      </rPr>
      <t>CANCELLED 21/04/2017</t>
    </r>
  </si>
  <si>
    <r>
      <rPr>
        <strike/>
        <sz val="10"/>
        <rFont val="Arial"/>
        <family val="2"/>
      </rPr>
      <t>23/11/2012</t>
    </r>
    <r>
      <rPr>
        <sz val="10"/>
        <rFont val="Arial"/>
        <family val="2"/>
      </rPr>
      <t xml:space="preserve">
</t>
    </r>
    <r>
      <rPr>
        <sz val="10"/>
        <color rgb="FF0000FF"/>
        <rFont val="Arial"/>
        <family val="2"/>
      </rPr>
      <t>16/07/2014</t>
    </r>
  </si>
  <si>
    <r>
      <rPr>
        <strike/>
        <sz val="10"/>
        <color rgb="FFFF0000"/>
        <rFont val="Arial"/>
        <family val="2"/>
      </rPr>
      <t>Sep-2012 (101.6)</t>
    </r>
    <r>
      <rPr>
        <sz val="10"/>
        <color rgb="FFFF0000"/>
        <rFont val="Arial"/>
        <family val="2"/>
      </rPr>
      <t xml:space="preserve">
Mar-2014</t>
    </r>
  </si>
  <si>
    <r>
      <rPr>
        <strike/>
        <sz val="10"/>
        <rFont val="Arial"/>
        <family val="2"/>
      </rPr>
      <t>1x Residential lot</t>
    </r>
    <r>
      <rPr>
        <sz val="10"/>
        <rFont val="Arial"/>
        <family val="2"/>
      </rPr>
      <t xml:space="preserve"> 
</t>
    </r>
    <r>
      <rPr>
        <sz val="10"/>
        <color rgb="FF0000FF"/>
        <rFont val="Arial"/>
        <family val="2"/>
      </rPr>
      <t>Amended previous existing development = 1 x 2 bed unit + 2 x 1 bed units</t>
    </r>
    <r>
      <rPr>
        <sz val="10"/>
        <rFont val="Arial"/>
        <family val="2"/>
      </rPr>
      <t xml:space="preserve">
(second lot is not considered to have development potential in its own right).</t>
    </r>
  </si>
  <si>
    <r>
      <t xml:space="preserve">Issue details exported from SCRC AICR
</t>
    </r>
    <r>
      <rPr>
        <sz val="10"/>
        <color rgb="FF0000FF"/>
        <rFont val="Arial"/>
        <family val="2"/>
      </rPr>
      <t>Negotiated AICN 321 (Rev 1) issued due to representations on incorrect calc of existing use discount</t>
    </r>
  </si>
  <si>
    <r>
      <t xml:space="preserve">222
</t>
    </r>
    <r>
      <rPr>
        <sz val="10"/>
        <rFont val="Arial"/>
        <family val="2"/>
      </rPr>
      <t xml:space="preserve">
</t>
    </r>
    <r>
      <rPr>
        <sz val="10"/>
        <color rgb="FFFF0000"/>
        <rFont val="Arial"/>
        <family val="2"/>
      </rPr>
      <t>100% REBATE FOR COMMUNITY ORGANISATION</t>
    </r>
  </si>
  <si>
    <r>
      <t xml:space="preserve">Calculated as indoor sport &amp; recreation consistent with use._x000D_
Rebate applied as it is a community use on Council land.
</t>
    </r>
    <r>
      <rPr>
        <b/>
        <sz val="10"/>
        <color rgb="FFFF0000"/>
        <rFont val="Arial"/>
        <family val="2"/>
      </rPr>
      <t>NO Indexation applies as already at permisible MAXIMUM amount</t>
    </r>
  </si>
  <si>
    <r>
      <t xml:space="preserve">110
</t>
    </r>
    <r>
      <rPr>
        <b/>
        <sz val="10"/>
        <color rgb="FFFF0000"/>
        <rFont val="Arial"/>
        <family val="2"/>
      </rPr>
      <t>REPLACED BY ICN.N1279</t>
    </r>
  </si>
  <si>
    <r>
      <t xml:space="preserve">132008.1128 </t>
    </r>
    <r>
      <rPr>
        <sz val="10"/>
        <color rgb="FF0000FF"/>
        <rFont val="Arial"/>
        <family val="2"/>
      </rPr>
      <t>(Stage 1)</t>
    </r>
  </si>
  <si>
    <r>
      <rPr>
        <strike/>
        <sz val="10"/>
        <rFont val="Arial"/>
        <family val="2"/>
      </rPr>
      <t>19/12/2015</t>
    </r>
    <r>
      <rPr>
        <sz val="10"/>
        <rFont val="Arial"/>
        <family val="2"/>
      </rPr>
      <t xml:space="preserve">
</t>
    </r>
    <r>
      <rPr>
        <sz val="10"/>
        <color rgb="FF0000FF"/>
        <rFont val="Arial"/>
        <family val="2"/>
      </rPr>
      <t>19/12/2017
See Comment</t>
    </r>
  </si>
  <si>
    <r>
      <t xml:space="preserve">111
</t>
    </r>
    <r>
      <rPr>
        <b/>
        <sz val="10"/>
        <color rgb="FFFF0000"/>
        <rFont val="Arial"/>
        <family val="2"/>
      </rPr>
      <t>REPLACED BY ICN.N1280</t>
    </r>
  </si>
  <si>
    <r>
      <t xml:space="preserve">132008.1128 </t>
    </r>
    <r>
      <rPr>
        <sz val="10"/>
        <color rgb="FF0000FF"/>
        <rFont val="Arial"/>
        <family val="2"/>
      </rPr>
      <t>(Stage 2)</t>
    </r>
  </si>
  <si>
    <r>
      <rPr>
        <b/>
        <sz val="10"/>
        <color rgb="FF0000FF"/>
        <rFont val="Arial"/>
        <family val="2"/>
      </rPr>
      <t xml:space="preserve">N </t>
    </r>
    <r>
      <rPr>
        <b/>
        <sz val="10"/>
        <rFont val="Arial"/>
        <family val="2"/>
      </rPr>
      <t xml:space="preserve">1291
</t>
    </r>
    <r>
      <rPr>
        <b/>
        <sz val="10"/>
        <color rgb="FFFF0000"/>
        <rFont val="Arial"/>
        <family val="2"/>
      </rPr>
      <t>CANCELLED 11/01/2018</t>
    </r>
  </si>
  <si>
    <r>
      <t xml:space="preserve">551
</t>
    </r>
    <r>
      <rPr>
        <b/>
        <sz val="10"/>
        <color rgb="FFFF0000"/>
        <rFont val="Arial"/>
        <family val="2"/>
      </rPr>
      <t xml:space="preserve">LAPSED 
</t>
    </r>
    <r>
      <rPr>
        <sz val="10"/>
        <color rgb="FFFF0000"/>
        <rFont val="Arial"/>
        <family val="2"/>
      </rPr>
      <t>confirmed M Cantori 1/02/2018</t>
    </r>
  </si>
  <si>
    <r>
      <rPr>
        <b/>
        <sz val="10"/>
        <color rgb="FF0000FF"/>
        <rFont val="Arial"/>
        <family val="2"/>
      </rPr>
      <t xml:space="preserve">N </t>
    </r>
    <r>
      <rPr>
        <b/>
        <sz val="10"/>
        <rFont val="Arial"/>
        <family val="2"/>
      </rPr>
      <t xml:space="preserve">1086
</t>
    </r>
    <r>
      <rPr>
        <b/>
        <sz val="10"/>
        <color rgb="FFFF0000"/>
        <rFont val="Arial"/>
        <family val="2"/>
      </rPr>
      <t xml:space="preserve">LAPSED 
</t>
    </r>
    <r>
      <rPr>
        <sz val="10"/>
        <color rgb="FFFF0000"/>
        <rFont val="Arial"/>
        <family val="2"/>
      </rPr>
      <t>confirmed M Cantori 1/02/2018</t>
    </r>
  </si>
  <si>
    <r>
      <t xml:space="preserve">Replaces earlier </t>
    </r>
    <r>
      <rPr>
        <i/>
        <u/>
        <sz val="10"/>
        <color rgb="FF0000FF"/>
        <rFont val="Arial"/>
        <family val="2"/>
      </rPr>
      <t>lapsed</t>
    </r>
    <r>
      <rPr>
        <i/>
        <sz val="10"/>
        <color rgb="FF0000FF"/>
        <rFont val="Arial"/>
        <family val="2"/>
      </rPr>
      <t xml:space="preserve"> approval REC13/0013</t>
    </r>
  </si>
  <si>
    <r>
      <rPr>
        <b/>
        <sz val="10"/>
        <color rgb="FF0000FF"/>
        <rFont val="Arial"/>
        <family val="2"/>
      </rPr>
      <t xml:space="preserve">N </t>
    </r>
    <r>
      <rPr>
        <b/>
        <sz val="10"/>
        <rFont val="Arial"/>
        <family val="2"/>
      </rPr>
      <t xml:space="preserve">1343
</t>
    </r>
    <r>
      <rPr>
        <b/>
        <sz val="10"/>
        <color rgb="FFFF0000"/>
        <rFont val="Arial"/>
        <family val="2"/>
      </rPr>
      <t>CANCELLED 31/05/2018</t>
    </r>
  </si>
  <si>
    <t>Review of Representations 31/05/2018 resulted in CANCELLATION of ICN on the grounds that the sink in the guest room is not for food preparation purposes and lower floor is not for self contained or independent accomodation use separately from the upper floor.</t>
  </si>
  <si>
    <r>
      <rPr>
        <strike/>
        <sz val="10"/>
        <rFont val="Arial"/>
        <family val="2"/>
      </rPr>
      <t>28/05/2018</t>
    </r>
    <r>
      <rPr>
        <sz val="10"/>
        <rFont val="Arial"/>
        <family val="2"/>
      </rPr>
      <t xml:space="preserve">
1/06/2018</t>
    </r>
  </si>
  <si>
    <t>MCU18/0031</t>
  </si>
  <si>
    <t>Spilldebeans</t>
  </si>
  <si>
    <t>C/- Noosa Town Planning
42 Gympie St
TEWANTIN QLD 4565</t>
  </si>
  <si>
    <t>Lot 4 RP 54576</t>
  </si>
  <si>
    <t>14 Memorial Ave, Pomona QLD 4568</t>
  </si>
  <si>
    <t xml:space="preserve">Entertaiment &amp; dining business Type 1 Food &amp; Beverages = 245 m2 gfa
+ impervious area = 245m2 </t>
  </si>
  <si>
    <t>Retail Business Type 2 Shop &amp; salon = 111m2</t>
  </si>
  <si>
    <t>MCU17/0569</t>
  </si>
  <si>
    <t>6 Selkirk Drive Noosaville 4566</t>
  </si>
  <si>
    <t>Lot 24 SP 162080</t>
  </si>
  <si>
    <t>N/a as only based on additional to existing</t>
  </si>
  <si>
    <t>Industrial Business Type Type 1 Warehouse = 181 m2 gfa additional to existing.
No change to impervious area</t>
  </si>
  <si>
    <t>51995.1611.03 
(Change to Existing)</t>
  </si>
  <si>
    <t>CP &amp; DI Campbell Builders</t>
  </si>
  <si>
    <t>PO Box 16 COOROY QLD 4563</t>
  </si>
  <si>
    <t>Lot 2 SP 248165</t>
  </si>
  <si>
    <t>Entertainment &amp; Dining Business Type 2 Recreation, Amusement &amp; fitness (Indoor Entertainment - Bowls Club)
= additional 34m2 GFA (Non-Court area)
+ additional 45m2 impervious area</t>
  </si>
  <si>
    <t>MCU17/0563</t>
  </si>
  <si>
    <t>MJ Hussain &amp; LH Randall &amp; SM Johnson Cole &amp; DA Johnson</t>
  </si>
  <si>
    <t>C/- Adams Sparkes Town Planning
PO Box 1000
BUDDINA QLD 4575</t>
  </si>
  <si>
    <t>Lot 11 RP 138550 &amp; Lot 0, 1 &amp; 2 BUP 6971</t>
  </si>
  <si>
    <t>Multiple Housing Type 2 - Duplex = 4 x 3 or more bedroom units</t>
  </si>
  <si>
    <t>1 Detached House
+ Multiple Housing = 1 x 3 bed unit + 1 x 2 bed unit</t>
  </si>
  <si>
    <t>MCU18/0062</t>
  </si>
  <si>
    <t>6 Vision Court, Noosaville QLD 4566</t>
  </si>
  <si>
    <t>Lot 7 SP 295958</t>
  </si>
  <si>
    <t>• A remaining pathway offset reduction specified under 152007.1626.03 Lot Reconfiguration approval has been applied.
• A Stormwater reduction for the ancillary dwelling unit areas covered by industrial impervious area has been applied.</t>
  </si>
  <si>
    <t>Industrial Type 2 - Production alteration &amp; repackaging = 1,099 m2 gfa +
1,585 m2 Impervious area
+
Ancillary Dwelling units = 3 x 1 bed units</t>
  </si>
  <si>
    <t>Vacant Non-res lot but credit for
152007.1626.3 (Change to 2007/1626) where contributions where paid only for the Transport and Public Parks networks equivalent to a detached house lot but not for the Stormwater Network = credit equivalent to 0.9 Non-residential Lot.</t>
  </si>
  <si>
    <r>
      <rPr>
        <b/>
        <sz val="10"/>
        <color rgb="FF0000FF"/>
        <rFont val="Arial"/>
        <family val="2"/>
      </rPr>
      <t xml:space="preserve">N </t>
    </r>
    <r>
      <rPr>
        <b/>
        <sz val="10"/>
        <rFont val="Arial"/>
        <family val="2"/>
      </rPr>
      <t xml:space="preserve">1212
</t>
    </r>
    <r>
      <rPr>
        <sz val="10"/>
        <color rgb="FFFF0000"/>
        <rFont val="Arial"/>
        <family val="2"/>
      </rPr>
      <t>Building Final Inspection issued 19/04/2018</t>
    </r>
    <r>
      <rPr>
        <b/>
        <sz val="10"/>
        <color rgb="FFFF0000"/>
        <rFont val="Arial"/>
        <family val="2"/>
      </rPr>
      <t xml:space="preserve">
PAYMENT DUE 31/07/2018</t>
    </r>
  </si>
  <si>
    <t xml:space="preserve">Extn IA for Missing:
- Stormwater
- Parks &amp; LFCF 
- Public Transport
</t>
  </si>
  <si>
    <r>
      <t xml:space="preserve">Change to Existing Approval replaces original approval.
</t>
    </r>
    <r>
      <rPr>
        <sz val="10"/>
        <color rgb="FFFF0000"/>
        <rFont val="Arial"/>
        <family val="2"/>
      </rPr>
      <t>Amendment 2 issued to correct typo error on page 1 of notice</t>
    </r>
  </si>
  <si>
    <r>
      <rPr>
        <b/>
        <sz val="10"/>
        <color rgb="FF0000FF"/>
        <rFont val="Arial"/>
        <family val="2"/>
      </rPr>
      <t xml:space="preserve">N </t>
    </r>
    <r>
      <rPr>
        <b/>
        <sz val="10"/>
        <rFont val="Arial"/>
        <family val="2"/>
      </rPr>
      <t xml:space="preserve">1173
</t>
    </r>
    <r>
      <rPr>
        <b/>
        <sz val="10"/>
        <color rgb="FF0000FF"/>
        <rFont val="Arial"/>
        <family val="2"/>
      </rPr>
      <t xml:space="preserve">Amended 
</t>
    </r>
    <r>
      <rPr>
        <b/>
        <sz val="10"/>
        <color rgb="FFFF0000"/>
        <rFont val="Arial"/>
        <family val="2"/>
      </rPr>
      <t>Amended to correct typo error</t>
    </r>
    <r>
      <rPr>
        <b/>
        <sz val="10"/>
        <rFont val="Arial"/>
        <family val="2"/>
      </rPr>
      <t xml:space="preserve">
</t>
    </r>
  </si>
  <si>
    <r>
      <rPr>
        <strike/>
        <sz val="10"/>
        <rFont val="Arial"/>
        <family val="2"/>
      </rPr>
      <t>23/01/2017</t>
    </r>
    <r>
      <rPr>
        <sz val="10"/>
        <rFont val="Arial"/>
        <family val="2"/>
      </rPr>
      <t xml:space="preserve">
</t>
    </r>
    <r>
      <rPr>
        <strike/>
        <sz val="10"/>
        <color rgb="FF0000FF"/>
        <rFont val="Arial"/>
        <family val="2"/>
      </rPr>
      <t>24/05/2018</t>
    </r>
    <r>
      <rPr>
        <sz val="10"/>
        <color rgb="FF0000FF"/>
        <rFont val="Arial"/>
        <family val="2"/>
      </rPr>
      <t xml:space="preserve">
</t>
    </r>
    <r>
      <rPr>
        <sz val="10"/>
        <color rgb="FFFF0000"/>
        <rFont val="Arial"/>
        <family val="2"/>
      </rPr>
      <t>14/06/2018</t>
    </r>
  </si>
  <si>
    <r>
      <rPr>
        <strike/>
        <sz val="10"/>
        <color rgb="FF0000FF"/>
        <rFont val="Arial"/>
        <family val="2"/>
      </rPr>
      <t>1</t>
    </r>
    <r>
      <rPr>
        <b/>
        <sz val="10"/>
        <color rgb="FFFF0000"/>
        <rFont val="Arial"/>
        <family val="2"/>
      </rPr>
      <t xml:space="preserve">
2</t>
    </r>
  </si>
  <si>
    <t>Over paid $360 to transport &amp; require refund due to typo  error on page 1 of notice rev 1</t>
  </si>
  <si>
    <t>June 2018
Total =</t>
  </si>
  <si>
    <t>DBW18/0008</t>
  </si>
  <si>
    <t>P Cosmatos</t>
  </si>
  <si>
    <t>10 Solitaire St
DOONAN QLD 4562</t>
  </si>
  <si>
    <t>Lot 13 RP 836908</t>
  </si>
  <si>
    <r>
      <rPr>
        <b/>
        <sz val="10"/>
        <color rgb="FF0000FF"/>
        <rFont val="Arial"/>
        <family val="2"/>
      </rPr>
      <t xml:space="preserve">N </t>
    </r>
    <r>
      <rPr>
        <b/>
        <sz val="10"/>
        <rFont val="Arial"/>
        <family val="2"/>
      </rPr>
      <t xml:space="preserve">1239
</t>
    </r>
  </si>
  <si>
    <t>131999.983031.1
(Change to 18477 DA)</t>
  </si>
  <si>
    <t>Donovan Court 
3/9 Lionel Donovan Dr 
NOOSAVILLE QLD 4566</t>
  </si>
  <si>
    <t>Industrial Business Type Type 1 Warehouse = 46 m2 gfa additional Mezzanine to existing.
No chang to Impervious area</t>
  </si>
  <si>
    <r>
      <rPr>
        <strike/>
        <sz val="10"/>
        <color rgb="FF0000FF"/>
        <rFont val="Arial"/>
        <family val="2"/>
      </rPr>
      <t>22/10/2014</t>
    </r>
    <r>
      <rPr>
        <sz val="10"/>
        <color rgb="FF0000FF"/>
        <rFont val="Arial"/>
        <family val="2"/>
      </rPr>
      <t xml:space="preserve">
15/06/2018</t>
    </r>
  </si>
  <si>
    <r>
      <rPr>
        <strike/>
        <sz val="10"/>
        <rFont val="Arial"/>
        <family val="2"/>
      </rPr>
      <t>35 Lorilet St Peregian Beach</t>
    </r>
    <r>
      <rPr>
        <sz val="10"/>
        <rFont val="Arial"/>
        <family val="2"/>
      </rPr>
      <t xml:space="preserve">
</t>
    </r>
    <r>
      <rPr>
        <sz val="10"/>
        <color rgb="FF0000FF"/>
        <rFont val="Arial"/>
        <family val="2"/>
      </rPr>
      <t>C/- Martoo Consulting Pty Ltd
PO Box 1684
NOOSA HEADS QLD 4567</t>
    </r>
  </si>
  <si>
    <r>
      <rPr>
        <strike/>
        <sz val="10"/>
        <rFont val="Arial"/>
        <family val="2"/>
      </rPr>
      <t>Harman Family Trust
LW &amp; KW Harman</t>
    </r>
    <r>
      <rPr>
        <sz val="10"/>
        <rFont val="Arial"/>
        <family val="2"/>
      </rPr>
      <t xml:space="preserve">
</t>
    </r>
    <r>
      <rPr>
        <sz val="10"/>
        <color rgb="FF0000FF"/>
        <rFont val="Arial"/>
        <family val="2"/>
      </rPr>
      <t>W Jenner</t>
    </r>
  </si>
  <si>
    <r>
      <rPr>
        <strike/>
        <sz val="10"/>
        <color rgb="FF0000FF"/>
        <rFont val="Arial"/>
        <family val="2"/>
      </rPr>
      <t>16/12/2018</t>
    </r>
    <r>
      <rPr>
        <sz val="10"/>
        <color rgb="FF0000FF"/>
        <rFont val="Arial"/>
        <family val="2"/>
      </rPr>
      <t xml:space="preserve">
16/12/2020</t>
    </r>
  </si>
  <si>
    <t>Completed</t>
  </si>
  <si>
    <t>132007.1841.8 
(Change to lot 6)</t>
  </si>
  <si>
    <t>6 Lorraine AveMARCOOLA QLD 4564</t>
  </si>
  <si>
    <t>Lot 6 SP 230643</t>
  </si>
  <si>
    <t>6/100 Rene St NOOSAVILLE QLD 4566</t>
  </si>
  <si>
    <t>Industrial business Type 2 = 1,014 m2 gfa + 1,972 m2 impervious</t>
  </si>
  <si>
    <t>Limited to so total of all ICs not to exceed the current  maximum permissible charge under current regulation</t>
  </si>
  <si>
    <t xml:space="preserve">Relates only to the Public Transport &amp; Stormwater networks missing from the original approval.
</t>
  </si>
  <si>
    <r>
      <rPr>
        <strike/>
        <sz val="8"/>
        <rFont val="Arial"/>
        <family val="2"/>
      </rPr>
      <t>S &amp; L Development</t>
    </r>
    <r>
      <rPr>
        <sz val="8"/>
        <rFont val="Arial"/>
        <family val="2"/>
      </rPr>
      <t xml:space="preserve">
</t>
    </r>
    <r>
      <rPr>
        <strike/>
        <sz val="8"/>
        <color rgb="FF0000FF"/>
        <rFont val="Arial"/>
        <family val="2"/>
      </rPr>
      <t>Northern Property Group No 1 Pty Ltd</t>
    </r>
    <r>
      <rPr>
        <sz val="8"/>
        <color rgb="FF0000FF"/>
        <rFont val="Arial"/>
        <family val="2"/>
      </rPr>
      <t xml:space="preserve">
Building Suncoast Green</t>
    </r>
  </si>
  <si>
    <r>
      <rPr>
        <strike/>
        <sz val="8"/>
        <rFont val="Arial"/>
        <family val="2"/>
      </rPr>
      <t>c/ Ken Hicks &amp; Associates
PO Box 6380
MAROOCHYDORE  QLD  4558</t>
    </r>
    <r>
      <rPr>
        <sz val="8"/>
        <rFont val="Arial"/>
        <family val="2"/>
      </rPr>
      <t xml:space="preserve">
</t>
    </r>
    <r>
      <rPr>
        <sz val="8"/>
        <color rgb="FF0000FF"/>
        <rFont val="Arial"/>
        <family val="2"/>
      </rPr>
      <t>6 Lorraine Ave Marcoola QLD 4564</t>
    </r>
  </si>
  <si>
    <r>
      <t xml:space="preserve">Building F on Lot 6 =
</t>
    </r>
    <r>
      <rPr>
        <strike/>
        <sz val="8"/>
        <rFont val="Arial"/>
        <family val="2"/>
      </rPr>
      <t>1,137 m2 ua</t>
    </r>
    <r>
      <rPr>
        <sz val="8"/>
        <rFont val="Arial"/>
        <family val="2"/>
      </rPr>
      <t xml:space="preserve">
</t>
    </r>
    <r>
      <rPr>
        <sz val="8"/>
        <color rgb="FF0000FF"/>
        <rFont val="Arial"/>
        <family val="2"/>
      </rPr>
      <t>1,014 m2 gfa</t>
    </r>
  </si>
  <si>
    <r>
      <rPr>
        <strike/>
        <sz val="8"/>
        <rFont val="Arial"/>
        <family val="2"/>
      </rPr>
      <t>$2579</t>
    </r>
    <r>
      <rPr>
        <sz val="8"/>
        <rFont val="Arial"/>
        <family val="2"/>
      </rPr>
      <t xml:space="preserve">
Sep-10</t>
    </r>
  </si>
  <si>
    <r>
      <rPr>
        <b/>
        <strike/>
        <sz val="8"/>
        <rFont val="Arial"/>
        <family val="2"/>
      </rPr>
      <t xml:space="preserve">$43,145 </t>
    </r>
    <r>
      <rPr>
        <b/>
        <sz val="8"/>
        <rFont val="Arial"/>
        <family val="2"/>
      </rPr>
      <t xml:space="preserve">      
Sep-10</t>
    </r>
  </si>
  <si>
    <r>
      <rPr>
        <strike/>
        <sz val="8"/>
        <rFont val="Arial"/>
        <family val="2"/>
      </rPr>
      <t>$2920</t>
    </r>
    <r>
      <rPr>
        <sz val="8"/>
        <rFont val="Arial"/>
        <family val="2"/>
      </rPr>
      <t xml:space="preserve">
Sep-10</t>
    </r>
  </si>
  <si>
    <r>
      <rPr>
        <strike/>
        <sz val="8"/>
        <rFont val="Arial"/>
        <family val="2"/>
      </rPr>
      <t xml:space="preserve">26 Eenie Creek Rd
</t>
    </r>
    <r>
      <rPr>
        <sz val="8"/>
        <color rgb="FF0000FF"/>
        <rFont val="Arial"/>
        <family val="2"/>
      </rPr>
      <t xml:space="preserve">
6/100 Rene Street
NOOSAVILLE  QLD  4566</t>
    </r>
  </si>
  <si>
    <r>
      <rPr>
        <b/>
        <sz val="10"/>
        <color rgb="FF0000FF"/>
        <rFont val="Arial"/>
        <family val="2"/>
      </rPr>
      <t xml:space="preserve">N </t>
    </r>
    <r>
      <rPr>
        <b/>
        <sz val="10"/>
        <rFont val="Arial"/>
        <family val="2"/>
      </rPr>
      <t xml:space="preserve">1173
</t>
    </r>
    <r>
      <rPr>
        <b/>
        <sz val="10"/>
        <color rgb="FF0000FF"/>
        <rFont val="Arial"/>
        <family val="2"/>
      </rPr>
      <t xml:space="preserve">Amended 
</t>
    </r>
    <r>
      <rPr>
        <b/>
        <sz val="10"/>
        <color rgb="FFFF0000"/>
        <rFont val="Arial"/>
        <family val="2"/>
      </rPr>
      <t>REFUND OVERPAYMENT</t>
    </r>
    <r>
      <rPr>
        <b/>
        <sz val="10"/>
        <rFont val="Arial"/>
        <family val="2"/>
      </rPr>
      <t xml:space="preserve">
</t>
    </r>
  </si>
  <si>
    <t>$360.00 OVERPAYMENT DUE TO COUNCIL ORIGINAL NOTICE ERROR</t>
  </si>
  <si>
    <t>$360.00 REFUND OF OVERPAYMENT DUE TO COUNCIL ORIGINAL NOTICE ERROR</t>
  </si>
  <si>
    <t>REFUND of
Overpayment $360 to transport</t>
  </si>
  <si>
    <t>PO Box 10479
SOUTHPORT BC QLD 4215</t>
  </si>
  <si>
    <t>Lot 101 SP 287641</t>
  </si>
  <si>
    <t>Building Work:
Earthcert Building Approvals
Number: 170192</t>
  </si>
  <si>
    <t>Jason Roy Woodman</t>
  </si>
  <si>
    <t>19 Quirinal Street
SEVEN HILLS QLD 4170</t>
  </si>
  <si>
    <t>Lot 75 SP 103439</t>
  </si>
  <si>
    <t>Detached House = 1 Dwelling House + 1 x Secondary Dwelling</t>
  </si>
  <si>
    <t>MCU17/0551</t>
  </si>
  <si>
    <r>
      <rPr>
        <b/>
        <sz val="10"/>
        <color rgb="FF0000FF"/>
        <rFont val="Arial"/>
        <family val="2"/>
      </rPr>
      <t xml:space="preserve">N </t>
    </r>
    <r>
      <rPr>
        <b/>
        <sz val="10"/>
        <rFont val="Arial"/>
        <family val="2"/>
      </rPr>
      <t>1409</t>
    </r>
    <r>
      <rPr>
        <sz val="11"/>
        <color theme="1"/>
        <rFont val="Calibri"/>
        <family val="2"/>
        <scheme val="minor"/>
      </rPr>
      <t/>
    </r>
  </si>
  <si>
    <r>
      <rPr>
        <b/>
        <sz val="10"/>
        <color rgb="FF0000FF"/>
        <rFont val="Arial"/>
        <family val="2"/>
      </rPr>
      <t xml:space="preserve">N </t>
    </r>
    <r>
      <rPr>
        <b/>
        <sz val="10"/>
        <rFont val="Arial"/>
        <family val="2"/>
      </rPr>
      <t>1410</t>
    </r>
    <r>
      <rPr>
        <sz val="11"/>
        <color theme="1"/>
        <rFont val="Calibri"/>
        <family val="2"/>
        <scheme val="minor"/>
      </rPr>
      <t/>
    </r>
  </si>
  <si>
    <r>
      <rPr>
        <b/>
        <sz val="10"/>
        <color rgb="FF0000FF"/>
        <rFont val="Arial"/>
        <family val="2"/>
      </rPr>
      <t xml:space="preserve">N </t>
    </r>
    <r>
      <rPr>
        <b/>
        <sz val="10"/>
        <rFont val="Arial"/>
        <family val="2"/>
      </rPr>
      <t>1412</t>
    </r>
    <r>
      <rPr>
        <sz val="11"/>
        <color theme="1"/>
        <rFont val="Calibri"/>
        <family val="2"/>
        <scheme val="minor"/>
      </rPr>
      <t/>
    </r>
  </si>
  <si>
    <r>
      <rPr>
        <b/>
        <sz val="10"/>
        <color rgb="FF0000FF"/>
        <rFont val="Arial"/>
        <family val="2"/>
      </rPr>
      <t xml:space="preserve">N </t>
    </r>
    <r>
      <rPr>
        <b/>
        <sz val="10"/>
        <rFont val="Arial"/>
        <family val="2"/>
      </rPr>
      <t>1415</t>
    </r>
    <r>
      <rPr>
        <sz val="11"/>
        <color theme="1"/>
        <rFont val="Calibri"/>
        <family val="2"/>
        <scheme val="minor"/>
      </rPr>
      <t/>
    </r>
  </si>
  <si>
    <r>
      <rPr>
        <b/>
        <sz val="10"/>
        <color rgb="FF0000FF"/>
        <rFont val="Arial"/>
        <family val="2"/>
      </rPr>
      <t xml:space="preserve">N </t>
    </r>
    <r>
      <rPr>
        <b/>
        <sz val="10"/>
        <rFont val="Arial"/>
        <family val="2"/>
      </rPr>
      <t>1417</t>
    </r>
    <r>
      <rPr>
        <sz val="11"/>
        <color theme="1"/>
        <rFont val="Calibri"/>
        <family val="2"/>
        <scheme val="minor"/>
      </rPr>
      <t/>
    </r>
  </si>
  <si>
    <r>
      <rPr>
        <b/>
        <sz val="10"/>
        <color rgb="FF0000FF"/>
        <rFont val="Arial"/>
        <family val="2"/>
      </rPr>
      <t xml:space="preserve">N </t>
    </r>
    <r>
      <rPr>
        <b/>
        <sz val="10"/>
        <rFont val="Arial"/>
        <family val="2"/>
      </rPr>
      <t>1426</t>
    </r>
    <r>
      <rPr>
        <sz val="11"/>
        <color theme="1"/>
        <rFont val="Calibri"/>
        <family val="2"/>
        <scheme val="minor"/>
      </rPr>
      <t/>
    </r>
  </si>
  <si>
    <r>
      <rPr>
        <b/>
        <sz val="10"/>
        <color rgb="FF0000FF"/>
        <rFont val="Arial"/>
        <family val="2"/>
      </rPr>
      <t xml:space="preserve">N </t>
    </r>
    <r>
      <rPr>
        <b/>
        <sz val="10"/>
        <rFont val="Arial"/>
        <family val="2"/>
      </rPr>
      <t>1427</t>
    </r>
    <r>
      <rPr>
        <sz val="11"/>
        <color theme="1"/>
        <rFont val="Calibri"/>
        <family val="2"/>
        <scheme val="minor"/>
      </rPr>
      <t/>
    </r>
  </si>
  <si>
    <r>
      <rPr>
        <b/>
        <sz val="10"/>
        <color rgb="FF0000FF"/>
        <rFont val="Arial"/>
        <family val="2"/>
      </rPr>
      <t xml:space="preserve">N </t>
    </r>
    <r>
      <rPr>
        <b/>
        <sz val="10"/>
        <rFont val="Arial"/>
        <family val="2"/>
      </rPr>
      <t>1428</t>
    </r>
    <r>
      <rPr>
        <sz val="11"/>
        <color theme="1"/>
        <rFont val="Calibri"/>
        <family val="2"/>
        <scheme val="minor"/>
      </rPr>
      <t/>
    </r>
  </si>
  <si>
    <r>
      <rPr>
        <b/>
        <sz val="10"/>
        <color rgb="FF0000FF"/>
        <rFont val="Arial"/>
        <family val="2"/>
      </rPr>
      <t xml:space="preserve">N </t>
    </r>
    <r>
      <rPr>
        <b/>
        <sz val="10"/>
        <rFont val="Arial"/>
        <family val="2"/>
      </rPr>
      <t>1431</t>
    </r>
    <r>
      <rPr>
        <sz val="11"/>
        <color theme="1"/>
        <rFont val="Calibri"/>
        <family val="2"/>
        <scheme val="minor"/>
      </rPr>
      <t/>
    </r>
  </si>
  <si>
    <r>
      <rPr>
        <b/>
        <sz val="10"/>
        <color rgb="FF0000FF"/>
        <rFont val="Arial"/>
        <family val="2"/>
      </rPr>
      <t xml:space="preserve">N </t>
    </r>
    <r>
      <rPr>
        <b/>
        <sz val="10"/>
        <rFont val="Arial"/>
        <family val="2"/>
      </rPr>
      <t>1433</t>
    </r>
    <r>
      <rPr>
        <sz val="11"/>
        <color theme="1"/>
        <rFont val="Calibri"/>
        <family val="2"/>
        <scheme val="minor"/>
      </rPr>
      <t/>
    </r>
  </si>
  <si>
    <r>
      <rPr>
        <b/>
        <sz val="10"/>
        <color rgb="FF0000FF"/>
        <rFont val="Arial"/>
        <family val="2"/>
      </rPr>
      <t xml:space="preserve">N </t>
    </r>
    <r>
      <rPr>
        <b/>
        <sz val="10"/>
        <rFont val="Arial"/>
        <family val="2"/>
      </rPr>
      <t>1434</t>
    </r>
    <r>
      <rPr>
        <sz val="11"/>
        <color theme="1"/>
        <rFont val="Calibri"/>
        <family val="2"/>
        <scheme val="minor"/>
      </rPr>
      <t/>
    </r>
  </si>
  <si>
    <r>
      <rPr>
        <b/>
        <sz val="10"/>
        <color rgb="FF0000FF"/>
        <rFont val="Arial"/>
        <family val="2"/>
      </rPr>
      <t xml:space="preserve">N </t>
    </r>
    <r>
      <rPr>
        <b/>
        <sz val="10"/>
        <rFont val="Arial"/>
        <family val="2"/>
      </rPr>
      <t>1439</t>
    </r>
    <r>
      <rPr>
        <sz val="11"/>
        <color theme="1"/>
        <rFont val="Calibri"/>
        <family val="2"/>
        <scheme val="minor"/>
      </rPr>
      <t/>
    </r>
  </si>
  <si>
    <r>
      <rPr>
        <b/>
        <sz val="10"/>
        <color rgb="FF0000FF"/>
        <rFont val="Arial"/>
        <family val="2"/>
      </rPr>
      <t xml:space="preserve">N </t>
    </r>
    <r>
      <rPr>
        <b/>
        <sz val="10"/>
        <rFont val="Arial"/>
        <family val="2"/>
      </rPr>
      <t>1444</t>
    </r>
    <r>
      <rPr>
        <sz val="11"/>
        <color theme="1"/>
        <rFont val="Calibri"/>
        <family val="2"/>
        <scheme val="minor"/>
      </rPr>
      <t/>
    </r>
  </si>
  <si>
    <r>
      <rPr>
        <b/>
        <sz val="10"/>
        <color rgb="FF0000FF"/>
        <rFont val="Arial"/>
        <family val="2"/>
      </rPr>
      <t xml:space="preserve">N </t>
    </r>
    <r>
      <rPr>
        <b/>
        <sz val="10"/>
        <rFont val="Arial"/>
        <family val="2"/>
      </rPr>
      <t>1445</t>
    </r>
    <r>
      <rPr>
        <sz val="11"/>
        <color theme="1"/>
        <rFont val="Calibri"/>
        <family val="2"/>
        <scheme val="minor"/>
      </rPr>
      <t/>
    </r>
  </si>
  <si>
    <r>
      <rPr>
        <b/>
        <sz val="10"/>
        <color rgb="FF0000FF"/>
        <rFont val="Arial"/>
        <family val="2"/>
      </rPr>
      <t xml:space="preserve">N </t>
    </r>
    <r>
      <rPr>
        <b/>
        <sz val="10"/>
        <rFont val="Arial"/>
        <family val="2"/>
      </rPr>
      <t>1446</t>
    </r>
    <r>
      <rPr>
        <sz val="11"/>
        <color theme="1"/>
        <rFont val="Calibri"/>
        <family val="2"/>
        <scheme val="minor"/>
      </rPr>
      <t/>
    </r>
  </si>
  <si>
    <r>
      <rPr>
        <b/>
        <sz val="10"/>
        <color rgb="FF0000FF"/>
        <rFont val="Arial"/>
        <family val="2"/>
      </rPr>
      <t xml:space="preserve">N </t>
    </r>
    <r>
      <rPr>
        <b/>
        <sz val="10"/>
        <rFont val="Arial"/>
        <family val="2"/>
      </rPr>
      <t>1453</t>
    </r>
    <r>
      <rPr>
        <sz val="11"/>
        <color theme="1"/>
        <rFont val="Calibri"/>
        <family val="2"/>
        <scheme val="minor"/>
      </rPr>
      <t/>
    </r>
  </si>
  <si>
    <r>
      <rPr>
        <b/>
        <sz val="10"/>
        <color rgb="FF0000FF"/>
        <rFont val="Arial"/>
        <family val="2"/>
      </rPr>
      <t xml:space="preserve">N </t>
    </r>
    <r>
      <rPr>
        <b/>
        <sz val="10"/>
        <rFont val="Arial"/>
        <family val="2"/>
      </rPr>
      <t>1454</t>
    </r>
    <r>
      <rPr>
        <sz val="11"/>
        <color theme="1"/>
        <rFont val="Calibri"/>
        <family val="2"/>
        <scheme val="minor"/>
      </rPr>
      <t/>
    </r>
  </si>
  <si>
    <r>
      <rPr>
        <b/>
        <sz val="10"/>
        <color rgb="FF0000FF"/>
        <rFont val="Arial"/>
        <family val="2"/>
      </rPr>
      <t xml:space="preserve">N </t>
    </r>
    <r>
      <rPr>
        <b/>
        <sz val="10"/>
        <rFont val="Arial"/>
        <family val="2"/>
      </rPr>
      <t>1455</t>
    </r>
    <r>
      <rPr>
        <sz val="11"/>
        <color theme="1"/>
        <rFont val="Calibri"/>
        <family val="2"/>
        <scheme val="minor"/>
      </rPr>
      <t/>
    </r>
  </si>
  <si>
    <r>
      <rPr>
        <b/>
        <sz val="10"/>
        <color rgb="FF0000FF"/>
        <rFont val="Arial"/>
        <family val="2"/>
      </rPr>
      <t xml:space="preserve">N </t>
    </r>
    <r>
      <rPr>
        <b/>
        <sz val="10"/>
        <rFont val="Arial"/>
        <family val="2"/>
      </rPr>
      <t>1459</t>
    </r>
    <r>
      <rPr>
        <sz val="11"/>
        <color theme="1"/>
        <rFont val="Calibri"/>
        <family val="2"/>
        <scheme val="minor"/>
      </rPr>
      <t/>
    </r>
  </si>
  <si>
    <r>
      <rPr>
        <b/>
        <sz val="10"/>
        <color rgb="FF0000FF"/>
        <rFont val="Arial"/>
        <family val="2"/>
      </rPr>
      <t xml:space="preserve">N </t>
    </r>
    <r>
      <rPr>
        <b/>
        <sz val="10"/>
        <rFont val="Arial"/>
        <family val="2"/>
      </rPr>
      <t>1463</t>
    </r>
    <r>
      <rPr>
        <sz val="11"/>
        <color theme="1"/>
        <rFont val="Calibri"/>
        <family val="2"/>
        <scheme val="minor"/>
      </rPr>
      <t/>
    </r>
  </si>
  <si>
    <r>
      <rPr>
        <b/>
        <sz val="10"/>
        <color rgb="FF0000FF"/>
        <rFont val="Arial"/>
        <family val="2"/>
      </rPr>
      <t xml:space="preserve">N </t>
    </r>
    <r>
      <rPr>
        <b/>
        <sz val="10"/>
        <rFont val="Arial"/>
        <family val="2"/>
      </rPr>
      <t>1466</t>
    </r>
    <r>
      <rPr>
        <sz val="11"/>
        <color theme="1"/>
        <rFont val="Calibri"/>
        <family val="2"/>
        <scheme val="minor"/>
      </rPr>
      <t/>
    </r>
  </si>
  <si>
    <r>
      <rPr>
        <b/>
        <sz val="10"/>
        <color rgb="FF0000FF"/>
        <rFont val="Arial"/>
        <family val="2"/>
      </rPr>
      <t xml:space="preserve">N </t>
    </r>
    <r>
      <rPr>
        <b/>
        <sz val="10"/>
        <rFont val="Arial"/>
        <family val="2"/>
      </rPr>
      <t>1477</t>
    </r>
    <r>
      <rPr>
        <sz val="11"/>
        <color theme="1"/>
        <rFont val="Calibri"/>
        <family val="2"/>
        <scheme val="minor"/>
      </rPr>
      <t/>
    </r>
  </si>
  <si>
    <r>
      <rPr>
        <b/>
        <sz val="10"/>
        <color rgb="FF0000FF"/>
        <rFont val="Arial"/>
        <family val="2"/>
      </rPr>
      <t xml:space="preserve">N </t>
    </r>
    <r>
      <rPr>
        <b/>
        <sz val="10"/>
        <rFont val="Arial"/>
        <family val="2"/>
      </rPr>
      <t>1480</t>
    </r>
    <r>
      <rPr>
        <sz val="11"/>
        <color theme="1"/>
        <rFont val="Calibri"/>
        <family val="2"/>
        <scheme val="minor"/>
      </rPr>
      <t/>
    </r>
  </si>
  <si>
    <r>
      <rPr>
        <b/>
        <sz val="10"/>
        <color rgb="FF0000FF"/>
        <rFont val="Arial"/>
        <family val="2"/>
      </rPr>
      <t xml:space="preserve">N </t>
    </r>
    <r>
      <rPr>
        <b/>
        <sz val="10"/>
        <rFont val="Arial"/>
        <family val="2"/>
      </rPr>
      <t>1483</t>
    </r>
    <r>
      <rPr>
        <sz val="11"/>
        <color theme="1"/>
        <rFont val="Calibri"/>
        <family val="2"/>
        <scheme val="minor"/>
      </rPr>
      <t/>
    </r>
  </si>
  <si>
    <r>
      <rPr>
        <b/>
        <sz val="10"/>
        <color rgb="FF0000FF"/>
        <rFont val="Arial"/>
        <family val="2"/>
      </rPr>
      <t xml:space="preserve">N </t>
    </r>
    <r>
      <rPr>
        <b/>
        <sz val="10"/>
        <rFont val="Arial"/>
        <family val="2"/>
      </rPr>
      <t>1487</t>
    </r>
    <r>
      <rPr>
        <sz val="11"/>
        <color theme="1"/>
        <rFont val="Calibri"/>
        <family val="2"/>
        <scheme val="minor"/>
      </rPr>
      <t/>
    </r>
  </si>
  <si>
    <r>
      <rPr>
        <b/>
        <sz val="10"/>
        <color rgb="FF0000FF"/>
        <rFont val="Arial"/>
        <family val="2"/>
      </rPr>
      <t xml:space="preserve">N </t>
    </r>
    <r>
      <rPr>
        <b/>
        <sz val="10"/>
        <rFont val="Arial"/>
        <family val="2"/>
      </rPr>
      <t>1491</t>
    </r>
    <r>
      <rPr>
        <sz val="11"/>
        <color theme="1"/>
        <rFont val="Calibri"/>
        <family val="2"/>
        <scheme val="minor"/>
      </rPr>
      <t/>
    </r>
  </si>
  <si>
    <r>
      <rPr>
        <b/>
        <sz val="10"/>
        <color rgb="FF0000FF"/>
        <rFont val="Arial"/>
        <family val="2"/>
      </rPr>
      <t xml:space="preserve">N </t>
    </r>
    <r>
      <rPr>
        <b/>
        <sz val="10"/>
        <rFont val="Arial"/>
        <family val="2"/>
      </rPr>
      <t>1492</t>
    </r>
    <r>
      <rPr>
        <sz val="11"/>
        <color theme="1"/>
        <rFont val="Calibri"/>
        <family val="2"/>
        <scheme val="minor"/>
      </rPr>
      <t/>
    </r>
  </si>
  <si>
    <r>
      <rPr>
        <b/>
        <sz val="10"/>
        <color rgb="FF0000FF"/>
        <rFont val="Arial"/>
        <family val="2"/>
      </rPr>
      <t xml:space="preserve">N </t>
    </r>
    <r>
      <rPr>
        <b/>
        <sz val="10"/>
        <rFont val="Arial"/>
        <family val="2"/>
      </rPr>
      <t>1493</t>
    </r>
    <r>
      <rPr>
        <sz val="11"/>
        <color theme="1"/>
        <rFont val="Calibri"/>
        <family val="2"/>
        <scheme val="minor"/>
      </rPr>
      <t/>
    </r>
  </si>
  <si>
    <r>
      <rPr>
        <b/>
        <sz val="10"/>
        <color rgb="FF0000FF"/>
        <rFont val="Arial"/>
        <family val="2"/>
      </rPr>
      <t xml:space="preserve">N </t>
    </r>
    <r>
      <rPr>
        <b/>
        <sz val="10"/>
        <rFont val="Arial"/>
        <family val="2"/>
      </rPr>
      <t>1495</t>
    </r>
    <r>
      <rPr>
        <sz val="11"/>
        <color theme="1"/>
        <rFont val="Calibri"/>
        <family val="2"/>
        <scheme val="minor"/>
      </rPr>
      <t/>
    </r>
  </si>
  <si>
    <t>Payment No. 039879</t>
  </si>
  <si>
    <t>MCU18/0004</t>
  </si>
  <si>
    <t>JA Williams</t>
  </si>
  <si>
    <t>PO Box 56
KIN KIN QLD 4571</t>
  </si>
  <si>
    <t>Lot 5 RP 809995</t>
  </si>
  <si>
    <t xml:space="preserve">Entertainement &amp; dining business Type 1 Food &amp; bev = 235 m2 gfa additional
+ 
Retail business Type 2 Shop = 13m2 gfa additional
+
235 m2 additional Impervious area </t>
  </si>
  <si>
    <t>A 4/7th reduction has been applied due to the Development Permit Condition 3 restricting operation of the additional use and area to 3 days per week.</t>
  </si>
  <si>
    <t>July 2018
Total =</t>
  </si>
  <si>
    <r>
      <rPr>
        <b/>
        <sz val="10"/>
        <color rgb="FF0000FF"/>
        <rFont val="Arial"/>
        <family val="2"/>
      </rPr>
      <t xml:space="preserve">N </t>
    </r>
    <r>
      <rPr>
        <b/>
        <sz val="10"/>
        <rFont val="Arial"/>
        <family val="2"/>
      </rPr>
      <t xml:space="preserve">1229
</t>
    </r>
    <r>
      <rPr>
        <b/>
        <sz val="10"/>
        <color rgb="FF0000FF"/>
        <rFont val="Arial"/>
        <family val="2"/>
      </rPr>
      <t xml:space="preserve">
IA#65
</t>
    </r>
    <r>
      <rPr>
        <b/>
        <sz val="10"/>
        <color rgb="FFFF0000"/>
        <rFont val="Arial"/>
        <family val="2"/>
      </rPr>
      <t>Stage Payments No.3
DUE 30 June 2018</t>
    </r>
  </si>
  <si>
    <t>PC18/0815</t>
  </si>
  <si>
    <t>Macan Homes Pty Ltd
T/As Tru-Built</t>
  </si>
  <si>
    <t>Building Work:
Noosa Building Approvals
Number: 20180213</t>
  </si>
  <si>
    <t>PO Box 1244
BUDERIM QLD 4556</t>
  </si>
  <si>
    <t>RAL18/0006</t>
  </si>
  <si>
    <t>Lot Reconfiguration</t>
  </si>
  <si>
    <t>JK &amp; DC Fraser</t>
  </si>
  <si>
    <t>Lot 3 CP 56016</t>
  </si>
  <si>
    <t>Reconfiguring a Lot - 1 into 4 residential lots</t>
  </si>
  <si>
    <t>Planning Reg 2018-19</t>
  </si>
  <si>
    <t>PC18/0850</t>
  </si>
  <si>
    <t>Building Work:
Noosa Building Approvals
Number: 20180110</t>
  </si>
  <si>
    <t>Warragul Smok United Builders</t>
  </si>
  <si>
    <t>11 Jacaranda Place 
TEWANTIN QLD 4565</t>
  </si>
  <si>
    <t>Lot 20 RP 889597</t>
  </si>
  <si>
    <t>C/- Adamson Town Planning Pty Ltd
PO Box 78
PEREGIAN BEACH QLD 4573</t>
  </si>
  <si>
    <t>115 Eumundi Noosa Road NOOSAVILLE QLD 4566</t>
  </si>
  <si>
    <t>Lot 1 SP 228052</t>
  </si>
  <si>
    <t>MCU18/0078</t>
  </si>
  <si>
    <t>CJ Threadgold</t>
  </si>
  <si>
    <t>Lot 2 RP 87781</t>
  </si>
  <si>
    <t>165 Gympie Terrace NOOSAVILLE QLD 4566</t>
  </si>
  <si>
    <t xml:space="preserve"> Vacant - 1 x detached house lot</t>
  </si>
  <si>
    <t>Lutheran Church of Australia Queensland District</t>
  </si>
  <si>
    <t>Building Work: Building Approvals United QLD
Number: 20181613</t>
  </si>
  <si>
    <t xml:space="preserve">Oly Homes
</t>
  </si>
  <si>
    <t>Lot 38 RP 228902</t>
  </si>
  <si>
    <t>4 Gumdale Court
NOOSAVILLE QLD 4566</t>
  </si>
  <si>
    <t>132007.1841.9 
(Change to Existing Approval)</t>
  </si>
  <si>
    <t>Will not Lapse</t>
  </si>
  <si>
    <r>
      <rPr>
        <b/>
        <sz val="10"/>
        <color rgb="FF0000FF"/>
        <rFont val="Arial"/>
        <family val="2"/>
      </rPr>
      <t xml:space="preserve">N </t>
    </r>
    <r>
      <rPr>
        <b/>
        <sz val="10"/>
        <rFont val="Arial"/>
        <family val="2"/>
      </rPr>
      <t xml:space="preserve">1362
+
</t>
    </r>
    <r>
      <rPr>
        <b/>
        <sz val="10"/>
        <color rgb="FF0000FF"/>
        <rFont val="Arial"/>
        <family val="2"/>
      </rPr>
      <t xml:space="preserve">IC 981 (Rev 1) &amp; 
PSP Contributions </t>
    </r>
  </si>
  <si>
    <t>Lot 5 SP 230643</t>
  </si>
  <si>
    <t>Industrial Business Type 1 or 2 = 
579 m2 gfa
+
2052 m2 impervious area</t>
  </si>
  <si>
    <t xml:space="preserve">• limited so the total of all infrastructure charges and contributions do not exceed the current maximum permissible charge under the current regulation. </t>
  </si>
  <si>
    <t xml:space="preserve">Change to existing approval &amp; 
• relates only to the Public Transport and Stormwater networks previously not included in the original approval; 
• is in addition to the Infrastructure Charge Notice 981 (Coastal Major Road Network) and Condition 76 contributions issued under the original development permit (as amended);
</t>
  </si>
  <si>
    <r>
      <rPr>
        <strike/>
        <sz val="8"/>
        <rFont val="Arial"/>
        <family val="2"/>
      </rPr>
      <t xml:space="preserve">c/ Ken Hicks &amp; Associates
PO Box 6380
MAROOCHYDORE </t>
    </r>
    <r>
      <rPr>
        <sz val="8"/>
        <rFont val="Arial"/>
        <family val="2"/>
      </rPr>
      <t xml:space="preserve"> </t>
    </r>
    <r>
      <rPr>
        <sz val="8"/>
        <color rgb="FF0000FF"/>
        <rFont val="Arial"/>
        <family val="2"/>
      </rPr>
      <t>QLD  4558
6 Lorraine Ave, Marcoola QLD 4564</t>
    </r>
  </si>
  <si>
    <r>
      <t xml:space="preserve">Building E on Lot 5  
</t>
    </r>
    <r>
      <rPr>
        <strike/>
        <sz val="8"/>
        <rFont val="Arial"/>
        <family val="2"/>
      </rPr>
      <t>1,184 m2 ua</t>
    </r>
    <r>
      <rPr>
        <sz val="8"/>
        <rFont val="Arial"/>
        <family val="2"/>
      </rPr>
      <t xml:space="preserve">
</t>
    </r>
    <r>
      <rPr>
        <sz val="8"/>
        <color rgb="FF0000FF"/>
        <rFont val="Arial"/>
        <family val="2"/>
      </rPr>
      <t>579 m2 gfa</t>
    </r>
  </si>
  <si>
    <r>
      <rPr>
        <strike/>
        <sz val="8"/>
        <rFont val="Arial"/>
        <family val="2"/>
      </rPr>
      <t>$2,685</t>
    </r>
    <r>
      <rPr>
        <sz val="8"/>
        <rFont val="Arial"/>
        <family val="2"/>
      </rPr>
      <t xml:space="preserve"> Sep-10
</t>
    </r>
    <r>
      <rPr>
        <sz val="8"/>
        <color rgb="FF0000FF"/>
        <rFont val="Arial"/>
        <family val="2"/>
      </rPr>
      <t xml:space="preserve">
$270.00 Part Paid Pathways 29/05/2018 
Receipt 1206840 </t>
    </r>
  </si>
  <si>
    <r>
      <rPr>
        <b/>
        <strike/>
        <sz val="8"/>
        <rFont val="Arial"/>
        <family val="2"/>
      </rPr>
      <t xml:space="preserve">$44,928 </t>
    </r>
    <r>
      <rPr>
        <b/>
        <sz val="8"/>
        <rFont val="Arial"/>
        <family val="2"/>
      </rPr>
      <t>Sep-10</t>
    </r>
  </si>
  <si>
    <r>
      <rPr>
        <strike/>
        <sz val="8"/>
        <rFont val="Arial"/>
        <family val="2"/>
      </rPr>
      <t xml:space="preserve">$3,039 </t>
    </r>
    <r>
      <rPr>
        <sz val="8"/>
        <rFont val="Arial"/>
        <family val="2"/>
      </rPr>
      <t>Sep-10</t>
    </r>
  </si>
  <si>
    <r>
      <rPr>
        <strike/>
        <sz val="8"/>
        <rFont val="Arial"/>
        <family val="2"/>
      </rPr>
      <t>4/02/2011</t>
    </r>
    <r>
      <rPr>
        <sz val="8"/>
        <rFont val="Arial"/>
        <family val="2"/>
      </rPr>
      <t xml:space="preserve">
</t>
    </r>
    <r>
      <rPr>
        <strike/>
        <sz val="8"/>
        <color rgb="FF0000FF"/>
        <rFont val="Arial"/>
        <family val="2"/>
      </rPr>
      <t>23/03/2012</t>
    </r>
    <r>
      <rPr>
        <sz val="8"/>
        <color rgb="FF0000FF"/>
        <rFont val="Arial"/>
        <family val="2"/>
      </rPr>
      <t xml:space="preserve">
23/07/2018</t>
    </r>
  </si>
  <si>
    <r>
      <t xml:space="preserve">07/1841 DA (Changes)
</t>
    </r>
    <r>
      <rPr>
        <strike/>
        <sz val="8"/>
        <color rgb="FF0000FF"/>
        <rFont val="Arial"/>
        <family val="2"/>
      </rPr>
      <t>132007.1841.03</t>
    </r>
    <r>
      <rPr>
        <sz val="8"/>
        <color rgb="FF0000FF"/>
        <rFont val="Arial"/>
        <family val="2"/>
      </rPr>
      <t xml:space="preserve">
132007.1841.9
(Change to Lot 5)</t>
    </r>
  </si>
  <si>
    <t>Angela Gamblin</t>
  </si>
  <si>
    <t>12 Columbia Drive
SUNRISE BEACH QLD 4567</t>
  </si>
  <si>
    <t>Lot 4 SP 294020</t>
  </si>
  <si>
    <t>4/40 Gateway Drive
NOOSAVILLE QLD 4566</t>
  </si>
  <si>
    <t>ADDITIONAL 1 x 1 bedroom Ancillary Dwelling Unit</t>
  </si>
  <si>
    <r>
      <rPr>
        <b/>
        <sz val="10"/>
        <color rgb="FF0000FF"/>
        <rFont val="Arial"/>
        <family val="2"/>
      </rPr>
      <t xml:space="preserve">N </t>
    </r>
    <r>
      <rPr>
        <b/>
        <sz val="10"/>
        <rFont val="Arial"/>
        <family val="2"/>
      </rPr>
      <t xml:space="preserve">1363
</t>
    </r>
    <r>
      <rPr>
        <b/>
        <sz val="10"/>
        <color rgb="FF0000FF"/>
        <rFont val="Arial"/>
        <family val="2"/>
      </rPr>
      <t>Amended</t>
    </r>
  </si>
  <si>
    <r>
      <t xml:space="preserve">Stormwater reduction due to ICN.N1202 payment of Stormwater impervious area.
i.e. this addition will not increase demand on the stormwater network compared to the existing development.
</t>
    </r>
    <r>
      <rPr>
        <b/>
        <sz val="10"/>
        <color rgb="FF0000FF"/>
        <rFont val="Arial"/>
        <family val="2"/>
      </rPr>
      <t>Rev 1</t>
    </r>
    <r>
      <rPr>
        <sz val="10"/>
        <color rgb="FF0000FF"/>
        <rFont val="Arial"/>
        <family val="2"/>
      </rPr>
      <t xml:space="preserve"> corrects a typo re Net Amount Payable</t>
    </r>
  </si>
  <si>
    <t>PC18/0642</t>
  </si>
  <si>
    <t>Building Work: Professional Certification Group
Number: 00053285</t>
  </si>
  <si>
    <t>Annie Aquilla</t>
  </si>
  <si>
    <t>16 Mill Street
POMONA QLD 4568</t>
  </si>
  <si>
    <t>Lot 27 RP 35081</t>
  </si>
  <si>
    <t>MCU17/0559</t>
  </si>
  <si>
    <t>Candida Investments Pty Ltd</t>
  </si>
  <si>
    <t>C/- Planning Initiatives 
PO Box 1774
NEW FARM QLD 4005</t>
  </si>
  <si>
    <t>16 Grant Street NOOSA HEADS QLD 4567</t>
  </si>
  <si>
    <t>Lot 87 RP 92518</t>
  </si>
  <si>
    <t>Planning Reg 2018-2019</t>
  </si>
  <si>
    <t>MCU18/0087</t>
  </si>
  <si>
    <t>13 George Pty Ltd</t>
  </si>
  <si>
    <t>Lot 10 RP 72243</t>
  </si>
  <si>
    <t>Multiple Housing Type 2  - duplex = 3 bedroom units x 2</t>
  </si>
  <si>
    <t>Credit for detached house lot</t>
  </si>
  <si>
    <t>Building Work: 
Sunshine Coast Building Approvals 
Number: 00001806</t>
  </si>
  <si>
    <t>PO Box 1324
BUDDINA QLD 4573</t>
  </si>
  <si>
    <t>Lot 33 RP 881379</t>
  </si>
  <si>
    <t>PC18/0968</t>
  </si>
  <si>
    <t>Building Work: 
Project B.A 
Number: 20170945</t>
  </si>
  <si>
    <t>Renee Taylor</t>
  </si>
  <si>
    <t>4/8A Properity Parade
WARRIEWOOD NSW 2102</t>
  </si>
  <si>
    <t>Lot 8 RP 147054</t>
  </si>
  <si>
    <t>Stratogen Accounting</t>
  </si>
  <si>
    <t>Lot 2 RP 802207</t>
  </si>
  <si>
    <t>CPI June 2018</t>
  </si>
  <si>
    <t>August 2018
Total =</t>
  </si>
  <si>
    <r>
      <rPr>
        <b/>
        <sz val="10"/>
        <color rgb="FF0000FF"/>
        <rFont val="Arial"/>
        <family val="2"/>
      </rPr>
      <t xml:space="preserve">N </t>
    </r>
    <r>
      <rPr>
        <b/>
        <sz val="10"/>
        <rFont val="Arial"/>
        <family val="2"/>
      </rPr>
      <t xml:space="preserve">1345
</t>
    </r>
    <r>
      <rPr>
        <b/>
        <sz val="10"/>
        <color rgb="FFFF0000"/>
        <rFont val="Arial"/>
        <family val="2"/>
      </rPr>
      <t xml:space="preserve">Use Commenced on Approval 
Stage Pmt 1 
DUE: 27 Aug </t>
    </r>
  </si>
  <si>
    <t>Staged Payment No 1</t>
  </si>
  <si>
    <t>Staged Payment No 2
With Property Owner</t>
  </si>
  <si>
    <t>Staged Payment No 3
With Property Owner</t>
  </si>
  <si>
    <t>Staged Payment No 4
With Property Owner</t>
  </si>
  <si>
    <t>OPW17/0557</t>
  </si>
  <si>
    <t>OPW</t>
  </si>
  <si>
    <t>Altum Properties No.4 Pty Ltd</t>
  </si>
  <si>
    <t>C/- Otto &amp; Partners
1 Eugarie St, NOOSA HEADS QLD 4567</t>
  </si>
  <si>
    <t>105 Resort Dr
NOOSA HEADS QLD 4567</t>
  </si>
  <si>
    <r>
      <t xml:space="preserve">Links Drive </t>
    </r>
    <r>
      <rPr>
        <sz val="8"/>
        <color rgb="FF0000FF"/>
        <rFont val="Arial"/>
        <family val="2"/>
      </rPr>
      <t>(now 105 Resort Dr)</t>
    </r>
    <r>
      <rPr>
        <sz val="8"/>
        <rFont val="Arial"/>
        <family val="2"/>
      </rPr>
      <t xml:space="preserve">
NOOSA HEADS QLD 4566 </t>
    </r>
  </si>
  <si>
    <t>IA 73 
Dated 23/08/2018
Settlement of Appeal 1302/2018</t>
  </si>
  <si>
    <t>N/A Settlement of  Appeal 1302/2018
re Enforcement Notice</t>
  </si>
  <si>
    <r>
      <t xml:space="preserve">Infrastructure Agreement
IA 73
</t>
    </r>
    <r>
      <rPr>
        <sz val="8"/>
        <color rgb="FF0000FF"/>
        <rFont val="Arial"/>
        <family val="2"/>
      </rPr>
      <t/>
    </r>
  </si>
  <si>
    <t>PAYMENT DUE
22 SEPT 2018</t>
  </si>
  <si>
    <t xml:space="preserve">Payment within 30 days dated of Deed
Compensation for destruction of vegetation
</t>
  </si>
  <si>
    <t>$44,160 Koala Offset paid 5-Dec-14  Receipt:1158656</t>
  </si>
  <si>
    <r>
      <rPr>
        <b/>
        <u/>
        <sz val="8"/>
        <color rgb="FF0000FF"/>
        <rFont val="Arial"/>
        <family val="2"/>
      </rPr>
      <t>PLUS</t>
    </r>
    <r>
      <rPr>
        <b/>
        <sz val="8"/>
        <color rgb="FF0000FF"/>
        <rFont val="Arial"/>
        <family val="2"/>
      </rPr>
      <t xml:space="preserve">
ICN.N 1147 
(MCU15/0109)
</t>
    </r>
    <r>
      <rPr>
        <i/>
        <sz val="8"/>
        <color rgb="FF0000FF"/>
        <rFont val="Arial"/>
        <family val="2"/>
      </rPr>
      <t xml:space="preserve">refer sheet 2) AICN (Issued)
</t>
    </r>
    <r>
      <rPr>
        <b/>
        <i/>
        <sz val="8"/>
        <color rgb="FFFF0000"/>
        <rFont val="Arial"/>
        <family val="2"/>
      </rPr>
      <t>PAYMENT DUE Prior to (OPW18/0206)</t>
    </r>
  </si>
  <si>
    <t>Council indexation error should have been 2018-19 = 1.024722 = $1,508 = $19 loss</t>
  </si>
  <si>
    <t>PC18/0994</t>
  </si>
  <si>
    <t>Building Work
Pure Building Approvals – Permit No: 20186917</t>
  </si>
  <si>
    <t>Karen Harman</t>
  </si>
  <si>
    <t xml:space="preserve">35 Lorilet St 
PEREGIAN BEACH QLD 4573
</t>
  </si>
  <si>
    <t>404 P 93147</t>
  </si>
  <si>
    <t>PC18/1057</t>
  </si>
  <si>
    <t>Building Work
Sunshine Coast Inspections Services Permit 180428</t>
  </si>
  <si>
    <t>525 MCH 5293</t>
  </si>
  <si>
    <t>5 Tecoma Close, PEREGIAN BEACH, QLD 4573</t>
  </si>
  <si>
    <t>CJ Cosgrove</t>
  </si>
  <si>
    <t xml:space="preserve">Building Work:
</t>
  </si>
  <si>
    <t>PC18/0766</t>
  </si>
  <si>
    <t>Building Work
LA &amp; MM Hancock Building Pty Ltd 
Permit BA.1800518</t>
  </si>
  <si>
    <t>LA &amp; MM Hancock Builder Pty Ltd</t>
  </si>
  <si>
    <t>PO Box 18425
CLIFFORD GARDENS QLD 4350</t>
  </si>
  <si>
    <t>Lot 219 RP 48111</t>
  </si>
  <si>
    <t>MCU18/0116</t>
  </si>
  <si>
    <t>CA Dow</t>
  </si>
  <si>
    <t>C/- Adapt Planning
PO Box 7618
SIPPY DOWNS QLD 4556</t>
  </si>
  <si>
    <t>Lot 150 RP135364</t>
  </si>
  <si>
    <t>MCU18/0067</t>
  </si>
  <si>
    <t>Mr DR Henry</t>
  </si>
  <si>
    <t>C/- NB Urban Places Town Planning
PO Box 626
NOOSA HEADS QLD 4567</t>
  </si>
  <si>
    <t>Lot 241 P 93114</t>
  </si>
  <si>
    <t>Review of verbal Representations and subsequent amendment removing kitchenette from Approved Building plans. 
CANCELLATION of ICN on the grounds that the  lower floor is not for self contained or independent accomodation use separately from the upper floor</t>
  </si>
  <si>
    <r>
      <t xml:space="preserve">2. Credit for lawful existing development = 
</t>
    </r>
    <r>
      <rPr>
        <sz val="10"/>
        <color rgb="FF0000FF"/>
        <rFont val="Arial"/>
        <family val="2"/>
      </rPr>
      <t>a.  Education Type 2 - School (Hall)  =</t>
    </r>
    <r>
      <rPr>
        <sz val="10"/>
        <rFont val="Arial"/>
        <family val="2"/>
      </rPr>
      <t xml:space="preserve"> (63 + 420 + 77) = 560 m2 gfa
b. plus existing impervious area = 1,230 m2 (estimated from NearMaps)</t>
    </r>
  </si>
  <si>
    <t>Negotiations agreed 5 September 2018</t>
  </si>
  <si>
    <t>MCU18/0123</t>
  </si>
  <si>
    <t>C/- Building Approvals United
PO Box 654
BUDDINA QLD 4575</t>
  </si>
  <si>
    <t>166 Kinmond Creek Rd COOTHARABA QLD 4565</t>
  </si>
  <si>
    <t>Lot 9 RP 222722</t>
  </si>
  <si>
    <t xml:space="preserve">1 x Secondary dwelling </t>
  </si>
  <si>
    <t>N/A - Additional development to existing</t>
  </si>
  <si>
    <t>September 2018
Total =</t>
  </si>
  <si>
    <t>September 2018 Total =</t>
  </si>
  <si>
    <r>
      <rPr>
        <b/>
        <sz val="10"/>
        <color rgb="FF0000FF"/>
        <rFont val="Arial"/>
        <family val="2"/>
      </rPr>
      <t xml:space="preserve">N </t>
    </r>
    <r>
      <rPr>
        <b/>
        <sz val="10"/>
        <rFont val="Arial"/>
        <family val="2"/>
      </rPr>
      <t xml:space="preserve">1198
</t>
    </r>
    <r>
      <rPr>
        <sz val="10"/>
        <color rgb="FFFF0000"/>
        <rFont val="Arial"/>
        <family val="2"/>
      </rPr>
      <t xml:space="preserve">Michael C inspected </t>
    </r>
    <r>
      <rPr>
        <b/>
        <sz val="10"/>
        <color rgb="FFFF0000"/>
        <rFont val="Arial"/>
        <family val="2"/>
      </rPr>
      <t>MCU16/0122</t>
    </r>
    <r>
      <rPr>
        <sz val="10"/>
        <color rgb="FFFF0000"/>
        <rFont val="Arial"/>
        <family val="2"/>
      </rPr>
      <t xml:space="preserve"> on 13/06/18 &amp; completed
DUE 31 August</t>
    </r>
  </si>
  <si>
    <t>MCU18/0052</t>
  </si>
  <si>
    <t>Cooroy Rock Pty Ltd</t>
  </si>
  <si>
    <t>Lot 2 RP 840262</t>
  </si>
  <si>
    <t>Multiple Housing Type 4  = 3 bedroom units x 5</t>
  </si>
  <si>
    <t xml:space="preserve">51991.652.02 </t>
  </si>
  <si>
    <t>Crane Investments Noosa Pty Ltd</t>
  </si>
  <si>
    <t>Lot 30 BUP 12150</t>
  </si>
  <si>
    <t>Hotel Laguna 180/6 Hastings St Noosa Heads Qld 4567</t>
  </si>
  <si>
    <t xml:space="preserve">• New development = Entertainment and Dining Business Type 1 - Food and Beverages = 90m² gfa
+ Multiple housing type 4 = 1 x 1 bedroom unit 
+ additional impervious area only for area now covering the previous landscape tree area in centre = 6m2 </t>
  </si>
  <si>
    <t>• 75m² gfa of shop approval + 60m2 gfa roof top terrace use per original approval &amp; supported by BA 711/92
(Note previous approval equates to shop/café use having the same charge rates)</t>
  </si>
  <si>
    <r>
      <t xml:space="preserve">Note: </t>
    </r>
    <r>
      <rPr>
        <sz val="10"/>
        <color rgb="FFFF0000"/>
        <rFont val="Arial"/>
        <family val="2"/>
      </rPr>
      <t xml:space="preserve">-$2,932 </t>
    </r>
    <r>
      <rPr>
        <sz val="10"/>
        <color rgb="FF0000FF"/>
        <rFont val="Arial"/>
        <family val="2"/>
      </rPr>
      <t>Transport charge taken from $3,077 Parks charge for making payment.</t>
    </r>
  </si>
  <si>
    <t>MP Richardson &amp; MJ Richardson</t>
  </si>
  <si>
    <t>Lot 8 RP131369</t>
  </si>
  <si>
    <t>226 Black Mountain Road, Black Mountain QLD 4563</t>
  </si>
  <si>
    <r>
      <rPr>
        <b/>
        <sz val="10"/>
        <color rgb="FF0000FF"/>
        <rFont val="Arial"/>
        <family val="2"/>
      </rPr>
      <t xml:space="preserve">N </t>
    </r>
    <r>
      <rPr>
        <b/>
        <sz val="10"/>
        <rFont val="Arial"/>
        <family val="2"/>
      </rPr>
      <t xml:space="preserve">1295
</t>
    </r>
    <r>
      <rPr>
        <sz val="10"/>
        <color rgb="FFFF0000"/>
        <rFont val="Arial"/>
        <family val="2"/>
      </rPr>
      <t>Plan Seal now lodged</t>
    </r>
    <r>
      <rPr>
        <sz val="10"/>
        <rFont val="Arial"/>
        <family val="2"/>
      </rPr>
      <t xml:space="preserve">
</t>
    </r>
    <r>
      <rPr>
        <sz val="10"/>
        <color rgb="FF0000FF"/>
        <rFont val="Arial"/>
        <family val="2"/>
      </rPr>
      <t xml:space="preserve">PC17/1481 completed
</t>
    </r>
    <r>
      <rPr>
        <sz val="10"/>
        <color rgb="FFFF0000"/>
        <rFont val="Arial"/>
        <family val="2"/>
      </rPr>
      <t>PAYMENT DUE: 
12 OCT 2018</t>
    </r>
  </si>
  <si>
    <t>PC18/1042</t>
  </si>
  <si>
    <t>Permit: 00002291</t>
  </si>
  <si>
    <t>ABODA Design Group</t>
  </si>
  <si>
    <t>PO Box 2449
NOOSA HEADS QLD 4567</t>
  </si>
  <si>
    <t>Lot 6 RP 111853</t>
  </si>
  <si>
    <t>173 Lake Weyba Drive
NOOSAVILLE QLD 4566</t>
  </si>
  <si>
    <t xml:space="preserve">Building Work: 
Suncoast Building Approvals
Permit: 00002291
</t>
  </si>
  <si>
    <t xml:space="preserve">Building Work: 
Pacific BCQ
Permit: 20180298
</t>
  </si>
  <si>
    <t>Add-It Constructions</t>
  </si>
  <si>
    <t>15 Cooroibah Crescent
TEWANTIN QLD 4565</t>
  </si>
  <si>
    <t>Lot 49 RP 863943</t>
  </si>
  <si>
    <t>56 Lake Entrance Boulevard NOOSVILLE QLD 4566</t>
  </si>
  <si>
    <t>SE Keating &amp; STJE Marsh</t>
  </si>
  <si>
    <t>Lot 26 M 37911</t>
  </si>
  <si>
    <t>340 Pomona Kin Kin Rd Pinbarren Qld 4568</t>
  </si>
  <si>
    <r>
      <rPr>
        <strike/>
        <sz val="10"/>
        <rFont val="Arial"/>
        <family val="2"/>
      </rPr>
      <t>14/06/2018</t>
    </r>
    <r>
      <rPr>
        <sz val="10"/>
        <rFont val="Arial"/>
        <family val="2"/>
      </rPr>
      <t xml:space="preserve">
</t>
    </r>
    <r>
      <rPr>
        <sz val="10"/>
        <color rgb="FF0000FF"/>
        <rFont val="Arial"/>
        <family val="2"/>
      </rPr>
      <t>24/09/2018</t>
    </r>
  </si>
  <si>
    <t>Amended to remove Stormwater component per Council Decision OM 20/09/2018</t>
  </si>
  <si>
    <r>
      <rPr>
        <b/>
        <strike/>
        <sz val="10"/>
        <color rgb="FFFF0000"/>
        <rFont val="Arial"/>
        <family val="2"/>
      </rPr>
      <t>CPI</t>
    </r>
    <r>
      <rPr>
        <b/>
        <sz val="10"/>
        <color rgb="FFFF0000"/>
        <rFont val="Arial"/>
        <family val="2"/>
      </rPr>
      <t xml:space="preserve">
</t>
    </r>
    <r>
      <rPr>
        <b/>
        <sz val="10"/>
        <color rgb="FF0000FF"/>
        <rFont val="Arial"/>
        <family val="2"/>
      </rPr>
      <t>OM 20/09/2018 = AICS</t>
    </r>
  </si>
  <si>
    <t>SPRP 2011</t>
  </si>
  <si>
    <t>SPRP 2012</t>
  </si>
  <si>
    <t>Planning Reg 2017-2018</t>
  </si>
  <si>
    <r>
      <rPr>
        <b/>
        <sz val="10"/>
        <color rgb="FF0000FF"/>
        <rFont val="Arial"/>
        <family val="2"/>
      </rPr>
      <t xml:space="preserve">N </t>
    </r>
    <r>
      <rPr>
        <b/>
        <sz val="10"/>
        <rFont val="Arial"/>
        <family val="2"/>
      </rPr>
      <t xml:space="preserve">1241
</t>
    </r>
    <r>
      <rPr>
        <b/>
        <sz val="10"/>
        <color rgb="FFFF0000"/>
        <rFont val="Arial"/>
        <family val="2"/>
      </rPr>
      <t>Inspection 18/09/2018 Completed
PAYMENT DUE
12 OCT 2018</t>
    </r>
    <r>
      <rPr>
        <b/>
        <sz val="10"/>
        <rFont val="Arial"/>
        <family val="2"/>
      </rPr>
      <t xml:space="preserve">
</t>
    </r>
    <r>
      <rPr>
        <sz val="10"/>
        <rFont val="Arial"/>
        <family val="2"/>
      </rPr>
      <t/>
    </r>
  </si>
  <si>
    <t>Paid on 
20/09/2018</t>
  </si>
  <si>
    <r>
      <rPr>
        <strike/>
        <sz val="10"/>
        <rFont val="Arial"/>
        <family val="2"/>
      </rPr>
      <t>5/09/2018</t>
    </r>
    <r>
      <rPr>
        <sz val="10"/>
        <rFont val="Arial"/>
        <family val="2"/>
      </rPr>
      <t xml:space="preserve">
</t>
    </r>
    <r>
      <rPr>
        <sz val="10"/>
        <color rgb="FF0000FF"/>
        <rFont val="Arial"/>
        <family val="2"/>
      </rPr>
      <t>25/09/2018</t>
    </r>
  </si>
  <si>
    <r>
      <rPr>
        <strike/>
        <sz val="10"/>
        <rFont val="Arial"/>
        <family val="2"/>
      </rPr>
      <t>17/07/2018</t>
    </r>
    <r>
      <rPr>
        <sz val="10"/>
        <rFont val="Arial"/>
        <family val="2"/>
      </rPr>
      <t xml:space="preserve">
</t>
    </r>
    <r>
      <rPr>
        <sz val="10"/>
        <color rgb="FF0000FF"/>
        <rFont val="Arial"/>
        <family val="2"/>
      </rPr>
      <t>25/09/2018</t>
    </r>
  </si>
  <si>
    <r>
      <rPr>
        <strike/>
        <sz val="10"/>
        <rFont val="Arial"/>
        <family val="2"/>
      </rPr>
      <t>9/07/2018</t>
    </r>
    <r>
      <rPr>
        <sz val="10"/>
        <rFont val="Arial"/>
        <family val="2"/>
      </rPr>
      <t xml:space="preserve">
</t>
    </r>
    <r>
      <rPr>
        <sz val="10"/>
        <color rgb="FF0000FF"/>
        <rFont val="Arial"/>
        <family val="2"/>
      </rPr>
      <t>25/09/2018</t>
    </r>
  </si>
  <si>
    <r>
      <rPr>
        <strike/>
        <sz val="10"/>
        <rFont val="Arial"/>
        <family val="2"/>
      </rPr>
      <t>26/06/2018</t>
    </r>
    <r>
      <rPr>
        <sz val="10"/>
        <rFont val="Arial"/>
        <family val="2"/>
      </rPr>
      <t xml:space="preserve">
</t>
    </r>
    <r>
      <rPr>
        <sz val="10"/>
        <color rgb="FF0000FF"/>
        <rFont val="Arial"/>
        <family val="2"/>
      </rPr>
      <t>25/09/2018</t>
    </r>
  </si>
  <si>
    <r>
      <rPr>
        <b/>
        <sz val="10"/>
        <color rgb="FF0000FF"/>
        <rFont val="Arial"/>
        <family val="2"/>
      </rPr>
      <t xml:space="preserve">N </t>
    </r>
    <r>
      <rPr>
        <b/>
        <sz val="10"/>
        <rFont val="Arial"/>
        <family val="2"/>
      </rPr>
      <t xml:space="preserve">1046
</t>
    </r>
    <r>
      <rPr>
        <sz val="10"/>
        <color rgb="FF0000FF"/>
        <rFont val="Arial"/>
        <family val="2"/>
      </rPr>
      <t>&amp; 
to include Park offset
per IA 50
15/03/2015</t>
    </r>
  </si>
  <si>
    <r>
      <rPr>
        <b/>
        <sz val="10"/>
        <color rgb="FF0000FF"/>
        <rFont val="Arial"/>
        <family val="2"/>
      </rPr>
      <t xml:space="preserve">N </t>
    </r>
    <r>
      <rPr>
        <b/>
        <sz val="10"/>
        <rFont val="Arial"/>
        <family val="2"/>
      </rPr>
      <t xml:space="preserve">1283
+
</t>
    </r>
    <r>
      <rPr>
        <sz val="10"/>
        <color rgb="FF0000FF"/>
        <rFont val="Arial"/>
        <family val="2"/>
      </rPr>
      <t>IA 67
Dated 7/12/2017</t>
    </r>
  </si>
  <si>
    <r>
      <rPr>
        <sz val="8"/>
        <color rgb="FF0000FF"/>
        <rFont val="Arial"/>
        <family val="2"/>
      </rPr>
      <t>IA 67
Council undertake Applicant's frontage works = Road widening &amp; construction works Hilton Tce &amp; Ernest St TEWANTIN = $146,492.10
Land Acquisition = $217,800.00</t>
    </r>
    <r>
      <rPr>
        <sz val="8"/>
        <rFont val="Arial"/>
        <family val="2"/>
      </rPr>
      <t xml:space="preserve">
</t>
    </r>
    <r>
      <rPr>
        <b/>
        <sz val="8"/>
        <color rgb="FFFF0000"/>
        <rFont val="Arial"/>
        <family val="2"/>
      </rPr>
      <t xml:space="preserve">Council Resulting compensation payment to Applicant on Settlement date = $71,307.90 </t>
    </r>
    <r>
      <rPr>
        <sz val="8"/>
        <rFont val="Arial"/>
        <family val="2"/>
      </rPr>
      <t xml:space="preserve">
</t>
    </r>
    <r>
      <rPr>
        <b/>
        <sz val="8"/>
        <color rgb="FFFF0000"/>
        <rFont val="Arial"/>
        <family val="2"/>
      </rPr>
      <t>Council to prepare &amp; pay for Plan of Survey</t>
    </r>
    <r>
      <rPr>
        <sz val="8"/>
        <rFont val="Arial"/>
        <family val="2"/>
      </rPr>
      <t xml:space="preserve">
</t>
    </r>
    <r>
      <rPr>
        <sz val="8"/>
        <color rgb="FF0000FF"/>
        <rFont val="Arial"/>
        <family val="2"/>
      </rPr>
      <t>Bank Guarantees = for Applicant payment of:
- Contigency costs for frontage works up to $17,106.79 
- Telstra Works $50,000.00</t>
    </r>
  </si>
  <si>
    <r>
      <rPr>
        <b/>
        <sz val="10"/>
        <color rgb="FF0000FF"/>
        <rFont val="Arial"/>
        <family val="2"/>
      </rPr>
      <t xml:space="preserve">N </t>
    </r>
    <r>
      <rPr>
        <b/>
        <sz val="10"/>
        <rFont val="Arial"/>
        <family val="2"/>
      </rPr>
      <t xml:space="preserve">1345
</t>
    </r>
    <r>
      <rPr>
        <b/>
        <sz val="10"/>
        <color rgb="FFFF0000"/>
        <rFont val="Arial"/>
        <family val="2"/>
      </rPr>
      <t>IA 72</t>
    </r>
    <r>
      <rPr>
        <b/>
        <sz val="10"/>
        <rFont val="Arial"/>
        <family val="2"/>
      </rPr>
      <t xml:space="preserve">
</t>
    </r>
    <r>
      <rPr>
        <b/>
        <sz val="10"/>
        <color rgb="FFFF0000"/>
        <rFont val="Arial"/>
        <family val="2"/>
      </rPr>
      <t>Stage Pmt 2 
DUE: 20 DEC 2018</t>
    </r>
  </si>
  <si>
    <r>
      <rPr>
        <b/>
        <sz val="10"/>
        <color rgb="FF0000FF"/>
        <rFont val="Arial"/>
        <family val="2"/>
      </rPr>
      <t xml:space="preserve">N </t>
    </r>
    <r>
      <rPr>
        <b/>
        <sz val="10"/>
        <rFont val="Arial"/>
        <family val="2"/>
      </rPr>
      <t xml:space="preserve">1245
</t>
    </r>
    <r>
      <rPr>
        <b/>
        <sz val="10"/>
        <color rgb="FFFF0000"/>
        <rFont val="Arial"/>
        <family val="2"/>
      </rPr>
      <t>IA 66 Stage Pmt 3 
Due 20 December 2018</t>
    </r>
  </si>
  <si>
    <r>
      <rPr>
        <b/>
        <sz val="10"/>
        <color rgb="FF0000FF"/>
        <rFont val="Arial"/>
        <family val="2"/>
      </rPr>
      <t xml:space="preserve">N </t>
    </r>
    <r>
      <rPr>
        <b/>
        <sz val="10"/>
        <rFont val="Arial"/>
        <family val="2"/>
      </rPr>
      <t xml:space="preserve">1229
</t>
    </r>
    <r>
      <rPr>
        <b/>
        <sz val="10"/>
        <color rgb="FF0000FF"/>
        <rFont val="Arial"/>
        <family val="2"/>
      </rPr>
      <t xml:space="preserve">
</t>
    </r>
    <r>
      <rPr>
        <b/>
        <sz val="10"/>
        <color rgb="FFFF0000"/>
        <rFont val="Arial"/>
        <family val="2"/>
      </rPr>
      <t>IA 65 Stage Pmt 5
DUE 30 June 2019</t>
    </r>
  </si>
  <si>
    <r>
      <rPr>
        <b/>
        <sz val="10"/>
        <color rgb="FF0000FF"/>
        <rFont val="Arial"/>
        <family val="2"/>
      </rPr>
      <t xml:space="preserve">N </t>
    </r>
    <r>
      <rPr>
        <b/>
        <sz val="10"/>
        <rFont val="Arial"/>
        <family val="2"/>
      </rPr>
      <t xml:space="preserve">1229
</t>
    </r>
    <r>
      <rPr>
        <b/>
        <sz val="10"/>
        <color rgb="FF0000FF"/>
        <rFont val="Arial"/>
        <family val="2"/>
      </rPr>
      <t xml:space="preserve">
</t>
    </r>
    <r>
      <rPr>
        <b/>
        <sz val="10"/>
        <color rgb="FFFF0000"/>
        <rFont val="Arial"/>
        <family val="2"/>
      </rPr>
      <t>IA 65 Stage Pmt 4
DUE 20 Dec 2018</t>
    </r>
  </si>
  <si>
    <r>
      <t xml:space="preserve">453
</t>
    </r>
    <r>
      <rPr>
        <b/>
        <sz val="10"/>
        <color rgb="FF0000FF"/>
        <rFont val="Arial"/>
        <family val="2"/>
      </rPr>
      <t xml:space="preserve">
</t>
    </r>
    <r>
      <rPr>
        <b/>
        <sz val="10"/>
        <color rgb="FFFF0000"/>
        <rFont val="Arial"/>
        <family val="2"/>
      </rPr>
      <t>IA 64 STAGE Pmt 4 
Due 20 DEC2018</t>
    </r>
  </si>
  <si>
    <r>
      <rPr>
        <b/>
        <sz val="10"/>
        <color rgb="FF0000FF"/>
        <rFont val="Arial"/>
        <family val="2"/>
      </rPr>
      <t xml:space="preserve">N </t>
    </r>
    <r>
      <rPr>
        <b/>
        <sz val="10"/>
        <rFont val="Arial"/>
        <family val="2"/>
      </rPr>
      <t xml:space="preserve">1090
</t>
    </r>
    <r>
      <rPr>
        <b/>
        <sz val="10"/>
        <color rgb="FF0000FF"/>
        <rFont val="Arial"/>
        <family val="2"/>
      </rPr>
      <t>STAGE CTS 100</t>
    </r>
    <r>
      <rPr>
        <b/>
        <sz val="10"/>
        <rFont val="Arial"/>
        <family val="2"/>
      </rPr>
      <t xml:space="preserve">
</t>
    </r>
    <r>
      <rPr>
        <sz val="10"/>
        <color rgb="FF0000FF"/>
        <rFont val="Arial"/>
        <family val="2"/>
      </rPr>
      <t xml:space="preserve">+
05/1133 Contributions &amp; IC 647 in PSP+ICP spreadsheet. </t>
    </r>
  </si>
  <si>
    <r>
      <rPr>
        <b/>
        <sz val="10"/>
        <color rgb="FF0000FF"/>
        <rFont val="Arial"/>
        <family val="2"/>
      </rPr>
      <t xml:space="preserve">N </t>
    </r>
    <r>
      <rPr>
        <b/>
        <sz val="10"/>
        <rFont val="Arial"/>
        <family val="2"/>
      </rPr>
      <t xml:space="preserve">1090
</t>
    </r>
    <r>
      <rPr>
        <b/>
        <sz val="10"/>
        <color rgb="FF0000FF"/>
        <rFont val="Arial"/>
        <family val="2"/>
      </rPr>
      <t>STAGE CTS 200</t>
    </r>
    <r>
      <rPr>
        <b/>
        <sz val="10"/>
        <rFont val="Arial"/>
        <family val="2"/>
      </rPr>
      <t xml:space="preserve">
</t>
    </r>
    <r>
      <rPr>
        <sz val="10"/>
        <color rgb="FF0000FF"/>
        <rFont val="Arial"/>
        <family val="2"/>
      </rPr>
      <t xml:space="preserve">+
05/1133 Contributions &amp; IC 647 in PSP+ICP spreadsheet. </t>
    </r>
  </si>
  <si>
    <r>
      <rPr>
        <b/>
        <sz val="10"/>
        <color rgb="FF0000FF"/>
        <rFont val="Arial"/>
        <family val="2"/>
      </rPr>
      <t xml:space="preserve">N </t>
    </r>
    <r>
      <rPr>
        <b/>
        <sz val="10"/>
        <rFont val="Arial"/>
        <family val="2"/>
      </rPr>
      <t xml:space="preserve">1090
</t>
    </r>
    <r>
      <rPr>
        <b/>
        <sz val="10"/>
        <color rgb="FF0000FF"/>
        <rFont val="Arial"/>
        <family val="2"/>
      </rPr>
      <t>STAGE CTS 300</t>
    </r>
    <r>
      <rPr>
        <b/>
        <sz val="10"/>
        <rFont val="Arial"/>
        <family val="2"/>
      </rPr>
      <t xml:space="preserve">
</t>
    </r>
    <r>
      <rPr>
        <sz val="10"/>
        <color rgb="FF0000FF"/>
        <rFont val="Arial"/>
        <family val="2"/>
      </rPr>
      <t xml:space="preserve">+
05/1133 Contributions &amp; IC 647 in PSP+ICP spreadsheet. </t>
    </r>
  </si>
  <si>
    <r>
      <rPr>
        <b/>
        <sz val="10"/>
        <color rgb="FF0000FF"/>
        <rFont val="Arial"/>
        <family val="2"/>
      </rPr>
      <t xml:space="preserve">N </t>
    </r>
    <r>
      <rPr>
        <b/>
        <sz val="10"/>
        <rFont val="Arial"/>
        <family val="2"/>
      </rPr>
      <t xml:space="preserve">1090
</t>
    </r>
    <r>
      <rPr>
        <b/>
        <sz val="10"/>
        <color rgb="FF0000FF"/>
        <rFont val="Arial"/>
        <family val="2"/>
      </rPr>
      <t xml:space="preserve">STAGE CTS 400
</t>
    </r>
    <r>
      <rPr>
        <b/>
        <i/>
        <sz val="10"/>
        <color rgb="FF0000FF"/>
        <rFont val="Arial"/>
        <family val="2"/>
      </rPr>
      <t>(Resort Facilities)</t>
    </r>
    <r>
      <rPr>
        <b/>
        <sz val="10"/>
        <rFont val="Arial"/>
        <family val="2"/>
      </rPr>
      <t xml:space="preserve">
</t>
    </r>
    <r>
      <rPr>
        <sz val="10"/>
        <color rgb="FF0000FF"/>
        <rFont val="Arial"/>
        <family val="2"/>
      </rPr>
      <t xml:space="preserve">+
05/1133 Contributions &amp; IC 647 in PSP+ICP spreadsheet. </t>
    </r>
  </si>
  <si>
    <r>
      <rPr>
        <b/>
        <sz val="10"/>
        <color rgb="FF0000FF"/>
        <rFont val="Arial"/>
        <family val="2"/>
      </rPr>
      <t xml:space="preserve">N </t>
    </r>
    <r>
      <rPr>
        <b/>
        <sz val="10"/>
        <rFont val="Arial"/>
        <family val="2"/>
      </rPr>
      <t xml:space="preserve">1090
</t>
    </r>
    <r>
      <rPr>
        <b/>
        <sz val="10"/>
        <color rgb="FF0000FF"/>
        <rFont val="Arial"/>
        <family val="2"/>
      </rPr>
      <t>STAGE CTS 500</t>
    </r>
    <r>
      <rPr>
        <b/>
        <sz val="10"/>
        <rFont val="Arial"/>
        <family val="2"/>
      </rPr>
      <t xml:space="preserve">
</t>
    </r>
    <r>
      <rPr>
        <sz val="10"/>
        <color rgb="FF0000FF"/>
        <rFont val="Arial"/>
        <family val="2"/>
      </rPr>
      <t xml:space="preserve">+
05/1133 Contributions &amp; IC 647 in PSP+ICP spreadsheet. </t>
    </r>
  </si>
  <si>
    <r>
      <rPr>
        <b/>
        <sz val="10"/>
        <color rgb="FF0000FF"/>
        <rFont val="Arial"/>
        <family val="2"/>
      </rPr>
      <t xml:space="preserve">N </t>
    </r>
    <r>
      <rPr>
        <b/>
        <sz val="10"/>
        <rFont val="Arial"/>
        <family val="2"/>
      </rPr>
      <t xml:space="preserve">1090
</t>
    </r>
    <r>
      <rPr>
        <b/>
        <sz val="10"/>
        <color rgb="FF0000FF"/>
        <rFont val="Arial"/>
        <family val="2"/>
      </rPr>
      <t>STAGE CTS 700</t>
    </r>
    <r>
      <rPr>
        <b/>
        <sz val="10"/>
        <rFont val="Arial"/>
        <family val="2"/>
      </rPr>
      <t xml:space="preserve">
</t>
    </r>
    <r>
      <rPr>
        <sz val="10"/>
        <color rgb="FF0000FF"/>
        <rFont val="Arial"/>
        <family val="2"/>
      </rPr>
      <t xml:space="preserve">+
05/1133 Contributions &amp; IC 647 in PSP+ICP spreadsheet. </t>
    </r>
  </si>
  <si>
    <r>
      <rPr>
        <b/>
        <sz val="10"/>
        <color rgb="FF0000FF"/>
        <rFont val="Arial"/>
        <family val="2"/>
      </rPr>
      <t xml:space="preserve">N </t>
    </r>
    <r>
      <rPr>
        <b/>
        <sz val="10"/>
        <rFont val="Arial"/>
        <family val="2"/>
      </rPr>
      <t xml:space="preserve">1090
</t>
    </r>
    <r>
      <rPr>
        <b/>
        <sz val="10"/>
        <color rgb="FF0000FF"/>
        <rFont val="Arial"/>
        <family val="2"/>
      </rPr>
      <t>STAGE CTS 800</t>
    </r>
    <r>
      <rPr>
        <b/>
        <sz val="10"/>
        <rFont val="Arial"/>
        <family val="2"/>
      </rPr>
      <t xml:space="preserve">
</t>
    </r>
    <r>
      <rPr>
        <sz val="10"/>
        <color rgb="FF0000FF"/>
        <rFont val="Arial"/>
        <family val="2"/>
      </rPr>
      <t xml:space="preserve">+
05/1133 Contributions &amp; IC 647 in PSP+ICP spreadsheet. </t>
    </r>
  </si>
  <si>
    <r>
      <rPr>
        <b/>
        <sz val="10"/>
        <color rgb="FF0000FF"/>
        <rFont val="Arial"/>
        <family val="2"/>
      </rPr>
      <t xml:space="preserve">N </t>
    </r>
    <r>
      <rPr>
        <b/>
        <sz val="10"/>
        <rFont val="Arial"/>
        <family val="2"/>
      </rPr>
      <t xml:space="preserve">1090
</t>
    </r>
    <r>
      <rPr>
        <b/>
        <sz val="10"/>
        <color rgb="FF0000FF"/>
        <rFont val="Arial"/>
        <family val="2"/>
      </rPr>
      <t>STAGE CTS 900</t>
    </r>
    <r>
      <rPr>
        <b/>
        <sz val="10"/>
        <rFont val="Arial"/>
        <family val="2"/>
      </rPr>
      <t xml:space="preserve">
</t>
    </r>
    <r>
      <rPr>
        <sz val="10"/>
        <color rgb="FF0000FF"/>
        <rFont val="Arial"/>
        <family val="2"/>
      </rPr>
      <t xml:space="preserve">+
05/1133 Contributions &amp; IC 647 in PSP+ICP spreadsheet. </t>
    </r>
  </si>
  <si>
    <r>
      <rPr>
        <b/>
        <sz val="10"/>
        <color rgb="FF0000FF"/>
        <rFont val="Arial"/>
        <family val="2"/>
      </rPr>
      <t xml:space="preserve">N </t>
    </r>
    <r>
      <rPr>
        <b/>
        <sz val="10"/>
        <rFont val="Arial"/>
        <family val="2"/>
      </rPr>
      <t xml:space="preserve">1147
</t>
    </r>
    <r>
      <rPr>
        <b/>
        <sz val="10"/>
        <color rgb="FF0000FF"/>
        <rFont val="Arial"/>
        <family val="2"/>
      </rPr>
      <t>(Stage CTS 200 Bal)</t>
    </r>
  </si>
  <si>
    <r>
      <rPr>
        <b/>
        <sz val="10"/>
        <color rgb="FF0000FF"/>
        <rFont val="Arial"/>
        <family val="2"/>
      </rPr>
      <t xml:space="preserve">N </t>
    </r>
    <r>
      <rPr>
        <b/>
        <sz val="10"/>
        <rFont val="Arial"/>
        <family val="2"/>
      </rPr>
      <t xml:space="preserve">1281
</t>
    </r>
  </si>
  <si>
    <r>
      <t xml:space="preserve">23657 DA
132003.221172
</t>
    </r>
    <r>
      <rPr>
        <sz val="10"/>
        <color rgb="FF0000FF"/>
        <rFont val="Arial"/>
        <family val="2"/>
      </rPr>
      <t>extn: 132003.221172.5
extn: 132003.221172.9</t>
    </r>
  </si>
  <si>
    <r>
      <rPr>
        <b/>
        <sz val="10"/>
        <color rgb="FF0000FF"/>
        <rFont val="Arial"/>
        <family val="2"/>
      </rPr>
      <t xml:space="preserve">N </t>
    </r>
    <r>
      <rPr>
        <b/>
        <sz val="10"/>
        <rFont val="Arial"/>
        <family val="2"/>
      </rPr>
      <t xml:space="preserve">1307
</t>
    </r>
    <r>
      <rPr>
        <sz val="10"/>
        <color rgb="FFFF0000"/>
        <rFont val="Arial"/>
        <family val="2"/>
      </rPr>
      <t xml:space="preserve">Completed per MC inspection 27/09/2018
</t>
    </r>
    <r>
      <rPr>
        <b/>
        <sz val="10"/>
        <color rgb="FFFF0000"/>
        <rFont val="Arial"/>
        <family val="2"/>
      </rPr>
      <t>PAYMENT DUE
26/10/2018</t>
    </r>
  </si>
  <si>
    <r>
      <rPr>
        <b/>
        <sz val="10"/>
        <color rgb="FF0000FF"/>
        <rFont val="Arial"/>
        <family val="2"/>
      </rPr>
      <t xml:space="preserve">N </t>
    </r>
    <r>
      <rPr>
        <b/>
        <sz val="10"/>
        <rFont val="Arial"/>
        <family val="2"/>
      </rPr>
      <t xml:space="preserve">1257
</t>
    </r>
    <r>
      <rPr>
        <b/>
        <sz val="10"/>
        <color rgb="FFFF0000"/>
        <rFont val="Arial"/>
        <family val="2"/>
      </rPr>
      <t>R</t>
    </r>
    <r>
      <rPr>
        <sz val="10"/>
        <color rgb="FFFF0000"/>
        <rFont val="Arial"/>
        <family val="2"/>
      </rPr>
      <t xml:space="preserve">equest for Plan Seal PS18/0052 </t>
    </r>
  </si>
  <si>
    <r>
      <rPr>
        <b/>
        <sz val="10"/>
        <color rgb="FF0000FF"/>
        <rFont val="Arial"/>
        <family val="2"/>
      </rPr>
      <t xml:space="preserve">N </t>
    </r>
    <r>
      <rPr>
        <b/>
        <sz val="10"/>
        <rFont val="Arial"/>
        <family val="2"/>
      </rPr>
      <t xml:space="preserve">1350
</t>
    </r>
    <r>
      <rPr>
        <sz val="10"/>
        <color rgb="FF0000FF"/>
        <rFont val="Arial"/>
        <family val="2"/>
      </rPr>
      <t xml:space="preserve">Amended
STORMWATER
per OM 20/09/2018
</t>
    </r>
    <r>
      <rPr>
        <sz val="10"/>
        <color rgb="FFFF0000"/>
        <rFont val="Arial"/>
        <family val="2"/>
      </rPr>
      <t>Use Commenced 29/08/2018
PAYMENT DUE 12 Oct</t>
    </r>
  </si>
  <si>
    <t xml:space="preserve">AF Buchanan </t>
  </si>
  <si>
    <t>87 Hayward Road 
LAKE MACDONALD QLD 4563</t>
  </si>
  <si>
    <r>
      <t xml:space="preserve">09/1026 (DA)
</t>
    </r>
    <r>
      <rPr>
        <sz val="8"/>
        <color rgb="FF0000FF"/>
        <rFont val="Arial"/>
        <family val="2"/>
      </rPr>
      <t>132009.1026</t>
    </r>
  </si>
  <si>
    <r>
      <rPr>
        <b/>
        <sz val="10"/>
        <color rgb="FF0000FF"/>
        <rFont val="Arial"/>
        <family val="2"/>
      </rPr>
      <t xml:space="preserve">N </t>
    </r>
    <r>
      <rPr>
        <b/>
        <sz val="10"/>
        <rFont val="Arial"/>
        <family val="2"/>
      </rPr>
      <t xml:space="preserve">1071
</t>
    </r>
    <r>
      <rPr>
        <sz val="10"/>
        <rFont val="Arial"/>
        <family val="2"/>
      </rPr>
      <t xml:space="preserve">+
</t>
    </r>
    <r>
      <rPr>
        <sz val="10"/>
        <color rgb="FF0000FF"/>
        <rFont val="Arial"/>
        <family val="2"/>
      </rPr>
      <t xml:space="preserve"> ICP &amp; PSPs in original approval 06/2361
</t>
    </r>
    <r>
      <rPr>
        <b/>
        <sz val="10"/>
        <color rgb="FFFF0000"/>
        <rFont val="Arial"/>
        <family val="2"/>
      </rPr>
      <t>REFUNDED 3/10/2018</t>
    </r>
  </si>
  <si>
    <t>REFUND OF PREVIOUS PAYMENT</t>
  </si>
  <si>
    <t>October 2018
Total =</t>
  </si>
  <si>
    <r>
      <t xml:space="preserve">AIC for Missing Stormwater Network
</t>
    </r>
    <r>
      <rPr>
        <sz val="10"/>
        <color rgb="FFFF0000"/>
        <rFont val="Arial"/>
        <family val="2"/>
      </rPr>
      <t xml:space="preserve">Indexation Applies as total amount remains below permissible SPRP maximum
</t>
    </r>
    <r>
      <rPr>
        <b/>
        <sz val="10"/>
        <color rgb="FFFF0000"/>
        <rFont val="Arial"/>
        <family val="2"/>
      </rPr>
      <t>Originally Paid 6/12/2017 Rec: 1201086
REFUNDED 3/10/2018: Cheque: 042577 on Cancellation of OPW17/0195</t>
    </r>
  </si>
  <si>
    <t>October 2018 Total =</t>
  </si>
  <si>
    <r>
      <t xml:space="preserve">IC 581
</t>
    </r>
    <r>
      <rPr>
        <sz val="8"/>
        <color rgb="FF0000FF"/>
        <rFont val="Arial"/>
        <family val="2"/>
      </rPr>
      <t xml:space="preserve">(132006.2361.02)
</t>
    </r>
  </si>
  <si>
    <t>Originally Paid 6/12/2017 Rec: 1201086
REFUNDED on Cancellation of OPW17/0195</t>
  </si>
  <si>
    <t>Originally Paid 6/12/2017 Rec: 1201086
REFUNDED 3/10/2018 Cheque 042577 on  Cancellation of OPW17/0195</t>
  </si>
  <si>
    <r>
      <rPr>
        <b/>
        <sz val="10"/>
        <color rgb="FF0000FF"/>
        <rFont val="Arial"/>
        <family val="2"/>
      </rPr>
      <t xml:space="preserve">N </t>
    </r>
    <r>
      <rPr>
        <b/>
        <sz val="10"/>
        <rFont val="Arial"/>
        <family val="2"/>
      </rPr>
      <t xml:space="preserve">1152
</t>
    </r>
    <r>
      <rPr>
        <sz val="10"/>
        <color rgb="FFFF0000"/>
        <rFont val="Arial"/>
        <family val="2"/>
      </rPr>
      <t>PS18/0026 Lodged</t>
    </r>
  </si>
  <si>
    <r>
      <t xml:space="preserve">LGIP replaced PIP on 8 June 2018 
Stormwater component of charge only applies to development </t>
    </r>
    <r>
      <rPr>
        <b/>
        <u/>
        <sz val="12"/>
        <color rgb="FF0000FF"/>
        <rFont val="Arial Black"/>
        <family val="2"/>
      </rPr>
      <t>inside</t>
    </r>
    <r>
      <rPr>
        <b/>
        <sz val="12"/>
        <color rgb="FF0000FF"/>
        <rFont val="Arial Black"/>
        <family val="2"/>
      </rPr>
      <t xml:space="preserve"> PIA</t>
    </r>
  </si>
  <si>
    <t>MCU18/0028</t>
  </si>
  <si>
    <t>Mulitple housing type 2 - duplex = 
3 bedroom units x 1                                                  2 bedroom unit x 1</t>
  </si>
  <si>
    <t>Lot 11 RP 69150</t>
  </si>
  <si>
    <t>RL Gerken</t>
  </si>
  <si>
    <t>RL Gerken
C/- Martoo Consulting Pty Ltd
PO Box 1684
NOOSA HEADS QLD 4567</t>
  </si>
  <si>
    <r>
      <t xml:space="preserve">MCU14/0006
</t>
    </r>
    <r>
      <rPr>
        <sz val="10"/>
        <color rgb="FF0000FF"/>
        <rFont val="Arial"/>
        <family val="2"/>
      </rPr>
      <t>MCU14/0006.02 Extn</t>
    </r>
  </si>
  <si>
    <r>
      <rPr>
        <b/>
        <sz val="10"/>
        <color rgb="FF0000FF"/>
        <rFont val="Arial"/>
        <family val="2"/>
      </rPr>
      <t xml:space="preserve">N </t>
    </r>
    <r>
      <rPr>
        <b/>
        <sz val="10"/>
        <rFont val="Arial"/>
        <family val="2"/>
      </rPr>
      <t xml:space="preserve">1031
</t>
    </r>
    <r>
      <rPr>
        <b/>
        <sz val="10"/>
        <color rgb="FFFF0000"/>
        <rFont val="Arial"/>
        <family val="2"/>
      </rPr>
      <t>LAPSED</t>
    </r>
    <r>
      <rPr>
        <sz val="10"/>
        <color rgb="FFFF0000"/>
        <rFont val="Arial"/>
        <family val="2"/>
      </rPr>
      <t xml:space="preserve">
per M.Cantori advice 8/10/2018</t>
    </r>
  </si>
  <si>
    <r>
      <rPr>
        <b/>
        <sz val="10"/>
        <color rgb="FF0000FF"/>
        <rFont val="Arial"/>
        <family val="2"/>
      </rPr>
      <t xml:space="preserve">N </t>
    </r>
    <r>
      <rPr>
        <b/>
        <sz val="10"/>
        <rFont val="Arial"/>
        <family val="2"/>
      </rPr>
      <t xml:space="preserve">1035
</t>
    </r>
    <r>
      <rPr>
        <b/>
        <sz val="10"/>
        <color rgb="FF0000FF"/>
        <rFont val="Arial"/>
        <family val="2"/>
      </rPr>
      <t xml:space="preserve">(Stage2) 
</t>
    </r>
    <r>
      <rPr>
        <b/>
        <sz val="10"/>
        <color rgb="FFFF0000"/>
        <rFont val="Arial"/>
        <family val="2"/>
      </rPr>
      <t xml:space="preserve">LAPSED
</t>
    </r>
    <r>
      <rPr>
        <sz val="10"/>
        <color rgb="FFFF0000"/>
        <rFont val="Arial"/>
        <family val="2"/>
      </rPr>
      <t>per M.Cantori advice 8/10/2018</t>
    </r>
  </si>
  <si>
    <r>
      <rPr>
        <b/>
        <sz val="10"/>
        <color rgb="FF0000FF"/>
        <rFont val="Arial"/>
        <family val="2"/>
      </rPr>
      <t xml:space="preserve">N </t>
    </r>
    <r>
      <rPr>
        <b/>
        <sz val="10"/>
        <rFont val="Arial"/>
        <family val="2"/>
      </rPr>
      <t xml:space="preserve">1034
</t>
    </r>
    <r>
      <rPr>
        <b/>
        <sz val="10"/>
        <color rgb="FF0000FF"/>
        <rFont val="Arial"/>
        <family val="2"/>
      </rPr>
      <t xml:space="preserve">(Stage 1) 
</t>
    </r>
    <r>
      <rPr>
        <b/>
        <sz val="10"/>
        <color rgb="FFFF0000"/>
        <rFont val="Arial"/>
        <family val="2"/>
      </rPr>
      <t>LAPSED</t>
    </r>
    <r>
      <rPr>
        <sz val="10"/>
        <color rgb="FFFF0000"/>
        <rFont val="Arial"/>
        <family val="2"/>
      </rPr>
      <t xml:space="preserve">
per M.Cantori advice 8/10/2018</t>
    </r>
  </si>
  <si>
    <t>PC18/0823</t>
  </si>
  <si>
    <t>Building Work: EarthCert Building Approvals 
Permit: 180243</t>
  </si>
  <si>
    <t>SEC Constructions Pty Ltd</t>
  </si>
  <si>
    <t>7 Kabi Court
TEWANTIN QLD 4565</t>
  </si>
  <si>
    <t>Lot 26 C 5603</t>
  </si>
  <si>
    <t>27 Wattle Street 
COOROY QLD 4563</t>
  </si>
  <si>
    <t>Stormwater not applicable for Development outside PIA per LGIP</t>
  </si>
  <si>
    <r>
      <t xml:space="preserve">31/07/2018
</t>
    </r>
    <r>
      <rPr>
        <sz val="10"/>
        <color rgb="FF0000FF"/>
        <rFont val="Arial"/>
        <family val="2"/>
      </rPr>
      <t>Will not lapse</t>
    </r>
  </si>
  <si>
    <t>Use has commenced however the charge only is payable on construction of compost facility if it occurs.</t>
  </si>
  <si>
    <t>132000.200278.6</t>
  </si>
  <si>
    <t>Dimmick Nominees Vic Pty Ltd</t>
  </si>
  <si>
    <t>C/- Hindmarsh Property Services
3/28 Maud St
MAROOCHYDORE QLD 4558</t>
  </si>
  <si>
    <t>1 Gateway Drive Noosaville QLD 4566</t>
  </si>
  <si>
    <t>Retail Business - Type 4 Showroom = additional 20m2 gfa to existing
No change to impervious area</t>
  </si>
  <si>
    <t>PC18/1064</t>
  </si>
  <si>
    <t>Building Work:Pacific BCQ 
Permit: 20180328</t>
  </si>
  <si>
    <t>Tony Wurf</t>
  </si>
  <si>
    <t>C/- Lisang Designs
PO Box 2051
NOOSA HEADS QLD 4567</t>
  </si>
  <si>
    <t>Lot 308 SP 114181</t>
  </si>
  <si>
    <t>Lot 721 P 93127</t>
  </si>
  <si>
    <r>
      <rPr>
        <b/>
        <sz val="10"/>
        <color rgb="FF0000FF"/>
        <rFont val="Arial"/>
        <family val="2"/>
      </rPr>
      <t xml:space="preserve">N </t>
    </r>
    <r>
      <rPr>
        <b/>
        <sz val="10"/>
        <rFont val="Arial"/>
        <family val="2"/>
      </rPr>
      <t xml:space="preserve">1311
</t>
    </r>
    <r>
      <rPr>
        <sz val="10"/>
        <rFont val="Arial"/>
        <family val="2"/>
      </rPr>
      <t xml:space="preserve">
</t>
    </r>
    <r>
      <rPr>
        <sz val="10"/>
        <color rgb="FFFF0000"/>
        <rFont val="Arial"/>
        <family val="2"/>
      </rPr>
      <t xml:space="preserve">Completed M.Cantory Inspection 15/10/2018
</t>
    </r>
    <r>
      <rPr>
        <b/>
        <sz val="10"/>
        <color rgb="FFFF0000"/>
        <rFont val="Arial"/>
        <family val="2"/>
      </rPr>
      <t>PAYMENT DUE 29/10/2018</t>
    </r>
  </si>
  <si>
    <t>Incorrectly issued before decision notice actually issued. Re assessmsnet this calc incorrectly only considered the additional 20m2 instead of considering the total change in  use &amp; qty &amp; also highest previous lawfull use credit for the whole development resulting in a NIL CHARGE</t>
  </si>
  <si>
    <r>
      <rPr>
        <b/>
        <sz val="10"/>
        <color rgb="FF0000FF"/>
        <rFont val="Arial"/>
        <family val="2"/>
      </rPr>
      <t xml:space="preserve">N </t>
    </r>
    <r>
      <rPr>
        <b/>
        <sz val="10"/>
        <rFont val="Arial"/>
        <family val="2"/>
      </rPr>
      <t xml:space="preserve">1386
</t>
    </r>
    <r>
      <rPr>
        <b/>
        <sz val="10"/>
        <color rgb="FFFF0000"/>
        <rFont val="Arial"/>
        <family val="2"/>
      </rPr>
      <t>CANCELLED 16/10/2018 due to reassessment of highest previous use credit</t>
    </r>
  </si>
  <si>
    <t>PC18/1140</t>
  </si>
  <si>
    <t>Building Work: Professional Certification Group
Number: 00056078</t>
  </si>
  <si>
    <t>Pacific Home Solutions</t>
  </si>
  <si>
    <t>11/373 Golden Four Drive
TUGUN QLD 4224</t>
  </si>
  <si>
    <t>Lot 1 RP 202251</t>
  </si>
  <si>
    <t>199 Woodland Drive
PEREGIAN BEACH</t>
  </si>
  <si>
    <t>MCU18/0019</t>
  </si>
  <si>
    <t>Arcare Pty Ltd TTE</t>
  </si>
  <si>
    <t>PO Box 6380
MAROOCHYDORE QLD 4558</t>
  </si>
  <si>
    <t>Lots 9, 8, 7, 6, 5, 4 RP 138011 &amp;
Lots 13, 14, 15, 16 &amp; 17 RP 151414</t>
  </si>
  <si>
    <t>Multiple Hosuing type 3 retirement &amp; special needs (aged care facility) = 90 beds = 5,055m² gfa per application details &amp; plans
+
Impervious area = 6,741 m2 combined lot areas LESS Soft Landscaped areas (26% of site area = 1753)  = 4,988 m2  (details from Council report)</t>
  </si>
  <si>
    <t xml:space="preserve">residential detached lots x 11 </t>
  </si>
  <si>
    <t>Building Work: EarthCert Building Approvals
Number: 180355</t>
  </si>
  <si>
    <t>5 Johnson Court
COOROY QLD 4563</t>
  </si>
  <si>
    <t>Lot 1 SP 266746</t>
  </si>
  <si>
    <t>Laguna Bay Air Conditioning</t>
  </si>
  <si>
    <t>C/- Pivotal Perspective Pty Ltd
10 Shields Street
TEWANTIN QLD 4565</t>
  </si>
  <si>
    <t>Industrial Business Type 2 - Production, alteration, repackaging and repairing (Mezzanine - Additional 17m2)
+ 1 x Ancillary dwelling unit (Caretakers Unit)</t>
  </si>
  <si>
    <t xml:space="preserve">N/A additional development only to existing </t>
  </si>
  <si>
    <t>November 2018
Total =</t>
  </si>
  <si>
    <r>
      <t xml:space="preserve">IC 981
</t>
    </r>
    <r>
      <rPr>
        <b/>
        <sz val="8"/>
        <color rgb="FF0000FF"/>
        <rFont val="Arial"/>
        <family val="2"/>
      </rPr>
      <t xml:space="preserve">(Rev 1)
</t>
    </r>
    <r>
      <rPr>
        <sz val="8"/>
        <color rgb="FF0000FF"/>
        <rFont val="Arial"/>
        <family val="2"/>
      </rPr>
      <t>+
ICN.N 1362</t>
    </r>
  </si>
  <si>
    <t>PC18/1095</t>
  </si>
  <si>
    <t>Lot 18 RP 901991</t>
  </si>
  <si>
    <t>Building Work: EarthCert Building Approvals
Number: 180310</t>
  </si>
  <si>
    <t>Martin &amp; Jenny Forrest</t>
  </si>
  <si>
    <t>22 Smedley Drive
POMONA QLD 4568</t>
  </si>
  <si>
    <t>PC18/1060</t>
  </si>
  <si>
    <t>Building Work: EarthCert Building Approvals
Number: 180303</t>
  </si>
  <si>
    <t>Ecolibrium Designs</t>
  </si>
  <si>
    <t>26 William Road 
EUMUNDI QLD 4562</t>
  </si>
  <si>
    <t>Lot 1 RP 200506</t>
  </si>
  <si>
    <t>RG Murray</t>
  </si>
  <si>
    <t>Lot 15 RP 899841</t>
  </si>
  <si>
    <t>MCU18/0117</t>
  </si>
  <si>
    <t>Fiddlewood Pty Ltd ATF 
Fiddlewood Unit Trust TA Noosa Pots 
&amp; Plants</t>
  </si>
  <si>
    <t>Lot 3 RP 173877</t>
  </si>
  <si>
    <t>124 Eumundi Noosa Rd NOOSAVILLE QLD 4566</t>
  </si>
  <si>
    <t>Industrial Business Type 1 - Warehouse = 427m² GFA</t>
  </si>
  <si>
    <t>MCU18/0094</t>
  </si>
  <si>
    <t>Whatham Boys Property Trust</t>
  </si>
  <si>
    <t>Lot 901 C 56011</t>
  </si>
  <si>
    <t>1 existing dwelling</t>
  </si>
  <si>
    <t>1 x Secondary dwelling to a detached house</t>
  </si>
  <si>
    <t>CPI Sept 2018</t>
  </si>
  <si>
    <t>CPI Sep 2018</t>
  </si>
  <si>
    <t>Bounce Hostel Noosa Pty Ltd ATF The Bounce Hostel Unit Trust</t>
  </si>
  <si>
    <t>Lot 3 &amp; 4 RP 122928</t>
  </si>
  <si>
    <t>Noosacare Inc</t>
  </si>
  <si>
    <t>186 Cooroy Noosa Road TEWANTIN</t>
  </si>
  <si>
    <t>Multiple housing • Type 3 Retirement and special needs (aged care facility) = 2,135 m2 gfa
+ 2,270 m2 Imervious area</t>
  </si>
  <si>
    <t>Building Work: Project BA
Number: 20181468</t>
  </si>
  <si>
    <t>Lennox Thompson</t>
  </si>
  <si>
    <t>28 Mahogany Drive
MARCUS BEACH</t>
  </si>
  <si>
    <t>Lot 290 M 111111</t>
  </si>
  <si>
    <r>
      <t xml:space="preserve">05/1133 (DA)
</t>
    </r>
    <r>
      <rPr>
        <strike/>
        <sz val="8"/>
        <color rgb="FF0000FF"/>
        <rFont val="Arial"/>
        <family val="2"/>
      </rPr>
      <t xml:space="preserve">132005.1133.3 
132005.1133.4 </t>
    </r>
    <r>
      <rPr>
        <sz val="8"/>
        <color rgb="FF0000FF"/>
        <rFont val="Arial"/>
        <family val="2"/>
      </rPr>
      <t xml:space="preserve">
</t>
    </r>
    <r>
      <rPr>
        <strike/>
        <sz val="8"/>
        <color rgb="FF0000FF"/>
        <rFont val="Arial"/>
        <family val="2"/>
      </rPr>
      <t>132005.1133.5</t>
    </r>
    <r>
      <rPr>
        <sz val="8"/>
        <color rgb="FF0000FF"/>
        <rFont val="Arial"/>
        <family val="2"/>
      </rPr>
      <t xml:space="preserve">
</t>
    </r>
    <r>
      <rPr>
        <strike/>
        <sz val="8"/>
        <color rgb="FF0000FF"/>
        <rFont val="Arial"/>
        <family val="2"/>
      </rPr>
      <t>132005.1133.6</t>
    </r>
    <r>
      <rPr>
        <sz val="8"/>
        <color rgb="FF0000FF"/>
        <rFont val="Arial"/>
        <family val="2"/>
      </rPr>
      <t xml:space="preserve">
</t>
    </r>
    <r>
      <rPr>
        <strike/>
        <sz val="8"/>
        <color rgb="FF0000FF"/>
        <rFont val="Arial"/>
        <family val="2"/>
      </rPr>
      <t>132005.1133.7</t>
    </r>
    <r>
      <rPr>
        <sz val="8"/>
        <color rgb="FF0000FF"/>
        <rFont val="Arial"/>
        <family val="2"/>
      </rPr>
      <t xml:space="preserve">
132005.1133.8</t>
    </r>
  </si>
  <si>
    <r>
      <t xml:space="preserve">IC 647
</t>
    </r>
    <r>
      <rPr>
        <strike/>
        <sz val="8"/>
        <rFont val="Arial"/>
        <family val="2"/>
      </rPr>
      <t>(Rev 1)
(Rev 2)
(Rev 3)
(Rev 4)</t>
    </r>
    <r>
      <rPr>
        <b/>
        <sz val="8"/>
        <color rgb="FF0000FF"/>
        <rFont val="Arial"/>
        <family val="2"/>
      </rPr>
      <t xml:space="preserve">
Rev 5</t>
    </r>
    <r>
      <rPr>
        <b/>
        <sz val="8"/>
        <rFont val="Arial"/>
        <family val="2"/>
      </rPr>
      <t xml:space="preserve">
</t>
    </r>
    <r>
      <rPr>
        <b/>
        <sz val="10"/>
        <color rgb="FF0000FF"/>
        <rFont val="Arial"/>
        <family val="2"/>
      </rPr>
      <t>STAGE CTS 200</t>
    </r>
  </si>
  <si>
    <r>
      <rPr>
        <sz val="8"/>
        <color rgb="FF0000FF"/>
        <rFont val="Arial"/>
        <family val="2"/>
      </rPr>
      <t xml:space="preserve">Multiple Housing </t>
    </r>
    <r>
      <rPr>
        <sz val="8"/>
        <rFont val="Arial"/>
        <family val="2"/>
      </rPr>
      <t xml:space="preserve">Type 4 – Conventional =
</t>
    </r>
    <r>
      <rPr>
        <sz val="8"/>
        <color rgb="FF0000FF"/>
        <rFont val="Arial"/>
        <family val="2"/>
      </rPr>
      <t>3+ bed units = 31
2 bed units = 0
1 bed units = 0</t>
    </r>
  </si>
  <si>
    <r>
      <rPr>
        <sz val="8"/>
        <color rgb="FF0000FF"/>
        <rFont val="Arial"/>
        <family val="2"/>
      </rPr>
      <t xml:space="preserve">Multiple Housing </t>
    </r>
    <r>
      <rPr>
        <sz val="8"/>
        <rFont val="Arial"/>
        <family val="2"/>
      </rPr>
      <t xml:space="preserve">Type 4 – Conventional =
</t>
    </r>
    <r>
      <rPr>
        <sz val="8"/>
        <color rgb="FF0000FF"/>
        <rFont val="Arial"/>
        <family val="2"/>
      </rPr>
      <t>3+ bed units = 5
2 bed units = 6
1 bed units = 2</t>
    </r>
  </si>
  <si>
    <r>
      <rPr>
        <strike/>
        <sz val="8"/>
        <rFont val="Arial"/>
        <family val="2"/>
      </rPr>
      <t>30/08/2007
01/11/2007</t>
    </r>
    <r>
      <rPr>
        <sz val="8"/>
        <rFont val="Arial"/>
        <family val="2"/>
      </rPr>
      <t xml:space="preserve">
</t>
    </r>
    <r>
      <rPr>
        <strike/>
        <sz val="8"/>
        <color rgb="FF0000FF"/>
        <rFont val="Arial"/>
        <family val="2"/>
      </rPr>
      <t>7 April 2011</t>
    </r>
    <r>
      <rPr>
        <sz val="8"/>
        <rFont val="Arial"/>
        <family val="2"/>
      </rPr>
      <t xml:space="preserve">
</t>
    </r>
    <r>
      <rPr>
        <strike/>
        <sz val="8"/>
        <color rgb="FF0000FF"/>
        <rFont val="Arial"/>
        <family val="2"/>
      </rPr>
      <t>10/09/2015</t>
    </r>
    <r>
      <rPr>
        <sz val="8"/>
        <color rgb="FF0000FF"/>
        <rFont val="Arial"/>
        <family val="2"/>
      </rPr>
      <t xml:space="preserve">
</t>
    </r>
    <r>
      <rPr>
        <strike/>
        <sz val="8"/>
        <color rgb="FF0000FF"/>
        <rFont val="Arial"/>
        <family val="2"/>
      </rPr>
      <t>10/03/2016
15/12/2016</t>
    </r>
    <r>
      <rPr>
        <sz val="8"/>
        <color rgb="FF0000FF"/>
        <rFont val="Arial"/>
        <family val="2"/>
      </rPr>
      <t xml:space="preserve">
</t>
    </r>
    <r>
      <rPr>
        <strike/>
        <sz val="8"/>
        <color rgb="FF0000FF"/>
        <rFont val="Arial"/>
        <family val="2"/>
      </rPr>
      <t>25/01/2018</t>
    </r>
    <r>
      <rPr>
        <sz val="8"/>
        <color rgb="FF0000FF"/>
        <rFont val="Arial"/>
        <family val="2"/>
      </rPr>
      <t xml:space="preserve">
28/11/2018</t>
    </r>
  </si>
  <si>
    <r>
      <rPr>
        <strike/>
        <sz val="10"/>
        <rFont val="Arial"/>
        <family val="2"/>
      </rPr>
      <t>14/09/2015</t>
    </r>
    <r>
      <rPr>
        <sz val="10"/>
        <rFont val="Arial"/>
        <family val="2"/>
      </rPr>
      <t xml:space="preserve">
</t>
    </r>
    <r>
      <rPr>
        <strike/>
        <sz val="10"/>
        <rFont val="Arial"/>
        <family val="2"/>
      </rPr>
      <t>10/03/2016</t>
    </r>
    <r>
      <rPr>
        <sz val="10"/>
        <rFont val="Arial"/>
        <family val="2"/>
      </rPr>
      <t xml:space="preserve">
</t>
    </r>
    <r>
      <rPr>
        <strike/>
        <sz val="10"/>
        <rFont val="Arial"/>
        <family val="2"/>
      </rPr>
      <t>19/12/2016
27/09/2017
25/01/2018</t>
    </r>
    <r>
      <rPr>
        <sz val="10"/>
        <color rgb="FF0000FF"/>
        <rFont val="Arial"/>
        <family val="2"/>
      </rPr>
      <t xml:space="preserve">
28/11/2018</t>
    </r>
  </si>
  <si>
    <r>
      <rPr>
        <strike/>
        <sz val="10"/>
        <rFont val="Arial"/>
        <family val="2"/>
      </rPr>
      <t>132005.1133.3</t>
    </r>
    <r>
      <rPr>
        <sz val="10"/>
        <rFont val="Arial"/>
        <family val="2"/>
      </rPr>
      <t xml:space="preserve">
</t>
    </r>
    <r>
      <rPr>
        <strike/>
        <sz val="10"/>
        <rFont val="Arial"/>
        <family val="2"/>
      </rPr>
      <t>132005.1133.4</t>
    </r>
    <r>
      <rPr>
        <sz val="10"/>
        <color rgb="FF0000FF"/>
        <rFont val="Arial"/>
        <family val="2"/>
      </rPr>
      <t xml:space="preserve">
</t>
    </r>
    <r>
      <rPr>
        <strike/>
        <sz val="10"/>
        <rFont val="Arial"/>
        <family val="2"/>
      </rPr>
      <t>132005.1133.5
132005.1133.6</t>
    </r>
    <r>
      <rPr>
        <sz val="10"/>
        <rFont val="Arial"/>
        <family val="2"/>
      </rPr>
      <t xml:space="preserve">
</t>
    </r>
    <r>
      <rPr>
        <strike/>
        <sz val="10"/>
        <rFont val="Arial"/>
        <family val="2"/>
      </rPr>
      <t>132005.1133.7</t>
    </r>
    <r>
      <rPr>
        <sz val="10"/>
        <color rgb="FF0000FF"/>
        <rFont val="Arial"/>
        <family val="2"/>
      </rPr>
      <t xml:space="preserve">
132005.1133.8
</t>
    </r>
  </si>
  <si>
    <r>
      <rPr>
        <strike/>
        <sz val="10"/>
        <rFont val="Arial"/>
        <family val="2"/>
      </rPr>
      <t>1/11/2017</t>
    </r>
    <r>
      <rPr>
        <sz val="10"/>
        <rFont val="Arial"/>
        <family val="2"/>
      </rPr>
      <t xml:space="preserve">
</t>
    </r>
    <r>
      <rPr>
        <sz val="10"/>
        <color rgb="FF0000FF"/>
        <rFont val="Arial"/>
        <family val="2"/>
      </rPr>
      <t xml:space="preserve">15/12/2026
</t>
    </r>
  </si>
  <si>
    <r>
      <t>Only relates to</t>
    </r>
    <r>
      <rPr>
        <b/>
        <sz val="10"/>
        <color rgb="FF0000FF"/>
        <rFont val="Arial"/>
        <family val="2"/>
      </rPr>
      <t xml:space="preserve"> missing Public Transport &amp; Stormwater </t>
    </r>
    <r>
      <rPr>
        <sz val="10"/>
        <color rgb="FF0000FF"/>
        <rFont val="Arial"/>
        <family val="2"/>
      </rPr>
      <t xml:space="preserve">networks not in previous approval 
</t>
    </r>
    <r>
      <rPr>
        <u/>
        <sz val="10"/>
        <color rgb="FF0000FF"/>
        <rFont val="Arial"/>
        <family val="2"/>
      </rPr>
      <t>Refer also to</t>
    </r>
    <r>
      <rPr>
        <sz val="10"/>
        <color rgb="FF0000FF"/>
        <rFont val="Arial"/>
        <family val="2"/>
      </rPr>
      <t xml:space="preserve"> 05/1133 Contributions &amp; IC 647 in PSP+ICP spreadsheet.  
</t>
    </r>
  </si>
  <si>
    <r>
      <t>Only relates to</t>
    </r>
    <r>
      <rPr>
        <b/>
        <sz val="10"/>
        <color rgb="FF0000FF"/>
        <rFont val="Arial"/>
        <family val="2"/>
      </rPr>
      <t xml:space="preserve"> missing Public Transport &amp; Stormwater </t>
    </r>
    <r>
      <rPr>
        <sz val="10"/>
        <color rgb="FF0000FF"/>
        <rFont val="Arial"/>
        <family val="2"/>
      </rPr>
      <t xml:space="preserve">networks not in previous approval 
</t>
    </r>
    <r>
      <rPr>
        <u/>
        <sz val="10"/>
        <color rgb="FF0000FF"/>
        <rFont val="Arial"/>
        <family val="2"/>
      </rPr>
      <t>Refer also to</t>
    </r>
    <r>
      <rPr>
        <sz val="10"/>
        <color rgb="FF0000FF"/>
        <rFont val="Arial"/>
        <family val="2"/>
      </rPr>
      <t xml:space="preserve"> 05/1133 Contributions &amp; IC 647 in PSP+ICP spreadsheet.  </t>
    </r>
  </si>
  <si>
    <r>
      <t>Only relates to</t>
    </r>
    <r>
      <rPr>
        <b/>
        <sz val="10"/>
        <color rgb="FF0000FF"/>
        <rFont val="Arial"/>
        <family val="2"/>
      </rPr>
      <t xml:space="preserve"> missing Public Transport &amp; Stormwater </t>
    </r>
    <r>
      <rPr>
        <sz val="10"/>
        <color rgb="FF0000FF"/>
        <rFont val="Arial"/>
        <family val="2"/>
      </rPr>
      <t xml:space="preserve">networks not in previous approval 
</t>
    </r>
    <r>
      <rPr>
        <u/>
        <sz val="10"/>
        <color rgb="FF0000FF"/>
        <rFont val="Arial"/>
        <family val="2"/>
      </rPr>
      <t>Refer also to</t>
    </r>
    <r>
      <rPr>
        <sz val="10"/>
        <color rgb="FF0000FF"/>
        <rFont val="Arial"/>
        <family val="2"/>
      </rPr>
      <t xml:space="preserve"> 05/1133 Contributions &amp; IC 647 in PSP+ICP spreadsheet.</t>
    </r>
  </si>
  <si>
    <r>
      <rPr>
        <sz val="10"/>
        <color rgb="FF0000FF"/>
        <rFont val="Arial"/>
        <family val="2"/>
      </rPr>
      <t xml:space="preserve">Multiple Housing </t>
    </r>
    <r>
      <rPr>
        <sz val="10"/>
        <rFont val="Arial"/>
        <family val="2"/>
      </rPr>
      <t xml:space="preserve">Type 4 – Conventional =
</t>
    </r>
    <r>
      <rPr>
        <sz val="10"/>
        <color rgb="FF0000FF"/>
        <rFont val="Arial"/>
        <family val="2"/>
      </rPr>
      <t>3+ bed units = 31
2 bed units = 0
1 bed units = 0</t>
    </r>
  </si>
  <si>
    <r>
      <rPr>
        <sz val="10"/>
        <color rgb="FF0000FF"/>
        <rFont val="Arial"/>
        <family val="2"/>
      </rPr>
      <t xml:space="preserve">Multiple Housing </t>
    </r>
    <r>
      <rPr>
        <sz val="10"/>
        <rFont val="Arial"/>
        <family val="2"/>
      </rPr>
      <t xml:space="preserve">Type 4 – Conventional =
</t>
    </r>
    <r>
      <rPr>
        <sz val="10"/>
        <color rgb="FF0000FF"/>
        <rFont val="Arial"/>
        <family val="2"/>
      </rPr>
      <t>3+ bed units = 5
2 bed units = 6
1 bed units = 2</t>
    </r>
  </si>
  <si>
    <r>
      <rPr>
        <b/>
        <sz val="10"/>
        <color rgb="FF0000FF"/>
        <rFont val="Arial"/>
        <family val="2"/>
      </rPr>
      <t xml:space="preserve">N </t>
    </r>
    <r>
      <rPr>
        <b/>
        <sz val="10"/>
        <rFont val="Arial"/>
        <family val="2"/>
      </rPr>
      <t xml:space="preserve">1027
</t>
    </r>
    <r>
      <rPr>
        <sz val="10"/>
        <color rgb="FFFF0000"/>
        <rFont val="Arial"/>
        <family val="2"/>
      </rPr>
      <t>Use commenced per M.Cantori advice 8/10/2018
However IC only becomes due if compost facitiy is constructed</t>
    </r>
  </si>
  <si>
    <t>Planning Reg 2018-20</t>
  </si>
  <si>
    <t>Hass Holdings Pty Ltd TTE</t>
  </si>
  <si>
    <t>Lot 5 SP 197517</t>
  </si>
  <si>
    <t>Industrial business•  Type 2 Production, alteration, repackaging and repairing = 5,103m2 gfa
 9,456m2 impervious</t>
  </si>
  <si>
    <t>Vacant Industrial.
Equivalent credits for Park, Road &amp; Pathways paid under previous approval 2005/2159</t>
  </si>
  <si>
    <r>
      <rPr>
        <b/>
        <sz val="10"/>
        <color rgb="FF0000FF"/>
        <rFont val="Arial"/>
        <family val="2"/>
      </rPr>
      <t xml:space="preserve">N </t>
    </r>
    <r>
      <rPr>
        <b/>
        <sz val="10"/>
        <rFont val="Arial"/>
        <family val="2"/>
      </rPr>
      <t xml:space="preserve">1395
</t>
    </r>
    <r>
      <rPr>
        <b/>
        <sz val="10"/>
        <color rgb="FF0000FF"/>
        <rFont val="Arial"/>
        <family val="2"/>
      </rPr>
      <t>(Negotiated)</t>
    </r>
  </si>
  <si>
    <r>
      <t>Industrial Business Type 1 – Warehouse =</t>
    </r>
    <r>
      <rPr>
        <strike/>
        <sz val="10"/>
        <rFont val="Arial"/>
        <family val="2"/>
      </rPr>
      <t xml:space="preserve"> 245m</t>
    </r>
    <r>
      <rPr>
        <sz val="10"/>
        <rFont val="Arial"/>
        <family val="2"/>
      </rPr>
      <t xml:space="preserve">² </t>
    </r>
    <r>
      <rPr>
        <sz val="10"/>
        <color rgb="FF0000FF"/>
        <rFont val="Arial"/>
        <family val="2"/>
      </rPr>
      <t xml:space="preserve">300m2 </t>
    </r>
    <r>
      <rPr>
        <sz val="10"/>
        <rFont val="Arial"/>
        <family val="2"/>
      </rPr>
      <t xml:space="preserve">gfa
+ Retail Business - Type 7 Garden Centre = </t>
    </r>
    <r>
      <rPr>
        <strike/>
        <sz val="10"/>
        <rFont val="Arial"/>
        <family val="2"/>
      </rPr>
      <t>182m²</t>
    </r>
    <r>
      <rPr>
        <sz val="10"/>
        <rFont val="Arial"/>
        <family val="2"/>
      </rPr>
      <t xml:space="preserve"> </t>
    </r>
    <r>
      <rPr>
        <sz val="10"/>
        <color rgb="FF0000FF"/>
        <rFont val="Arial"/>
        <family val="2"/>
      </rPr>
      <t>127m2</t>
    </r>
    <r>
      <rPr>
        <sz val="10"/>
        <rFont val="Arial"/>
        <family val="2"/>
      </rPr>
      <t xml:space="preserve"> gfa 
No change to existing impervious area</t>
    </r>
  </si>
  <si>
    <r>
      <rPr>
        <b/>
        <sz val="10"/>
        <color rgb="FF0000FF"/>
        <rFont val="Arial"/>
        <family val="2"/>
      </rPr>
      <t xml:space="preserve">N </t>
    </r>
    <r>
      <rPr>
        <b/>
        <sz val="10"/>
        <rFont val="Arial"/>
        <family val="2"/>
      </rPr>
      <t xml:space="preserve">1285
</t>
    </r>
    <r>
      <rPr>
        <b/>
        <i/>
        <sz val="10"/>
        <color rgb="FFFF0000"/>
        <rFont val="Arial"/>
        <family val="2"/>
      </rPr>
      <t>(Replaced by ICN.N1339 PC18/0570)</t>
    </r>
    <r>
      <rPr>
        <b/>
        <sz val="10"/>
        <color rgb="FFFF0000"/>
        <rFont val="Arial"/>
        <family val="2"/>
      </rPr>
      <t xml:space="preserve"> </t>
    </r>
  </si>
  <si>
    <r>
      <rPr>
        <b/>
        <sz val="10"/>
        <color rgb="FF0000FF"/>
        <rFont val="Arial"/>
        <family val="2"/>
      </rPr>
      <t xml:space="preserve">N </t>
    </r>
    <r>
      <rPr>
        <b/>
        <sz val="10"/>
        <rFont val="Arial"/>
        <family val="2"/>
      </rPr>
      <t xml:space="preserve">1339
</t>
    </r>
    <r>
      <rPr>
        <sz val="10"/>
        <rFont val="Arial"/>
        <family val="2"/>
      </rPr>
      <t xml:space="preserve">(Replaces ICN.N1285 PC17/1370) </t>
    </r>
    <r>
      <rPr>
        <b/>
        <sz val="10"/>
        <rFont val="Arial"/>
        <family val="2"/>
      </rPr>
      <t xml:space="preserve">
</t>
    </r>
    <r>
      <rPr>
        <b/>
        <sz val="10"/>
        <color rgb="FFFF0000"/>
        <rFont val="Arial"/>
        <family val="2"/>
      </rPr>
      <t>Payment DUE
17 Dec 2018</t>
    </r>
    <r>
      <rPr>
        <b/>
        <sz val="10"/>
        <rFont val="Arial"/>
        <family val="2"/>
      </rPr>
      <t xml:space="preserve">
</t>
    </r>
    <r>
      <rPr>
        <b/>
        <i/>
        <sz val="10"/>
        <color rgb="FFFF0000"/>
        <rFont val="Arial"/>
        <family val="2"/>
      </rPr>
      <t/>
    </r>
  </si>
  <si>
    <r>
      <rPr>
        <b/>
        <strike/>
        <sz val="8"/>
        <rFont val="Arial"/>
        <family val="2"/>
      </rPr>
      <t xml:space="preserve">07/1841 DA 
</t>
    </r>
    <r>
      <rPr>
        <strike/>
        <sz val="8"/>
        <color rgb="FF0000FF"/>
        <rFont val="Arial"/>
        <family val="2"/>
      </rPr>
      <t>132007.1841.03</t>
    </r>
    <r>
      <rPr>
        <sz val="8"/>
        <color rgb="FF0000FF"/>
        <rFont val="Arial"/>
        <family val="2"/>
      </rPr>
      <t xml:space="preserve">
132007.1841.8
(Change to Lot 6)</t>
    </r>
  </si>
  <si>
    <t>3/12/25018</t>
  </si>
  <si>
    <t>D256</t>
  </si>
  <si>
    <t>D484</t>
  </si>
  <si>
    <t>D692</t>
  </si>
  <si>
    <t>December 2018
Total =</t>
  </si>
  <si>
    <r>
      <rPr>
        <b/>
        <sz val="10"/>
        <color rgb="FF0000FF"/>
        <rFont val="Arial"/>
        <family val="2"/>
      </rPr>
      <t xml:space="preserve">N </t>
    </r>
    <r>
      <rPr>
        <b/>
        <sz val="10"/>
        <rFont val="Arial"/>
        <family val="2"/>
      </rPr>
      <t xml:space="preserve">1122
</t>
    </r>
    <r>
      <rPr>
        <b/>
        <sz val="10"/>
        <color rgb="FFFF0000"/>
        <rFont val="Arial"/>
        <family val="2"/>
      </rPr>
      <t>PAYMENT DUE Negotiated to 
4 February 2019</t>
    </r>
  </si>
  <si>
    <r>
      <rPr>
        <b/>
        <sz val="10"/>
        <color rgb="FF0000FF"/>
        <rFont val="Arial"/>
        <family val="2"/>
      </rPr>
      <t xml:space="preserve">N </t>
    </r>
    <r>
      <rPr>
        <b/>
        <sz val="10"/>
        <rFont val="Arial"/>
        <family val="2"/>
      </rPr>
      <t xml:space="preserve">1352
</t>
    </r>
    <r>
      <rPr>
        <b/>
        <sz val="10"/>
        <color rgb="FF0000FF"/>
        <rFont val="Arial"/>
        <family val="2"/>
      </rPr>
      <t xml:space="preserve">+ 
</t>
    </r>
    <r>
      <rPr>
        <sz val="10"/>
        <color rgb="FF0000FF"/>
        <rFont val="Arial"/>
        <family val="2"/>
      </rPr>
      <t>ICP 982 (Rev 1) &amp; 
PSP Pathways</t>
    </r>
  </si>
  <si>
    <r>
      <t xml:space="preserve">AMENDED 
IC 982 (Rev 1)
</t>
    </r>
    <r>
      <rPr>
        <sz val="8"/>
        <color rgb="FF0000FF"/>
        <rFont val="Arial"/>
        <family val="2"/>
      </rPr>
      <t>+
ICN.N 1352</t>
    </r>
  </si>
  <si>
    <t>D1574</t>
  </si>
  <si>
    <t>PC18/0768</t>
  </si>
  <si>
    <t>Building Work: EarthCert Building Approvals
Number: 180229</t>
  </si>
  <si>
    <t>5 Johnson Court 
COOROY QLD 4563</t>
  </si>
  <si>
    <t>Lot 13 SP 199350</t>
  </si>
  <si>
    <t>RAL18/0012</t>
  </si>
  <si>
    <t>ES Sivek &amp; TL Sivek</t>
  </si>
  <si>
    <t>Lot 5 RP 35066</t>
  </si>
  <si>
    <t>2 x Residential Detached House Lots</t>
  </si>
  <si>
    <t>1 x Residential Detached House Lots</t>
  </si>
  <si>
    <r>
      <rPr>
        <strike/>
        <sz val="10"/>
        <rFont val="Arial"/>
        <family val="2"/>
      </rPr>
      <t>21/11/2018</t>
    </r>
    <r>
      <rPr>
        <sz val="10"/>
        <rFont val="Arial"/>
        <family val="2"/>
      </rPr>
      <t xml:space="preserve">
</t>
    </r>
    <r>
      <rPr>
        <strike/>
        <sz val="10"/>
        <color rgb="FF0000FF"/>
        <rFont val="Arial"/>
        <family val="2"/>
      </rPr>
      <t>30/11/2018</t>
    </r>
    <r>
      <rPr>
        <sz val="10"/>
        <color rgb="FF0000FF"/>
        <rFont val="Arial"/>
        <family val="2"/>
      </rPr>
      <t xml:space="preserve">
14/12/2018</t>
    </r>
  </si>
  <si>
    <t>Amendment due to Representations dated 29/11/2018
Correction to typo error Net Amount Payable dated 14/12/2018</t>
  </si>
  <si>
    <t>D2105</t>
  </si>
  <si>
    <t>December 2018 Total =</t>
  </si>
  <si>
    <t>D2015</t>
  </si>
  <si>
    <t>D2016</t>
  </si>
  <si>
    <t>PC18/1374</t>
  </si>
  <si>
    <t>Building Work: Cooloola Building Approvals
Number: CBA6210</t>
  </si>
  <si>
    <t xml:space="preserve">Asset Cabins &amp; Homes Pty Ltd
</t>
  </si>
  <si>
    <t>11 Langton Road
GYMPIE QLD 4570</t>
  </si>
  <si>
    <t>Lot 25 SP 103379</t>
  </si>
  <si>
    <t>D2379</t>
  </si>
  <si>
    <t>D2880</t>
  </si>
  <si>
    <t>D2922</t>
  </si>
  <si>
    <r>
      <rPr>
        <b/>
        <sz val="10"/>
        <color rgb="FF0000FF"/>
        <rFont val="Arial"/>
        <family val="2"/>
      </rPr>
      <t xml:space="preserve">N </t>
    </r>
    <r>
      <rPr>
        <b/>
        <sz val="10"/>
        <rFont val="Arial"/>
        <family val="2"/>
      </rPr>
      <t xml:space="preserve">1229
</t>
    </r>
    <r>
      <rPr>
        <b/>
        <sz val="10"/>
        <color rgb="FFFF0000"/>
        <rFont val="Arial"/>
        <family val="2"/>
      </rPr>
      <t xml:space="preserve">
IA 65 FINALStage Pmt 6
DUE 20 Dec 2019</t>
    </r>
  </si>
  <si>
    <r>
      <t xml:space="preserve">453
</t>
    </r>
    <r>
      <rPr>
        <b/>
        <sz val="10"/>
        <color rgb="FFFF0000"/>
        <rFont val="Arial"/>
        <family val="2"/>
      </rPr>
      <t>IA 64 FINALSTAGE Pmt 5 
Due 30 JUNE 2019</t>
    </r>
  </si>
  <si>
    <r>
      <rPr>
        <b/>
        <sz val="10"/>
        <color rgb="FF0000FF"/>
        <rFont val="Arial"/>
        <family val="2"/>
      </rPr>
      <t xml:space="preserve">N </t>
    </r>
    <r>
      <rPr>
        <b/>
        <sz val="10"/>
        <rFont val="Arial"/>
        <family val="2"/>
      </rPr>
      <t xml:space="preserve">1245
</t>
    </r>
    <r>
      <rPr>
        <b/>
        <sz val="10"/>
        <color rgb="FFFF0000"/>
        <rFont val="Arial"/>
        <family val="2"/>
      </rPr>
      <t>IA 66 FINALStage Pmt 5
Due 20 December 2019</t>
    </r>
  </si>
  <si>
    <r>
      <rPr>
        <b/>
        <sz val="10"/>
        <color rgb="FF0000FF"/>
        <rFont val="Arial"/>
        <family val="2"/>
      </rPr>
      <t xml:space="preserve">N </t>
    </r>
    <r>
      <rPr>
        <b/>
        <sz val="10"/>
        <rFont val="Arial"/>
        <family val="2"/>
      </rPr>
      <t xml:space="preserve">1245
</t>
    </r>
    <r>
      <rPr>
        <b/>
        <sz val="10"/>
        <color rgb="FFFF0000"/>
        <rFont val="Arial"/>
        <family val="2"/>
      </rPr>
      <t>IA 66 Stage Pmt 4 
Due 30 June 2019</t>
    </r>
  </si>
  <si>
    <r>
      <rPr>
        <b/>
        <sz val="10"/>
        <color rgb="FF0000FF"/>
        <rFont val="Arial"/>
        <family val="2"/>
      </rPr>
      <t xml:space="preserve">N </t>
    </r>
    <r>
      <rPr>
        <b/>
        <sz val="10"/>
        <rFont val="Arial"/>
        <family val="2"/>
      </rPr>
      <t xml:space="preserve">1345
</t>
    </r>
    <r>
      <rPr>
        <b/>
        <sz val="10"/>
        <color rgb="FFFF0000"/>
        <rFont val="Arial"/>
        <family val="2"/>
      </rPr>
      <t>IA 72 Stage Pmt 3
DUE: 30 June2019</t>
    </r>
  </si>
  <si>
    <t>D2748</t>
  </si>
  <si>
    <r>
      <rPr>
        <b/>
        <sz val="10"/>
        <color rgb="FF0000FF"/>
        <rFont val="Arial"/>
        <family val="2"/>
      </rPr>
      <t xml:space="preserve">N </t>
    </r>
    <r>
      <rPr>
        <b/>
        <sz val="10"/>
        <rFont val="Arial"/>
        <family val="2"/>
      </rPr>
      <t xml:space="preserve">1310
</t>
    </r>
    <r>
      <rPr>
        <b/>
        <sz val="10"/>
        <color rgb="FFFF0000"/>
        <rFont val="Arial"/>
        <family val="2"/>
      </rPr>
      <t>DUE 28 JAN 2019</t>
    </r>
  </si>
  <si>
    <r>
      <rPr>
        <b/>
        <sz val="10"/>
        <color rgb="FF0000FF"/>
        <rFont val="Arial"/>
        <family val="2"/>
      </rPr>
      <t xml:space="preserve">N </t>
    </r>
    <r>
      <rPr>
        <b/>
        <sz val="10"/>
        <rFont val="Arial"/>
        <family val="2"/>
      </rPr>
      <t xml:space="preserve">1277
</t>
    </r>
    <r>
      <rPr>
        <sz val="10"/>
        <color rgb="FF0000FF"/>
        <rFont val="Arial"/>
        <family val="2"/>
      </rPr>
      <t xml:space="preserve">(Negiotiated Decision Representations)
</t>
    </r>
    <r>
      <rPr>
        <sz val="10"/>
        <color rgb="FFFF0000"/>
        <rFont val="Arial"/>
        <family val="2"/>
      </rPr>
      <t xml:space="preserve">
</t>
    </r>
    <r>
      <rPr>
        <b/>
        <sz val="10"/>
        <color rgb="FFFF0000"/>
        <rFont val="Arial"/>
        <family val="2"/>
      </rPr>
      <t>CoC finalised 26/9/2018</t>
    </r>
    <r>
      <rPr>
        <sz val="10"/>
        <color rgb="FFFF0000"/>
        <rFont val="Arial"/>
        <family val="2"/>
      </rPr>
      <t xml:space="preserve">
</t>
    </r>
    <r>
      <rPr>
        <b/>
        <sz val="10"/>
        <color rgb="FFFF0000"/>
        <rFont val="Arial"/>
        <family val="2"/>
      </rPr>
      <t>PAYMENT DUE 
28/01/2019</t>
    </r>
  </si>
  <si>
    <r>
      <rPr>
        <b/>
        <sz val="10"/>
        <color rgb="FFFF0000"/>
        <rFont val="Arial"/>
        <family val="2"/>
      </rPr>
      <t>NOTE TO INSPECT</t>
    </r>
    <r>
      <rPr>
        <sz val="10"/>
        <color rgb="FFFF0000"/>
        <rFont val="Arial"/>
        <family val="2"/>
      </rPr>
      <t xml:space="preserve">
PC18/0084 BA issued 24/01/2018 with incorrect media rooms
Updated plans 06/02/2018 correcting to open media rooms. </t>
    </r>
  </si>
  <si>
    <t>JANUARY 2019
Total =</t>
  </si>
  <si>
    <t>Building Work: Pacific BCQ Approval 
Number: 20180245</t>
  </si>
  <si>
    <t>BRAD &amp; SAM HOPPER</t>
  </si>
  <si>
    <t xml:space="preserve">C/- SHAUN LOCKYER ARCHITECTS PTY LTD 2/22 WYANDRA STREET
NEWSTEAD QLD 4006
</t>
  </si>
  <si>
    <t>Lot 794 RP 48111</t>
  </si>
  <si>
    <t>24 Arakoon Crescent, SUNSHINE BEACH QLD 4567</t>
  </si>
  <si>
    <t>Detached House = 1 Dwelling House + 1 x Secondary Dwelling on 2 floor</t>
  </si>
  <si>
    <t>D5396</t>
  </si>
  <si>
    <t>CPI Sept 2019</t>
  </si>
  <si>
    <r>
      <t xml:space="preserve">IA 43
</t>
    </r>
    <r>
      <rPr>
        <sz val="10"/>
        <color rgb="FF0000FF"/>
        <rFont val="Arial"/>
        <family val="2"/>
      </rPr>
      <t xml:space="preserve">Infrastructure Agreement Missing Networks due for payment on completion
</t>
    </r>
    <r>
      <rPr>
        <i/>
        <sz val="10"/>
        <color rgb="FF0000FF"/>
        <rFont val="Arial"/>
        <family val="2"/>
      </rPr>
      <t xml:space="preserve">(NOTE: ICP 159 &amp; Pathways already paid 4/09/2017 on original approval to gain OP works approval)
</t>
    </r>
    <r>
      <rPr>
        <b/>
        <i/>
        <sz val="10"/>
        <color rgb="FFFF0000"/>
        <rFont val="Arial"/>
        <family val="2"/>
      </rPr>
      <t>PAYMENT DUE 
30 JAN 2019</t>
    </r>
  </si>
  <si>
    <t>PC18/1531</t>
  </si>
  <si>
    <t>Building Work: Project BA Approval No. 20181777</t>
  </si>
  <si>
    <t>Southern Cross Sheds</t>
  </si>
  <si>
    <t xml:space="preserve">1251A Nambour-Connection Road 
Kulangoor QLD 4560
</t>
  </si>
  <si>
    <t>Lot 77 SP 298776</t>
  </si>
  <si>
    <t>561 Eumundi Noosa Rd, DOONAN QLD 4562</t>
  </si>
  <si>
    <t xml:space="preserve">New 6m x 12m Works Shed/Lunch Room (Crib Room) 
= Industrial business • Type 2 Production, alteration, repackaging and repairing = 72m2 gfa
</t>
  </si>
  <si>
    <t>D6922</t>
  </si>
  <si>
    <t>Stage 1 =
Rural (res) lot with farm shed
Stormwater Impervious area = 146 m3</t>
  </si>
  <si>
    <t>Stage 1 =
Rural (res) lot with farm shed
Stormwater Impervious area = 146 m4</t>
  </si>
  <si>
    <r>
      <rPr>
        <b/>
        <sz val="11"/>
        <color rgb="FF0000FF"/>
        <rFont val="Arial"/>
        <family val="2"/>
      </rPr>
      <t xml:space="preserve">N </t>
    </r>
    <r>
      <rPr>
        <b/>
        <sz val="11"/>
        <rFont val="Arial"/>
        <family val="2"/>
      </rPr>
      <t xml:space="preserve">1200
</t>
    </r>
    <r>
      <rPr>
        <b/>
        <sz val="11"/>
        <color rgb="FF0000FF"/>
        <rFont val="Arial"/>
        <family val="2"/>
      </rPr>
      <t>(Stage 1)</t>
    </r>
    <r>
      <rPr>
        <b/>
        <sz val="11"/>
        <rFont val="Arial"/>
        <family val="2"/>
      </rPr>
      <t xml:space="preserve">
</t>
    </r>
    <r>
      <rPr>
        <b/>
        <sz val="11"/>
        <color rgb="FFFF0000"/>
        <rFont val="Arial"/>
        <family val="2"/>
      </rPr>
      <t>IA 74 Staged Pmt 1 
DUE 30 JAN 2019</t>
    </r>
  </si>
  <si>
    <r>
      <rPr>
        <strike/>
        <sz val="10"/>
        <rFont val="Arial"/>
        <family val="2"/>
      </rPr>
      <t>Noosa Town Planning</t>
    </r>
    <r>
      <rPr>
        <sz val="10"/>
        <rFont val="Arial"/>
        <family val="2"/>
      </rPr>
      <t xml:space="preserve">
GE Morrill &amp; DG Morrill </t>
    </r>
  </si>
  <si>
    <r>
      <rPr>
        <strike/>
        <sz val="10"/>
        <rFont val="Arial"/>
        <family val="2"/>
      </rPr>
      <t>1/75 Main Ave
WILSTON  QLD  4051</t>
    </r>
    <r>
      <rPr>
        <sz val="10"/>
        <rFont val="Arial"/>
        <family val="2"/>
      </rPr>
      <t xml:space="preserve">
15 Sallwood Ct PINBARREN  QLD 4568</t>
    </r>
  </si>
  <si>
    <t xml:space="preserve">GE Morrill &amp; DG Morrill </t>
  </si>
  <si>
    <t>STAGE 1 Staged Payment No. 1</t>
  </si>
  <si>
    <t>STAGE 1 Staged Payment No. 2</t>
  </si>
  <si>
    <r>
      <rPr>
        <b/>
        <sz val="10"/>
        <color rgb="FF0000FF"/>
        <rFont val="Arial"/>
        <family val="2"/>
      </rPr>
      <t xml:space="preserve">N </t>
    </r>
    <r>
      <rPr>
        <b/>
        <sz val="10"/>
        <rFont val="Arial"/>
        <family val="2"/>
      </rPr>
      <t xml:space="preserve">1253
</t>
    </r>
    <r>
      <rPr>
        <sz val="10"/>
        <color rgb="FFFF0000"/>
        <rFont val="Arial"/>
        <family val="2"/>
      </rPr>
      <t>PC18/0285 CoC 6/11/2018</t>
    </r>
    <r>
      <rPr>
        <b/>
        <sz val="10"/>
        <color rgb="FFFF0000"/>
        <rFont val="Arial"/>
        <family val="2"/>
      </rPr>
      <t xml:space="preserve">
PAYMENT DUE 
 Ext to 21 Jan 2019</t>
    </r>
  </si>
  <si>
    <t>Outside PIA = Stormwater is not applicable
Development is for use by Resource Recovery Australia a Charitable Community Organisation for recycling service &amp; education of School age students and upskilling retired people</t>
  </si>
  <si>
    <t>51992.213.02
(Change to Existing)</t>
  </si>
  <si>
    <t>Scout Association Australia QLD Branch Inc</t>
  </si>
  <si>
    <t>PO Box 1501
NOOSAVILLE DC QLD 4566</t>
  </si>
  <si>
    <t>11 Eumundi Noosa Rd NOOSAVILLE QLD 4566</t>
  </si>
  <si>
    <t xml:space="preserve">Open Space - Type 1 Sport and Recreation = Shade Shelter Shed (9m x 6m = 54 m2 GFA) + Ablution Block (7.2m x 6m = 43.20 m2 GFA) = additional 97 m2 gfa &amp; Impervious area </t>
  </si>
  <si>
    <t>PC18/1249</t>
  </si>
  <si>
    <t>Building Work: Pacific BCQ Approval 
Number: 20180072</t>
  </si>
  <si>
    <t>Lot 5 RP 807400</t>
  </si>
  <si>
    <t>Mr CA &amp; Mrs JM Betts</t>
  </si>
  <si>
    <t>PC18/1445</t>
  </si>
  <si>
    <t>Building Work: GJ Gardener Homes Sunshine Coast North Approval 
Number: 00003904</t>
  </si>
  <si>
    <t>GJ Gardener Homes Sunshine Coast North</t>
  </si>
  <si>
    <t>NOOSA Pacific
17/24 Munna Cres
NOOSAVILLE  QLD  4566</t>
  </si>
  <si>
    <t>2/171 Eumundi Noosa Road
NOOSAVILLE QLD 4566</t>
  </si>
  <si>
    <t>D11361</t>
  </si>
  <si>
    <t>COC issued 25/11/2017</t>
  </si>
  <si>
    <t>Christine Berghofer</t>
  </si>
  <si>
    <t>C/- Plansmart Development Solutions
PO Box 989
GYMPIE QLD 4570</t>
  </si>
  <si>
    <t>Lot 1 RP 173690</t>
  </si>
  <si>
    <t xml:space="preserve">1 x Secondary Dwelling </t>
  </si>
  <si>
    <t>Nil - addition to existing detached house</t>
  </si>
  <si>
    <t>Final Inspection Certificate issued 18 Decemmber 2018</t>
  </si>
  <si>
    <t>D11972</t>
  </si>
  <si>
    <t>PC18/1267</t>
  </si>
  <si>
    <t>Lot 3 RP 204110</t>
  </si>
  <si>
    <t>19 Arthys Road
COORAN QLD 4569</t>
  </si>
  <si>
    <t>D14134</t>
  </si>
  <si>
    <t>D14137</t>
  </si>
  <si>
    <t>D17559</t>
  </si>
  <si>
    <t>FEBRUARY 2019
Total =</t>
  </si>
  <si>
    <r>
      <rPr>
        <strike/>
        <sz val="10"/>
        <rFont val="Arial"/>
        <family val="2"/>
      </rPr>
      <t>14/08/2018</t>
    </r>
    <r>
      <rPr>
        <sz val="10"/>
        <rFont val="Arial"/>
        <family val="2"/>
      </rPr>
      <t xml:space="preserve">
</t>
    </r>
    <r>
      <rPr>
        <sz val="10"/>
        <color rgb="FF0000FF"/>
        <rFont val="Arial"/>
        <family val="2"/>
      </rPr>
      <t>7/02/2019</t>
    </r>
  </si>
  <si>
    <r>
      <rPr>
        <strike/>
        <sz val="10"/>
        <rFont val="Arial"/>
        <family val="2"/>
      </rPr>
      <t>MCU18/0074</t>
    </r>
    <r>
      <rPr>
        <sz val="10"/>
        <rFont val="Arial"/>
        <family val="2"/>
      </rPr>
      <t xml:space="preserve">
</t>
    </r>
    <r>
      <rPr>
        <sz val="10"/>
        <color rgb="FF0000FF"/>
        <rFont val="Arial"/>
        <family val="2"/>
      </rPr>
      <t>MCU18/0074.01</t>
    </r>
  </si>
  <si>
    <r>
      <rPr>
        <strike/>
        <sz val="10"/>
        <rFont val="Arial"/>
        <family val="2"/>
      </rPr>
      <t>14/08/2024</t>
    </r>
    <r>
      <rPr>
        <sz val="10"/>
        <rFont val="Arial"/>
        <family val="2"/>
      </rPr>
      <t xml:space="preserve">
</t>
    </r>
    <r>
      <rPr>
        <sz val="10"/>
        <color rgb="FF0000FF"/>
        <rFont val="Arial"/>
        <family val="2"/>
      </rPr>
      <t>7/02/2025</t>
    </r>
  </si>
  <si>
    <r>
      <t xml:space="preserve">Material Change of Use for Commercial Business Type 1 (Office) = </t>
    </r>
    <r>
      <rPr>
        <strike/>
        <sz val="10"/>
        <rFont val="Arial"/>
        <family val="2"/>
      </rPr>
      <t>319</t>
    </r>
    <r>
      <rPr>
        <sz val="10"/>
        <rFont val="Arial"/>
        <family val="2"/>
      </rPr>
      <t xml:space="preserve"> </t>
    </r>
    <r>
      <rPr>
        <sz val="10"/>
        <color rgb="FF0000FF"/>
        <rFont val="Arial"/>
        <family val="2"/>
      </rPr>
      <t xml:space="preserve">298m2 </t>
    </r>
    <r>
      <rPr>
        <sz val="10"/>
        <rFont val="Arial"/>
        <family val="2"/>
      </rPr>
      <t>GFA per plans
Impervious Area = 607m2 lot area less 99m2 landscaping per plans = 508m2 impervious area</t>
    </r>
  </si>
  <si>
    <t>Amendment due to Change Approval</t>
  </si>
  <si>
    <t xml:space="preserve">53 Mary Street
NOOSAVILLE QLD 4566 </t>
  </si>
  <si>
    <t>22 Ferris Street
SUNSHINE BEACH QLD 4567</t>
  </si>
  <si>
    <t xml:space="preserve">13 George Street
NOOSAVILLE QLD 4566 </t>
  </si>
  <si>
    <t>121 Werin Street
TEWANTIN QLD 4565</t>
  </si>
  <si>
    <t>5 Seamist Court
SUNSHINE BEACH QLD 4567</t>
  </si>
  <si>
    <t>25 Belleden Place
COOROY QLD 4563</t>
  </si>
  <si>
    <t>MCU18/0093</t>
  </si>
  <si>
    <t>Mount Cooroora Eco Retreat</t>
  </si>
  <si>
    <t>30 Kellehers Rd
POMONA QLD 4568</t>
  </si>
  <si>
    <t>Lot 2 RP 214468</t>
  </si>
  <si>
    <t>30 Kellehers Rd,
POMONA QLD 4568</t>
  </si>
  <si>
    <t>Visitor accommodation
• Type 3 Rural = 1 or 2 Bed cabins x 6</t>
  </si>
  <si>
    <t>Nil 
additional to existing</t>
  </si>
  <si>
    <t>54 Pines Road 
COOROY QLD 4563</t>
  </si>
  <si>
    <t>1/32 Hastings Street
NOOSA HEADS  QLD 4567</t>
  </si>
  <si>
    <t>82 McKinnon Drive &amp;
100 McKinnon Drive 
TEWANTIN QLD 4565</t>
  </si>
  <si>
    <t>30 The Cockleshell
NOOSAVILLE QLD 4566</t>
  </si>
  <si>
    <t>25 Grant Street
NOOSA HEADS QLD 4567</t>
  </si>
  <si>
    <t>2 Emerald Street
COOROY QLD 4563</t>
  </si>
  <si>
    <t>279 Gympie Terrace
NOOSAVILLE QLD 4566</t>
  </si>
  <si>
    <t>16 Serenity Close 
NOOSA HEADS QLD 4567</t>
  </si>
  <si>
    <r>
      <rPr>
        <strike/>
        <sz val="10"/>
        <rFont val="Arial"/>
        <family val="2"/>
      </rPr>
      <t>Links Drive 
NOOSA HEADS (formerly Leslie Dr)</t>
    </r>
    <r>
      <rPr>
        <sz val="10"/>
        <rFont val="Arial"/>
        <family val="2"/>
      </rPr>
      <t xml:space="preserve">
75 Resort Drive 
NOOSA HEADS QLD 4567</t>
    </r>
  </si>
  <si>
    <t>1 Factory Street
POMONA QLD 4568</t>
  </si>
  <si>
    <t>63 St Andrews Drive
TEWANTIN QLD 4565</t>
  </si>
  <si>
    <t>253 Uhlmanns Rd 
FEDERAL QLD 4568</t>
  </si>
  <si>
    <t>66 Noosa Dr 
NOOSA HEADS QLD 4567</t>
  </si>
  <si>
    <t>6 Heron St 
PEREGIAN BEACH QLD 4573</t>
  </si>
  <si>
    <t>91 &amp; 93 Eumundi Noosa Rd 
NOOSAVILLE QLD 4566</t>
  </si>
  <si>
    <t>191 Hollett Rd 
NOOSAVILLE QLD 4566</t>
  </si>
  <si>
    <t>93 Black Pinch Rd 
POMONA QLD 4568</t>
  </si>
  <si>
    <t>3 Lanyana Way 
NOOSA HEADS QLD 4567</t>
  </si>
  <si>
    <t>126 Gympie Tce, 
NOOSAVILLE, QLD 4566</t>
  </si>
  <si>
    <t xml:space="preserve">178 Eumundi Noosa Rd 
NOOSAVILLE QLD 4566 </t>
  </si>
  <si>
    <t>42 &amp; 44 Pottery Street 
POMONA QLD 4568</t>
  </si>
  <si>
    <t>Noosa Metro Innovation Park 11/100 Rene St 
NOOSAVILLE QLD 4566</t>
  </si>
  <si>
    <t>30 Beach Rd, 
Noosa North Shore</t>
  </si>
  <si>
    <t>30 &amp; 32 Doonella Street
TEWANTIN QLD 4565</t>
  </si>
  <si>
    <t xml:space="preserve">St Teresa's Catholic College 45 Sea Eagle Dr 
NOOSAVILLE  QLD  4566 </t>
  </si>
  <si>
    <t>24 &amp; 27 Yatama Pl 
COOROIBAH QLD 4565</t>
  </si>
  <si>
    <t xml:space="preserve">14 Serenity Cl 
NOOSA HEADS  QLD  4567 </t>
  </si>
  <si>
    <t xml:space="preserve">12 Serenity Cl 
NOOSA HEADS  QLD  4567 </t>
  </si>
  <si>
    <t>8 Illoura Pl 
COOROIBAH  QLD  4565</t>
  </si>
  <si>
    <t>5 Garnet St 
COOROY  QLD  4563</t>
  </si>
  <si>
    <t xml:space="preserve">Bicentennial Hall Bicentennial Dr
SUNSHINE BEACH QLD 4567 </t>
  </si>
  <si>
    <t>12 Opal St 
COOROY  QLD  4563</t>
  </si>
  <si>
    <t>71 Eumundi Noosa Rd 
+
2 Ely St 
NOOSAVILLE  QLD  4566</t>
  </si>
  <si>
    <t>58 Gateway Drive 
NOOSAVILLE QLD 4566</t>
  </si>
  <si>
    <t>11 Crystal Street
COOROY QLD 4563</t>
  </si>
  <si>
    <t>468 McKinnon Drive
COOROIBAH QLD 4565</t>
  </si>
  <si>
    <t xml:space="preserve">32 Nannygai St 
NOOSAVILLE  QLD  4566 </t>
  </si>
  <si>
    <t>6 Taylor Court 
COOROY QLD 4563</t>
  </si>
  <si>
    <t>3 - 7 Serenity Close 
NOOSA HEADS QLD 4567</t>
  </si>
  <si>
    <t xml:space="preserve">42 Hofmann Dr 
NOOSAVILLE  QLD  4566 </t>
  </si>
  <si>
    <t>1 Kingsgate Dr 
TINBEERWAH</t>
  </si>
  <si>
    <t>11 Opal Street 
COOROY QLD 4563</t>
  </si>
  <si>
    <t>14 Ann Street
NOOSAVILLE QLD 4566</t>
  </si>
  <si>
    <t>52 Gevers Road
BLACK MOUNTAIN QLD 4568</t>
  </si>
  <si>
    <t>4 George Street 
NOOSAVILLE QLD 4566</t>
  </si>
  <si>
    <t>35 Outlook Drive
NOOSAVILLE QLD 4566</t>
  </si>
  <si>
    <t>111 &amp; 113 Gympie Terrace NOOSAVILLE QLD 4566</t>
  </si>
  <si>
    <t>39 Tingira Cres 
SUNRISE BEACH  QLD 4567</t>
  </si>
  <si>
    <t>40-42 Lancaster Lane
COOROIBAH QLD 4565</t>
  </si>
  <si>
    <t>17 McAnally Drive
SUNSHINE BEACH QLD 4567</t>
  </si>
  <si>
    <t>87 Hendry Street
TEWANTIN QLD 4565</t>
  </si>
  <si>
    <t>58 Pavilion Street
POMONA QLD 4568</t>
  </si>
  <si>
    <t>3 Lowry Street
PEREGIAN BEACH QLD 4573</t>
  </si>
  <si>
    <t xml:space="preserve">139 Eumundi Noosa Rd NOOSAVILLE QLD 4566  </t>
  </si>
  <si>
    <t>90 Goodchap Street NOOSAVILLE QLD 4566</t>
  </si>
  <si>
    <t>6 Moorindil Street
TEWANTIN QLD 4565</t>
  </si>
  <si>
    <t>Unit 20 / 30 Hastings Street NOOSA HEADS QLD 4567</t>
  </si>
  <si>
    <t>30 &amp; 32 Doonella Street TEWANTIN QLD 4565</t>
  </si>
  <si>
    <t>579 Cooroy Noosa Road
TINBEERWAH QLD 4563</t>
  </si>
  <si>
    <t>35 SAUNDERS DRIVE 
COORAN QLD 4569</t>
  </si>
  <si>
    <t>19 Laguna Street 
BOREEN POINT QLD 4565</t>
  </si>
  <si>
    <t>31 Gouldian Court
PEREGIAN BEACH QLD 4567</t>
  </si>
  <si>
    <t>62 Rene St 
NOOSAVILLE QLD 4566</t>
  </si>
  <si>
    <t>3 Vision Court 
NOOSAVILLE QLD 4566</t>
  </si>
  <si>
    <t>14 Spinnaker St 
TEWANTIN QLD 4565</t>
  </si>
  <si>
    <t>269 Beddington Road
DOONAN QLD 4562</t>
  </si>
  <si>
    <t>67 &amp; 71 Garnet Street
COOROY QLD 4563</t>
  </si>
  <si>
    <t>21 Tingara Court
TEWANTIN QLD 4565</t>
  </si>
  <si>
    <t>23 Church Street 
POMONA QLD 4568</t>
  </si>
  <si>
    <t>36 Booyong Drive
BLACK MOUNTAIN QLD 4563</t>
  </si>
  <si>
    <t>30 Junction Road 
COOTHARABA QLD 4565</t>
  </si>
  <si>
    <t>44 Tewah Road 
BOREEN POINT QLD 4565</t>
  </si>
  <si>
    <t>607 Cootharaba Road COOTHARABA QLD 4565</t>
  </si>
  <si>
    <t>28 Mahogany Drive
MARCUS BEACH QLD 4567</t>
  </si>
  <si>
    <t>5 Taylor Court 
COOROY QLD 4536</t>
  </si>
  <si>
    <t>14 &amp; 16 Mary Street NOOSAVILLE QLD 4566</t>
  </si>
  <si>
    <t>15 Garnet Street
COOROY QLD 4563</t>
  </si>
  <si>
    <t>24 Musa Vale Rd 
COOROY QLD 4563</t>
  </si>
  <si>
    <t>2 Lorikeet Drive 
PEREGIAN BEACH QLD 4573</t>
  </si>
  <si>
    <t>35 Lorilet St 
PEREGIAN BEACH QLD 4573</t>
  </si>
  <si>
    <t>312 Teewah Beach Road NOOSA NORTH SHORE QLD 4565</t>
  </si>
  <si>
    <t>31 Foxtail Rise
DOONAN QLD 4562</t>
  </si>
  <si>
    <t>20 Trading Post Rd, 
COOROY QLD 4563</t>
  </si>
  <si>
    <t>5 Opal St 
COOROY QLD 4563</t>
  </si>
  <si>
    <t>99 Binalong Road 
PINBARREN QLD 4568</t>
  </si>
  <si>
    <t>15 Ramsey Street
COOROIBAH QLD 4565</t>
  </si>
  <si>
    <t>24 Olivine Lane 
COOROY QLD 4563</t>
  </si>
  <si>
    <t>1 Pottery Street
POMONA QLD 4568</t>
  </si>
  <si>
    <t>69 Pheasant Lane 
DOONAN QLD 4562</t>
  </si>
  <si>
    <t>61 Hastings St, 
NOOSA HEADS QLD 4567</t>
  </si>
  <si>
    <t>297 Sister Tree Creek Rd 
KIN KIN QLD 4571</t>
  </si>
  <si>
    <t>16 Orient Dr 
SUNRISE BEACH QLD 4567</t>
  </si>
  <si>
    <t>33 Blackbean Ct 
BLACK MOUNTAIN  QLD 4563</t>
  </si>
  <si>
    <t>PC18/1293</t>
  </si>
  <si>
    <t>Jason Hooper</t>
  </si>
  <si>
    <t>15 Orealla Crescent
SUNRISE BEACH QLD 4567</t>
  </si>
  <si>
    <t>Lot 230 RP 225295</t>
  </si>
  <si>
    <t>PC19/0132</t>
  </si>
  <si>
    <t>Building Work: EarthCert Building Approvals
Number: 180382</t>
  </si>
  <si>
    <t>Building Work: EarthCert Building Approvals
Number: 180388</t>
  </si>
  <si>
    <t>Building Wok:  
Noosa Building Approvals 
Number 20180335</t>
  </si>
  <si>
    <t>WL &amp; SK Howard</t>
  </si>
  <si>
    <t>38 Boronia Road
COOTHARABA QLD 4565</t>
  </si>
  <si>
    <t>Lot 9 SP 116696</t>
  </si>
  <si>
    <t>1 Elanora Terrace
NOOSA HEADS QLD 4567</t>
  </si>
  <si>
    <t>68 Top Forestry Road
RIDGEWOOD QLD 4563</t>
  </si>
  <si>
    <t>10 Rectory Street 
POMONA QLD 4568</t>
  </si>
  <si>
    <t>52, 54, 56, 58, 60 &amp; 62 Goodchap Street &amp;
3, 5, 7, 9 &amp; 11 Val Crescent NOOSAVILLE QLD 4566</t>
  </si>
  <si>
    <t>9 Ann Street, 
NOOSAVILLE QLD 4566</t>
  </si>
  <si>
    <t>340 Pomona Kin Kin Rd PINBARREN QLD 4568</t>
  </si>
  <si>
    <t>9 Kauri St 
COOROY QLD 4563</t>
  </si>
  <si>
    <t>14 Martin St 
PEREGIAN BEACH QLD 4573</t>
  </si>
  <si>
    <t>44 Corsair Crescent, 
SUNRISE BEACH QLD 4567</t>
  </si>
  <si>
    <t>460 Pomona Kin Kin Road PINBARREN QLD 4568</t>
  </si>
  <si>
    <t>22 Lake Macdonald Drive
COOROY QLD 4563</t>
  </si>
  <si>
    <t>56 Main Street 
KIN KIN QLD 4571</t>
  </si>
  <si>
    <t>30 &amp; 32 The Cockleshell NOOSAVILLE QLD 4566</t>
  </si>
  <si>
    <t>14 Memorial Ave, 
POMONA QLD 4568</t>
  </si>
  <si>
    <t>7 Parkedge Rd 
SUNSHINE BEACH QLD 4567</t>
  </si>
  <si>
    <t>4 Vision Court, 
NOOSAVILLE QLD 4566</t>
  </si>
  <si>
    <t>11 Church Street 
POMONA QLD 4568</t>
  </si>
  <si>
    <t>19 Ann St 
NOOSAVILLE Qld 4566</t>
  </si>
  <si>
    <t>10 Hill Street 
SUNSHINE BEACH QLD 4567</t>
  </si>
  <si>
    <t>42 Poinciana Avenue, 
TEWANTIN QLD 4565</t>
  </si>
  <si>
    <t>8 Leo Alley Road 
NOOSAVILLE QLD 4566</t>
  </si>
  <si>
    <t>23 Venture Drive, 
NOOSAVILLE QLD 4566</t>
  </si>
  <si>
    <t>8 Vision Ct, 
NOOSAVILLE QLD 4566</t>
  </si>
  <si>
    <t>4 Jarrah Street 
COOROY QLD 4563</t>
  </si>
  <si>
    <t>26 Jorgensen Road 
RIDGEWOOD QLD 4563</t>
  </si>
  <si>
    <t>145 Lenehans Lane, 
DOONAN QLD 4562</t>
  </si>
  <si>
    <t>7 Illoura Pl 
COOROIBAH QLD 4565</t>
  </si>
  <si>
    <t>101 Eumundi Noosa Rd NOOSAVILLE QLD 4566</t>
  </si>
  <si>
    <t>168 Cootharaba Rd
COOTHARABA QLD 4565</t>
  </si>
  <si>
    <t>5/21-23 Production St 
NOOSAVILLE QLD 4566</t>
  </si>
  <si>
    <t>133 Lake Weyba Dr, 
NOOSAVILLE QLD 4566</t>
  </si>
  <si>
    <t>11 + 15 + 17 Hilton Terrace TEWANTIN QLD 4565</t>
  </si>
  <si>
    <t>35A Tait Street &amp; 20 Eagle Drive 
TEWANTIN QLD 4565</t>
  </si>
  <si>
    <t>8 Doonella Street 
TEWANTIN QLD 4565</t>
  </si>
  <si>
    <t>4 The Esplanade, 
SUNSHINE BEACH QLD 4567</t>
  </si>
  <si>
    <t>22 Lionel Donovan Drive 
NOOSAVILLE QLD 4566</t>
  </si>
  <si>
    <t>2 Hastings St 
NOOSA HEADS Qld 4567</t>
  </si>
  <si>
    <t>3 Corsair Cres, 
SUNRISE BEACH QLD 4567</t>
  </si>
  <si>
    <t>39 Pacific View Drive TINBEERWAH QLD 4563</t>
  </si>
  <si>
    <t>19 James Street, 
NOOSAVILLE QLD 4566</t>
  </si>
  <si>
    <t>4/1 Rene Street 
NOOSAVILLE QLD 4566</t>
  </si>
  <si>
    <t>8 Attunga Heights, 
NOOSA HEADS QLD 4567</t>
  </si>
  <si>
    <t>1 Kingsgate Drive 
TINBEERWAH QLD 4563</t>
  </si>
  <si>
    <t>17 Paldao Rise
PEREGIAN BEACH QLD 4573</t>
  </si>
  <si>
    <t>The Palms 706/61 Noosa Springs Drive 
NOOSA HEADS QLD 4567</t>
  </si>
  <si>
    <t>15 Sallwood Ct 
PINBARREN QLD 4568</t>
  </si>
  <si>
    <t>1 Werin St 
TEWANTIN QLD 4565</t>
  </si>
  <si>
    <t>8/14 Sunshine Beach Rd 
NOOSA HEADS QLD 4567</t>
  </si>
  <si>
    <t>30 Wallaby Lane, 
TINBEERWAH QLD 4563</t>
  </si>
  <si>
    <t xml:space="preserve">115 Eumundi Noosa Road 
NOOSAVILLE QLD 4566 </t>
  </si>
  <si>
    <r>
      <rPr>
        <sz val="10"/>
        <color rgb="FF0000FF"/>
        <rFont val="Arial"/>
        <family val="2"/>
      </rPr>
      <t>400/16 Noosa Drive, &amp;
500/16 Noosa Drive</t>
    </r>
    <r>
      <rPr>
        <sz val="10"/>
        <rFont val="Arial"/>
        <family val="2"/>
      </rPr>
      <t xml:space="preserve">
NOOSA HEADS QLD 4567</t>
    </r>
  </si>
  <si>
    <t xml:space="preserve">16 Sunshine Beach Road, 
NOOSA HEADS QLD 4567 </t>
  </si>
  <si>
    <t xml:space="preserve">317 Lawnville Road. 
BLACK MOUNTAIN QLD 4563 </t>
  </si>
  <si>
    <t>4 Crank St, 
SUNSHINE BEACH QLD 4567</t>
  </si>
  <si>
    <t>Mary Gibson 2 / 1 Gibson Rd NOOSAVILLE QLD 4566</t>
  </si>
  <si>
    <t>16 Jarrah St, COOROY QLD 4563</t>
  </si>
  <si>
    <t>26 Melia Lane POMONA QLD 4568</t>
  </si>
  <si>
    <t>20 Tamarine Court COOROIOBAH QLD 4565</t>
  </si>
  <si>
    <t>87 Griffith Ave, TEWANTIN QLD 4565</t>
  </si>
  <si>
    <t>4 Cicada Cl, TEWANTIN QLD 4565</t>
  </si>
  <si>
    <t>4 Woodlot Rs, TEWANTIN QLD 4565</t>
  </si>
  <si>
    <t>1 Langura Street, NOOSA HEADS qld 4567</t>
  </si>
  <si>
    <t>379 Eumundi Noosa Road, NOOSAVILLE QLD 4566</t>
  </si>
  <si>
    <t>64 Griffith Ave, TEWANTIN QLD 4565</t>
  </si>
  <si>
    <t>586 Cooroy Belli Creek Rd, 
BLACK MOUNTAIN QLD 4563</t>
  </si>
  <si>
    <t>532 Black Mountain Rd, 
COOROY QLD 4563</t>
  </si>
  <si>
    <t>3 Corsair Cres, SUNRISE BEACH QLD 4567</t>
  </si>
  <si>
    <t>7 Park Cres, SUNRISE BEACH QLD 4567</t>
  </si>
  <si>
    <t>5 Park Cres, SUNRISE BEACH QLD 4567</t>
  </si>
  <si>
    <t>26 Mary Street, NOOSAVILLE QLD 4566</t>
  </si>
  <si>
    <t>25 Grant Street, NOOSA HEADS QLD 4567</t>
  </si>
  <si>
    <t>19 Wattle Street COOROY QLD 4563</t>
  </si>
  <si>
    <t>176 Dath Henderson Road, LAKE MACDONALD QLD 4563</t>
  </si>
  <si>
    <r>
      <rPr>
        <strike/>
        <sz val="8"/>
        <rFont val="Arial"/>
        <family val="2"/>
      </rPr>
      <t>Links &amp; Leslie Dr</t>
    </r>
    <r>
      <rPr>
        <sz val="8"/>
        <rFont val="Arial"/>
        <family val="2"/>
      </rPr>
      <t xml:space="preserve">
75 Resort Drive 
NOOSA HEADS QLD 4567</t>
    </r>
  </si>
  <si>
    <t>8 Attunga Heights NOOSA HEADS QLD 4567</t>
  </si>
  <si>
    <t>18 Memorial Avenue 
POMONA QLD 4568</t>
  </si>
  <si>
    <r>
      <rPr>
        <strike/>
        <sz val="8"/>
        <rFont val="Arial"/>
        <family val="2"/>
      </rPr>
      <t xml:space="preserve">168 Maximillian Rd </t>
    </r>
    <r>
      <rPr>
        <sz val="8"/>
        <rFont val="Arial"/>
        <family val="2"/>
      </rPr>
      <t xml:space="preserve">
</t>
    </r>
    <r>
      <rPr>
        <sz val="8"/>
        <color rgb="FF0000FF"/>
        <rFont val="Arial"/>
        <family val="2"/>
      </rPr>
      <t>30 Beach Rd, NOOSA NORTH SHORE QLD 4565</t>
    </r>
  </si>
  <si>
    <r>
      <rPr>
        <strike/>
        <sz val="8"/>
        <rFont val="Arial"/>
        <family val="2"/>
      </rPr>
      <t xml:space="preserve">168 Maximillian Rd </t>
    </r>
    <r>
      <rPr>
        <sz val="8"/>
        <rFont val="Arial"/>
        <family val="2"/>
      </rPr>
      <t xml:space="preserve">
</t>
    </r>
    <r>
      <rPr>
        <sz val="8"/>
        <color rgb="FF0000FF"/>
        <rFont val="Arial"/>
        <family val="2"/>
      </rPr>
      <t>90 Beach Rd, NOOSA NORTH SHORE QLD 4565</t>
    </r>
  </si>
  <si>
    <t>49 Reserve Street POMONA QLD 4568</t>
  </si>
  <si>
    <t>142 Noosa Drive NOOSA HEADS QLD 4567</t>
  </si>
  <si>
    <t xml:space="preserve">
6/32 Hastings St
NOOSA HEADS QLD 4567
</t>
  </si>
  <si>
    <t>D McDougall &amp; CN McDougall</t>
  </si>
  <si>
    <t>Lot 41 RP 32777</t>
  </si>
  <si>
    <t>35 Myall Street, COOROY QLD 4563</t>
  </si>
  <si>
    <t>Multiple Housing Type 4 Conventional - 4 units (1 x 3 brm and 3 x 2 brm)</t>
  </si>
  <si>
    <t xml:space="preserve">Mulitple housing type 2 - duplex = 
3 or more bedroom units x 2                                                  </t>
  </si>
  <si>
    <t>5/100 Rene St 
NOOSAVILLE QLD 4566</t>
  </si>
  <si>
    <t>51901.4620.01</t>
  </si>
  <si>
    <t>NAC Johnstone Investments P/L TTE</t>
  </si>
  <si>
    <t xml:space="preserve">PO Box 2169 
NOOSAVILLE  BC QLD 4566  </t>
  </si>
  <si>
    <t>Lot 2 RP 131403</t>
  </si>
  <si>
    <t>34 Mary Street, NOOSAVILLE QLD 4566</t>
  </si>
  <si>
    <t xml:space="preserve">Mulitple housing type 4 - conventional = 
3 or more bedroom units x 1
+ 2 bedroom units x 1
+ 1 bedroom units x 3                                                  </t>
  </si>
  <si>
    <t xml:space="preserve">Mulitple housing type 4 - conventional = 
3 or more bedroom units x 1
+ 2 bedroom units x 1
+ 1 bedroom units x 2                                                  </t>
  </si>
  <si>
    <t>Charges Resolution Reference</t>
  </si>
  <si>
    <t>NSC AICR (No.1)</t>
  </si>
  <si>
    <t>NSC AICR (No.2)</t>
  </si>
  <si>
    <t>NSC CR (No.2) (Amend.1)</t>
  </si>
  <si>
    <t>NSC CR (No.3)</t>
  </si>
  <si>
    <t xml:space="preserve">NSC CR (No.2) </t>
  </si>
  <si>
    <t>SCRC AICR (No.3)</t>
  </si>
  <si>
    <t>SCRC AICR (No.4)</t>
  </si>
  <si>
    <t xml:space="preserve">SCRC AICR (No.2) </t>
  </si>
  <si>
    <t xml:space="preserve">SCRC AICR (No.1) </t>
  </si>
  <si>
    <t xml:space="preserve">NSC CR (No.2) 
</t>
  </si>
  <si>
    <t>SCRC AICR (No.2) (Rev.1)</t>
  </si>
  <si>
    <t xml:space="preserve">NSC CR (No.1) </t>
  </si>
  <si>
    <t xml:space="preserve">SCRC AICR (No.4) </t>
  </si>
  <si>
    <t xml:space="preserve">NSC CR (No.2) (Amend.1)
</t>
  </si>
  <si>
    <r>
      <t xml:space="preserve">NOTE:  </t>
    </r>
    <r>
      <rPr>
        <b/>
        <sz val="10"/>
        <color rgb="FF0000FF"/>
        <rFont val="Arial"/>
        <family val="2"/>
      </rPr>
      <t>Applicants</t>
    </r>
    <r>
      <rPr>
        <sz val="10"/>
        <color rgb="FF0000FF"/>
        <rFont val="Arial"/>
        <family val="2"/>
      </rPr>
      <t xml:space="preserve"> details were taken from </t>
    </r>
    <r>
      <rPr>
        <i/>
        <sz val="10"/>
        <color rgb="FF0000FF"/>
        <rFont val="Arial"/>
        <family val="2"/>
      </rPr>
      <t>"DA Form 2 – Building work details form"</t>
    </r>
    <r>
      <rPr>
        <sz val="10"/>
        <color rgb="FF0000FF"/>
        <rFont val="Arial"/>
        <family val="2"/>
      </rPr>
      <t xml:space="preserve"> as the </t>
    </r>
    <r>
      <rPr>
        <i/>
        <sz val="10"/>
        <color rgb="FF0000FF"/>
        <rFont val="Arial"/>
        <family val="2"/>
      </rPr>
      <t>"Decision Notice"</t>
    </r>
    <r>
      <rPr>
        <sz val="10"/>
        <color rgb="FF0000FF"/>
        <rFont val="Arial"/>
        <family val="2"/>
      </rPr>
      <t xml:space="preserve"> issued by Pure Building Approvals was issued generically to</t>
    </r>
    <r>
      <rPr>
        <i/>
        <sz val="10"/>
        <color rgb="FF0000FF"/>
        <rFont val="Arial"/>
        <family val="2"/>
      </rPr>
      <t xml:space="preserve"> "Applicant/ Submitter/ Referral Agency"</t>
    </r>
  </si>
  <si>
    <r>
      <rPr>
        <sz val="10"/>
        <color rgb="FFFF0000"/>
        <rFont val="Arial"/>
        <family val="2"/>
      </rPr>
      <t xml:space="preserve">Review of Representations 4/01/2018 resulted in CANCELLATION of ICN on 11/01/2018 on the grounds that the conversion of the existing carport/garage into a carport/studio is for use as an art/yoga studio </t>
    </r>
    <r>
      <rPr>
        <u/>
        <sz val="10"/>
        <color rgb="FFFF0000"/>
        <rFont val="Arial"/>
        <family val="2"/>
      </rPr>
      <t>and not for</t>
    </r>
    <r>
      <rPr>
        <b/>
        <u/>
        <sz val="10"/>
        <color rgb="FFFF0000"/>
        <rFont val="Arial"/>
        <family val="2"/>
      </rPr>
      <t xml:space="preserve"> </t>
    </r>
    <r>
      <rPr>
        <sz val="10"/>
        <color rgb="FFFF0000"/>
        <rFont val="Arial"/>
        <family val="2"/>
      </rPr>
      <t>self-contained or independent accommodation use.</t>
    </r>
  </si>
  <si>
    <t>AMENDED Approved plans dated 04/04/2017 removed the kitchenette &amp; is therfore no longer a secondary dwelling under the planning scheme</t>
  </si>
  <si>
    <r>
      <rPr>
        <sz val="10"/>
        <color rgb="FFFF0000"/>
        <rFont val="Arial"/>
        <family val="2"/>
      </rPr>
      <t>AMENDED Approved plans dated 04/04/2017 removed the kitchenette &amp; living/dining area &amp; changed to Games room with wet bar is therfore no longer a secondary dwelling under the planning scheme</t>
    </r>
    <r>
      <rPr>
        <sz val="10"/>
        <color rgb="FF0000FF"/>
        <rFont val="Arial"/>
        <family val="2"/>
      </rPr>
      <t xml:space="preserve">
</t>
    </r>
  </si>
  <si>
    <r>
      <rPr>
        <strike/>
        <sz val="10"/>
        <rFont val="Arial"/>
        <family val="2"/>
      </rPr>
      <t>Jul-2014</t>
    </r>
    <r>
      <rPr>
        <sz val="10"/>
        <rFont val="Arial"/>
        <family val="2"/>
      </rPr>
      <t xml:space="preserve">
AICS
July 2016</t>
    </r>
  </si>
  <si>
    <r>
      <rPr>
        <strike/>
        <sz val="10"/>
        <rFont val="Arial"/>
        <family val="2"/>
      </rPr>
      <t>1/07/2014</t>
    </r>
    <r>
      <rPr>
        <sz val="10"/>
        <rFont val="Arial"/>
        <family val="2"/>
      </rPr>
      <t xml:space="preserve">
AICS 2016  balance
compound interest from 21/11/2016</t>
    </r>
  </si>
  <si>
    <r>
      <rPr>
        <strike/>
        <sz val="10"/>
        <rFont val="Arial"/>
        <family val="2"/>
      </rPr>
      <t>Jul-2014</t>
    </r>
    <r>
      <rPr>
        <sz val="10"/>
        <rFont val="Arial"/>
        <family val="2"/>
      </rPr>
      <t xml:space="preserve">
Planning Reg 
2017-18</t>
    </r>
  </si>
  <si>
    <r>
      <rPr>
        <strike/>
        <sz val="10"/>
        <rFont val="Arial"/>
        <family val="2"/>
      </rPr>
      <t>AICS 2014</t>
    </r>
    <r>
      <rPr>
        <sz val="10"/>
        <rFont val="Arial"/>
        <family val="2"/>
      </rPr>
      <t xml:space="preserve">
AICS 2016</t>
    </r>
  </si>
  <si>
    <r>
      <rPr>
        <strike/>
        <sz val="10"/>
        <rFont val="Arial"/>
        <family val="2"/>
      </rPr>
      <t>AICS 2014</t>
    </r>
    <r>
      <rPr>
        <sz val="10"/>
        <rFont val="Arial"/>
        <family val="2"/>
      </rPr>
      <t xml:space="preserve">
</t>
    </r>
    <r>
      <rPr>
        <i/>
        <sz val="10"/>
        <rFont val="Arial"/>
        <family val="2"/>
      </rPr>
      <t>AICS 2016</t>
    </r>
  </si>
  <si>
    <r>
      <t xml:space="preserve">AICS 2016
</t>
    </r>
    <r>
      <rPr>
        <sz val="10"/>
        <rFont val="Arial"/>
        <family val="2"/>
      </rPr>
      <t>Planning Reg 2017</t>
    </r>
  </si>
  <si>
    <r>
      <rPr>
        <strike/>
        <sz val="10"/>
        <rFont val="Arial"/>
        <family val="2"/>
      </rPr>
      <t>Mar-2018</t>
    </r>
    <r>
      <rPr>
        <sz val="10"/>
        <rFont val="Arial"/>
        <family val="2"/>
      </rPr>
      <t xml:space="preserve">
Planning Reg 2018-2019</t>
    </r>
  </si>
  <si>
    <t>PC18/0561</t>
  </si>
  <si>
    <t>Building Work:
North Shore Building Approvals 
Number: 18-058</t>
  </si>
  <si>
    <t>47 Cormorant Crescent
PEREGIAN BEACH QLD 4573</t>
  </si>
  <si>
    <t>Lot 152 P93141</t>
  </si>
  <si>
    <t>PC18/1528</t>
  </si>
  <si>
    <t>Building Work:
Coastal Building Certifiers
Number: 34046</t>
  </si>
  <si>
    <t>Jo Case Architects</t>
  </si>
  <si>
    <t>Lot 2 RP891752</t>
  </si>
  <si>
    <t>38 Hollis Road
POMONA QLD 4568</t>
  </si>
  <si>
    <t>50 Spoonbill Street
PEREGIAN BEACH QLD 4573</t>
  </si>
  <si>
    <t>Building Work:
JDBA Certifiers
Number: BA180442</t>
  </si>
  <si>
    <t>CTA Building Group</t>
  </si>
  <si>
    <t xml:space="preserve">Greg Rimmelzmaan
</t>
  </si>
  <si>
    <t>PO Box 6062
MERIDIAN PLAINS QLD 4551</t>
  </si>
  <si>
    <t>Lot 874 MCH842009</t>
  </si>
  <si>
    <t>16 Ranger Court 
SUNRISE BEACH QLS 4567</t>
  </si>
  <si>
    <t xml:space="preserve">51901.4780.06 </t>
  </si>
  <si>
    <t>Gympie Terrace Pty Ltd Tte</t>
  </si>
  <si>
    <t xml:space="preserve">29 the Promontory
NOOSAVILLE QLD 4566
</t>
  </si>
  <si>
    <t>203 Gympie Tce Noosaville Qld 4566</t>
  </si>
  <si>
    <t>Balance Payment $8,000.00 from release of Security Bond to Council</t>
  </si>
  <si>
    <r>
      <rPr>
        <b/>
        <sz val="10"/>
        <color rgb="FF0000FF"/>
        <rFont val="Arial"/>
        <family val="2"/>
      </rPr>
      <t xml:space="preserve">N </t>
    </r>
    <r>
      <rPr>
        <b/>
        <sz val="10"/>
        <rFont val="Arial"/>
        <family val="2"/>
      </rPr>
      <t xml:space="preserve">1419
</t>
    </r>
    <r>
      <rPr>
        <b/>
        <sz val="10"/>
        <color rgb="FF0000FF"/>
        <rFont val="Arial"/>
        <family val="2"/>
      </rPr>
      <t>Negotiated</t>
    </r>
  </si>
  <si>
    <r>
      <rPr>
        <strike/>
        <sz val="10"/>
        <rFont val="Arial"/>
        <family val="2"/>
      </rPr>
      <t>19/02/2019</t>
    </r>
    <r>
      <rPr>
        <sz val="10"/>
        <rFont val="Arial"/>
        <family val="2"/>
      </rPr>
      <t xml:space="preserve">
</t>
    </r>
    <r>
      <rPr>
        <sz val="10"/>
        <color rgb="FF0000FF"/>
        <rFont val="Arial"/>
        <family val="2"/>
      </rPr>
      <t>21/02/2019</t>
    </r>
  </si>
  <si>
    <r>
      <t xml:space="preserve">Entertainment and dining business • Type 1 Food &amp; beverages = Total additional gross floor area attributable to the use = additional 35m2 </t>
    </r>
    <r>
      <rPr>
        <sz val="10"/>
        <color rgb="FF0000FF"/>
        <rFont val="Arial"/>
        <family val="2"/>
      </rPr>
      <t>Less 25m2 existing deck area = 10m2 additional</t>
    </r>
    <r>
      <rPr>
        <sz val="10"/>
        <rFont val="Arial"/>
        <family val="2"/>
      </rPr>
      <t xml:space="preserve">
No change to the existing impervious area on the site</t>
    </r>
  </si>
  <si>
    <t>Negotiated ICN due to representations agreed to acknowledge the existing 25m2 deck use area as credit approved under the previous change approval 51901.4780.01 Approved Plans (accidentally omitted from subsequent Approved Plans under change approval 51901.4780.04 )</t>
  </si>
  <si>
    <t>Part Paid
+
Balance Paid by bond release to council BAGS005789</t>
  </si>
  <si>
    <t>13/02/2019
+
20/02/2019</t>
  </si>
  <si>
    <t>D25278
+
D35406</t>
  </si>
  <si>
    <t>D36155</t>
  </si>
  <si>
    <t>C/- Plansmart Development Solutions
P O Box 989
GYMPIE QLD 4570</t>
  </si>
  <si>
    <t>4/8 Project Ave NOOSAVILLE QLD 4566</t>
  </si>
  <si>
    <t>Ancillary dwelling unit = 1 x 1 bed unit
+
Industrial business• Type 1 Warehouse• Type 2 Production, alteration, repackaging and repairing = 50m2 gfa
+ 
81m2 impervious area</t>
  </si>
  <si>
    <r>
      <t xml:space="preserve">Ancillary dwelling unit = 1 x 1 bed unit
+
Industrial business• Type 1 Warehouse• Type 2 Production, alteration, repackaging and repairing = </t>
    </r>
    <r>
      <rPr>
        <b/>
        <sz val="10"/>
        <rFont val="Arial"/>
        <family val="2"/>
      </rPr>
      <t>61m2 gfa</t>
    </r>
    <r>
      <rPr>
        <sz val="10"/>
        <rFont val="Arial"/>
        <family val="2"/>
      </rPr>
      <t xml:space="preserve">
+ 
81m2 impervious area</t>
    </r>
  </si>
  <si>
    <r>
      <rPr>
        <strike/>
        <sz val="10"/>
        <rFont val="Arial"/>
        <family val="2"/>
      </rPr>
      <t>22/02/2019</t>
    </r>
    <r>
      <rPr>
        <sz val="10"/>
        <rFont val="Arial"/>
        <family val="2"/>
      </rPr>
      <t xml:space="preserve">
</t>
    </r>
    <r>
      <rPr>
        <sz val="10"/>
        <color rgb="FF0000FF"/>
        <rFont val="Arial"/>
        <family val="2"/>
      </rPr>
      <t>26/02/2019</t>
    </r>
  </si>
  <si>
    <r>
      <rPr>
        <strike/>
        <sz val="10"/>
        <rFont val="Arial"/>
        <family val="2"/>
      </rPr>
      <t>MR Davies</t>
    </r>
    <r>
      <rPr>
        <sz val="10"/>
        <rFont val="Arial"/>
        <family val="2"/>
      </rPr>
      <t xml:space="preserve">
</t>
    </r>
    <r>
      <rPr>
        <sz val="10"/>
        <color rgb="FF0000FF"/>
        <rFont val="Arial"/>
        <family val="2"/>
      </rPr>
      <t>Mr O A &amp; Mrs T O Sykes as Trustee</t>
    </r>
  </si>
  <si>
    <t>D37113</t>
  </si>
  <si>
    <t>FEBRUARY 2019 Total =</t>
  </si>
  <si>
    <t xml:space="preserve">Dec-18
$270.00 Part Paid Pathways 29/05/2018 
Receipt 1206840 </t>
  </si>
  <si>
    <t>N 1341 
REFUND</t>
  </si>
  <si>
    <t xml:space="preserve">REFUNDED </t>
  </si>
  <si>
    <t>Payment No. 046280</t>
  </si>
  <si>
    <t>D37116</t>
  </si>
  <si>
    <t>25 Kauri Street COOROY QLD 4563</t>
  </si>
  <si>
    <t>Lot 27 C 56016</t>
  </si>
  <si>
    <t>Multiple Housing Type 4 Conventional = 
1 x 3 bedroom unit +
7 x 2 bedroom units</t>
  </si>
  <si>
    <t>Nil (credit given in stage 1)</t>
  </si>
  <si>
    <r>
      <t xml:space="preserve">MCU18/0165
</t>
    </r>
    <r>
      <rPr>
        <b/>
        <sz val="10"/>
        <rFont val="Arial"/>
        <family val="2"/>
      </rPr>
      <t>Stage 1</t>
    </r>
  </si>
  <si>
    <t>Multiple Housing Type 4 Conventional = 
1 x 3 bedroom unit +
8 x 2 bedroom units</t>
  </si>
  <si>
    <t>MCU18/0170</t>
  </si>
  <si>
    <t>Alan's Development Company Pty Ltd</t>
  </si>
  <si>
    <t>7 Mary River Road, COOROY QLD 4563</t>
  </si>
  <si>
    <t>Industrial business • Type 2 Production, alteration, repackaging and repairing = 723m2 GFA 
+ 1,571 m2 Impervious area</t>
  </si>
  <si>
    <t>3 lots (2 additional lots)
Stage 1 = 1 additional lot
Stage 2 = 1 additional lot</t>
  </si>
  <si>
    <r>
      <t xml:space="preserve">Jun-05             
Stg 1=$1,032 Paid
</t>
    </r>
    <r>
      <rPr>
        <sz val="8"/>
        <color rgb="FF0000FF"/>
        <rFont val="Arial"/>
        <family val="2"/>
      </rPr>
      <t>Stg 2=$1,032</t>
    </r>
  </si>
  <si>
    <r>
      <t xml:space="preserve">Jun-05             
Stg 1=$1,506 Paid
</t>
    </r>
    <r>
      <rPr>
        <sz val="8"/>
        <color rgb="FF0000FF"/>
        <rFont val="Arial"/>
        <family val="2"/>
      </rPr>
      <t>Stg 2=$1,506</t>
    </r>
  </si>
  <si>
    <t xml:space="preserve">Additional missing networks to original development permit conditions 
</t>
  </si>
  <si>
    <r>
      <rPr>
        <b/>
        <sz val="10"/>
        <color rgb="FF0000FF"/>
        <rFont val="Arial"/>
        <family val="2"/>
      </rPr>
      <t xml:space="preserve">N </t>
    </r>
    <r>
      <rPr>
        <b/>
        <sz val="10"/>
        <rFont val="Arial"/>
        <family val="2"/>
      </rPr>
      <t xml:space="preserve">1049
</t>
    </r>
    <r>
      <rPr>
        <sz val="10"/>
        <color rgb="FF0000FF"/>
        <rFont val="Arial"/>
        <family val="2"/>
      </rPr>
      <t xml:space="preserve">+
PSP contribs 09/1286
</t>
    </r>
    <r>
      <rPr>
        <b/>
        <sz val="10"/>
        <color rgb="FFFF0000"/>
        <rFont val="Arial"/>
        <family val="2"/>
      </rPr>
      <t>LAPSED 28/10/2018</t>
    </r>
    <r>
      <rPr>
        <sz val="10"/>
        <color rgb="FFFF0000"/>
        <rFont val="Arial"/>
        <family val="2"/>
      </rPr>
      <t xml:space="preserve"> confirmed MC 05/03/2019</t>
    </r>
  </si>
  <si>
    <r>
      <rPr>
        <b/>
        <sz val="10"/>
        <color rgb="FF0000FF"/>
        <rFont val="Arial"/>
        <family val="2"/>
      </rPr>
      <t xml:space="preserve">N </t>
    </r>
    <r>
      <rPr>
        <b/>
        <sz val="10"/>
        <rFont val="Arial"/>
        <family val="2"/>
      </rPr>
      <t xml:space="preserve">1038
</t>
    </r>
    <r>
      <rPr>
        <b/>
        <sz val="10"/>
        <color rgb="FFFF0000"/>
        <rFont val="Arial"/>
        <family val="2"/>
      </rPr>
      <t xml:space="preserve">LAPSED 3/11/2018 </t>
    </r>
    <r>
      <rPr>
        <sz val="10"/>
        <color rgb="FFFF0000"/>
        <rFont val="Arial"/>
        <family val="2"/>
      </rPr>
      <t>confirmed MC 05/03/2019</t>
    </r>
  </si>
  <si>
    <r>
      <t xml:space="preserve">07/1965 DA (132007.1965)
Court Order 215 of 2012
</t>
    </r>
    <r>
      <rPr>
        <sz val="10"/>
        <color rgb="FF0000FF"/>
        <rFont val="Arial"/>
        <family val="2"/>
      </rPr>
      <t xml:space="preserve">(Sundale Stage 1)
</t>
    </r>
  </si>
  <si>
    <t>D38596</t>
  </si>
  <si>
    <t>MARCH 2019 Total =</t>
  </si>
  <si>
    <t>PC19/0044</t>
  </si>
  <si>
    <t>Building Work: 
Pacific BCQ 
Number: 20180535</t>
  </si>
  <si>
    <t>Herman R Krapp</t>
  </si>
  <si>
    <t>C/-Judith Spence
60 Miva Street 
COOROY QLD 4563</t>
  </si>
  <si>
    <t>Lot 15 C56029</t>
  </si>
  <si>
    <t>60 Miva Street
COOROY QLD 4563</t>
  </si>
  <si>
    <r>
      <rPr>
        <strike/>
        <sz val="10"/>
        <rFont val="Arial"/>
        <family val="2"/>
      </rPr>
      <t>15/09/2016</t>
    </r>
    <r>
      <rPr>
        <sz val="10"/>
        <rFont val="Arial"/>
        <family val="2"/>
      </rPr>
      <t xml:space="preserve">
</t>
    </r>
    <r>
      <rPr>
        <strike/>
        <sz val="10"/>
        <color rgb="FF0000FF"/>
        <rFont val="Arial"/>
        <family val="2"/>
      </rPr>
      <t>27/09/2017</t>
    </r>
    <r>
      <rPr>
        <sz val="10"/>
        <color rgb="FF0000FF"/>
        <rFont val="Arial"/>
        <family val="2"/>
      </rPr>
      <t xml:space="preserve">
</t>
    </r>
    <r>
      <rPr>
        <strike/>
        <sz val="10"/>
        <color rgb="FF0000FF"/>
        <rFont val="Arial"/>
        <family val="2"/>
      </rPr>
      <t>16/02/2018</t>
    </r>
    <r>
      <rPr>
        <sz val="10"/>
        <color rgb="FF0000FF"/>
        <rFont val="Arial"/>
        <family val="2"/>
      </rPr>
      <t xml:space="preserve">
7/03/2019</t>
    </r>
  </si>
  <si>
    <r>
      <rPr>
        <strike/>
        <sz val="10"/>
        <rFont val="Arial"/>
        <family val="2"/>
      </rPr>
      <t xml:space="preserve">15/09/2016
</t>
    </r>
    <r>
      <rPr>
        <strike/>
        <sz val="10"/>
        <color rgb="FF0000FF"/>
        <rFont val="Arial"/>
        <family val="2"/>
      </rPr>
      <t>27/09/2017
16/02/2018
7/03/2019</t>
    </r>
  </si>
  <si>
    <r>
      <rPr>
        <strike/>
        <sz val="10"/>
        <rFont val="Arial"/>
        <family val="2"/>
      </rPr>
      <t xml:space="preserve">MCU15/0109
</t>
    </r>
    <r>
      <rPr>
        <strike/>
        <sz val="10"/>
        <color rgb="FF0000FF"/>
        <rFont val="Arial"/>
        <family val="2"/>
      </rPr>
      <t>(Negotiated)</t>
    </r>
    <r>
      <rPr>
        <sz val="10"/>
        <color rgb="FF0000FF"/>
        <rFont val="Arial"/>
        <family val="2"/>
      </rPr>
      <t xml:space="preserve">
MCU15/0109.03 (Change)</t>
    </r>
  </si>
  <si>
    <r>
      <rPr>
        <strike/>
        <sz val="10"/>
        <rFont val="Arial"/>
        <family val="2"/>
      </rPr>
      <t>AICS 2016</t>
    </r>
    <r>
      <rPr>
        <sz val="10"/>
        <rFont val="Arial"/>
        <family val="2"/>
      </rPr>
      <t xml:space="preserve">
Planning Reg </t>
    </r>
    <r>
      <rPr>
        <strike/>
        <sz val="10"/>
        <rFont val="Arial"/>
        <family val="2"/>
      </rPr>
      <t>2017-2018</t>
    </r>
    <r>
      <rPr>
        <sz val="10"/>
        <rFont val="Arial"/>
        <family val="2"/>
      </rPr>
      <t xml:space="preserve">
2018-2019</t>
    </r>
  </si>
  <si>
    <r>
      <t xml:space="preserve">Multiple Housing Type 4 - Conventional =
3+ Bed units =  </t>
    </r>
    <r>
      <rPr>
        <strike/>
        <sz val="10"/>
        <rFont val="Arial"/>
        <family val="2"/>
      </rPr>
      <t>22</t>
    </r>
    <r>
      <rPr>
        <sz val="10"/>
        <rFont val="Arial"/>
        <family val="2"/>
      </rPr>
      <t xml:space="preserve"> </t>
    </r>
    <r>
      <rPr>
        <sz val="10"/>
        <color rgb="FF0000FF"/>
        <rFont val="Arial"/>
        <family val="2"/>
      </rPr>
      <t xml:space="preserve">16 
+ 2 Bed units = 16 </t>
    </r>
  </si>
  <si>
    <t xml:space="preserve">PC17/0184
</t>
  </si>
  <si>
    <t>PC17/0509</t>
  </si>
  <si>
    <r>
      <rPr>
        <b/>
        <sz val="10"/>
        <color rgb="FF0000FF"/>
        <rFont val="Arial"/>
        <family val="2"/>
      </rPr>
      <t xml:space="preserve">N </t>
    </r>
    <r>
      <rPr>
        <b/>
        <sz val="10"/>
        <rFont val="Arial"/>
        <family val="2"/>
      </rPr>
      <t xml:space="preserve">1219
</t>
    </r>
    <r>
      <rPr>
        <sz val="10"/>
        <rFont val="Arial"/>
        <family val="2"/>
      </rPr>
      <t xml:space="preserve">
</t>
    </r>
    <r>
      <rPr>
        <sz val="10"/>
        <color rgb="FFFF0000"/>
        <rFont val="Arial"/>
        <family val="2"/>
      </rPr>
      <t>Final Inspection Cert issued 01/08/2018</t>
    </r>
    <r>
      <rPr>
        <b/>
        <sz val="10"/>
        <color rgb="FFFF0000"/>
        <rFont val="Arial"/>
        <family val="2"/>
      </rPr>
      <t xml:space="preserve">
PAYMENT DUE 29/03/2019</t>
    </r>
  </si>
  <si>
    <r>
      <rPr>
        <b/>
        <sz val="10"/>
        <color rgb="FF0000FF"/>
        <rFont val="Arial"/>
        <family val="2"/>
      </rPr>
      <t xml:space="preserve">N </t>
    </r>
    <r>
      <rPr>
        <b/>
        <sz val="10"/>
        <rFont val="Arial"/>
        <family val="2"/>
      </rPr>
      <t xml:space="preserve">1271
</t>
    </r>
    <r>
      <rPr>
        <b/>
        <sz val="10"/>
        <color rgb="FFFF0000"/>
        <rFont val="Arial"/>
        <family val="2"/>
      </rPr>
      <t xml:space="preserve">
</t>
    </r>
    <r>
      <rPr>
        <sz val="10"/>
        <color rgb="FFFF0000"/>
        <rFont val="Arial"/>
        <family val="2"/>
      </rPr>
      <t>Final Inspection Cert issued 18/10/2018</t>
    </r>
    <r>
      <rPr>
        <b/>
        <sz val="10"/>
        <color rgb="FFFF0000"/>
        <rFont val="Arial"/>
        <family val="2"/>
      </rPr>
      <t xml:space="preserve">
PAYMENT DUE 29/03/2019</t>
    </r>
  </si>
  <si>
    <r>
      <rPr>
        <b/>
        <sz val="10"/>
        <color rgb="FF0000FF"/>
        <rFont val="Arial"/>
        <family val="2"/>
      </rPr>
      <t xml:space="preserve">N </t>
    </r>
    <r>
      <rPr>
        <b/>
        <sz val="10"/>
        <rFont val="Arial"/>
        <family val="2"/>
      </rPr>
      <t xml:space="preserve">1287
</t>
    </r>
    <r>
      <rPr>
        <sz val="10"/>
        <color rgb="FFFF0000"/>
        <rFont val="Arial"/>
        <family val="2"/>
      </rPr>
      <t>Final Inspection Cert issued 24/11/2017</t>
    </r>
    <r>
      <rPr>
        <b/>
        <sz val="10"/>
        <rFont val="Arial"/>
        <family val="2"/>
      </rPr>
      <t xml:space="preserve">
</t>
    </r>
    <r>
      <rPr>
        <b/>
        <sz val="10"/>
        <color rgb="FFFF0000"/>
        <rFont val="Arial"/>
        <family val="2"/>
      </rPr>
      <t>PAYMENT DUE 29/03/2019</t>
    </r>
  </si>
  <si>
    <r>
      <t xml:space="preserve">DBW17/0506
</t>
    </r>
    <r>
      <rPr>
        <i/>
        <sz val="10"/>
        <color rgb="FF0000FF"/>
        <rFont val="Arial"/>
        <family val="2"/>
      </rPr>
      <t>(PC17/1248 issued)</t>
    </r>
    <r>
      <rPr>
        <sz val="10"/>
        <rFont val="Arial"/>
        <family val="2"/>
      </rPr>
      <t xml:space="preserve">
</t>
    </r>
  </si>
  <si>
    <r>
      <rPr>
        <b/>
        <sz val="10"/>
        <color rgb="FF0000FF"/>
        <rFont val="Arial"/>
        <family val="2"/>
      </rPr>
      <t xml:space="preserve">N </t>
    </r>
    <r>
      <rPr>
        <b/>
        <sz val="10"/>
        <rFont val="Arial"/>
        <family val="2"/>
      </rPr>
      <t xml:space="preserve">1320
</t>
    </r>
    <r>
      <rPr>
        <sz val="10"/>
        <rFont val="Arial"/>
        <family val="2"/>
      </rPr>
      <t xml:space="preserve">
</t>
    </r>
    <r>
      <rPr>
        <sz val="10"/>
        <color rgb="FFFF0000"/>
        <rFont val="Arial"/>
        <family val="2"/>
      </rPr>
      <t>Final Inspection Cert issued 18/06/2018</t>
    </r>
    <r>
      <rPr>
        <b/>
        <sz val="10"/>
        <color rgb="FFFF0000"/>
        <rFont val="Arial"/>
        <family val="2"/>
      </rPr>
      <t xml:space="preserve">
PAYMENT DUE 29/03/2019</t>
    </r>
  </si>
  <si>
    <r>
      <rPr>
        <b/>
        <sz val="10"/>
        <color rgb="FF0000FF"/>
        <rFont val="Arial"/>
        <family val="2"/>
      </rPr>
      <t xml:space="preserve">N </t>
    </r>
    <r>
      <rPr>
        <b/>
        <sz val="10"/>
        <rFont val="Arial"/>
        <family val="2"/>
      </rPr>
      <t xml:space="preserve">1337
</t>
    </r>
    <r>
      <rPr>
        <sz val="10"/>
        <rFont val="Arial"/>
        <family val="2"/>
      </rPr>
      <t xml:space="preserve">
</t>
    </r>
    <r>
      <rPr>
        <sz val="10"/>
        <color rgb="FFFF0000"/>
        <rFont val="Arial"/>
        <family val="2"/>
      </rPr>
      <t>Final Inspection Cert issued 27/06/2018</t>
    </r>
    <r>
      <rPr>
        <b/>
        <sz val="10"/>
        <color rgb="FFFF0000"/>
        <rFont val="Arial"/>
        <family val="2"/>
      </rPr>
      <t xml:space="preserve">
PAYMENT DUE 29/03/2019</t>
    </r>
  </si>
  <si>
    <t>PC18/0836</t>
  </si>
  <si>
    <t>PC18/0869</t>
  </si>
  <si>
    <t>PC18/0777</t>
  </si>
  <si>
    <r>
      <rPr>
        <sz val="10"/>
        <color rgb="FF0000FF"/>
        <rFont val="Arial"/>
        <family val="2"/>
      </rPr>
      <t xml:space="preserve">47 Elizabeth St
(Originally </t>
    </r>
    <r>
      <rPr>
        <sz val="10"/>
        <rFont val="Arial"/>
        <family val="2"/>
      </rPr>
      <t>21 James St)
NOOSAVILLE QLD 4566</t>
    </r>
  </si>
  <si>
    <r>
      <rPr>
        <b/>
        <sz val="10"/>
        <color rgb="FF0000FF"/>
        <rFont val="Arial"/>
        <family val="2"/>
      </rPr>
      <t xml:space="preserve">N </t>
    </r>
    <r>
      <rPr>
        <b/>
        <sz val="10"/>
        <rFont val="Arial"/>
        <family val="2"/>
      </rPr>
      <t xml:space="preserve">1302
</t>
    </r>
    <r>
      <rPr>
        <sz val="10"/>
        <color rgb="FFFF0000"/>
        <rFont val="Arial"/>
        <family val="2"/>
      </rPr>
      <t>Final Inspection Cert PC17/1248 issued 07/11/2018</t>
    </r>
    <r>
      <rPr>
        <b/>
        <sz val="10"/>
        <color rgb="FFFF0000"/>
        <rFont val="Arial"/>
        <family val="2"/>
      </rPr>
      <t xml:space="preserve">
PAYMENT DUE 29/03/2019</t>
    </r>
  </si>
  <si>
    <t>Mr JE Allen</t>
  </si>
  <si>
    <t>37 Nannygai Street
NOOSAVILLE QLD 4566</t>
  </si>
  <si>
    <t>Lot 48 RP 76937</t>
  </si>
  <si>
    <t>37 Nannygai Street 
NOOSAVILLE QLD 4566</t>
  </si>
  <si>
    <t>Multiple Housing Type 2 - Duplex = 2 x 3 Bedroom Units</t>
  </si>
  <si>
    <t>MCU18/0133</t>
  </si>
  <si>
    <r>
      <rPr>
        <b/>
        <sz val="10"/>
        <color rgb="FF0000FF"/>
        <rFont val="Arial"/>
        <family val="2"/>
      </rPr>
      <t xml:space="preserve">N </t>
    </r>
    <r>
      <rPr>
        <b/>
        <sz val="10"/>
        <rFont val="Arial"/>
        <family val="2"/>
      </rPr>
      <t xml:space="preserve">1060
</t>
    </r>
    <r>
      <rPr>
        <b/>
        <sz val="10"/>
        <color rgb="FFFF0000"/>
        <rFont val="Arial"/>
        <family val="2"/>
      </rPr>
      <t xml:space="preserve">
</t>
    </r>
    <r>
      <rPr>
        <sz val="10"/>
        <color rgb="FFFF0000"/>
        <rFont val="Arial"/>
        <family val="2"/>
      </rPr>
      <t>PC18/0349 CoC Issued 22/02/2019</t>
    </r>
    <r>
      <rPr>
        <b/>
        <sz val="10"/>
        <color rgb="FFFF0000"/>
        <rFont val="Arial"/>
        <family val="2"/>
      </rPr>
      <t xml:space="preserve">
PAYMENT DUE 29/03/2019</t>
    </r>
  </si>
  <si>
    <t xml:space="preserve">
Final Inspection Cert issued 27/11/2018
STAGED PAYMENT AGREEMENTS DATED 12/03/2019</t>
  </si>
  <si>
    <r>
      <rPr>
        <strike/>
        <sz val="10"/>
        <rFont val="Arial"/>
        <family val="2"/>
      </rPr>
      <t>Planning Reg 2017-2018</t>
    </r>
    <r>
      <rPr>
        <sz val="10"/>
        <rFont val="Arial"/>
        <family val="2"/>
      </rPr>
      <t xml:space="preserve">
CPI Dec 2018</t>
    </r>
  </si>
  <si>
    <r>
      <rPr>
        <b/>
        <sz val="10"/>
        <color rgb="FF0000FF"/>
        <rFont val="Arial"/>
        <family val="2"/>
      </rPr>
      <t xml:space="preserve">N </t>
    </r>
    <r>
      <rPr>
        <b/>
        <sz val="10"/>
        <rFont val="Arial"/>
        <family val="2"/>
      </rPr>
      <t xml:space="preserve">1328
</t>
    </r>
    <r>
      <rPr>
        <b/>
        <sz val="10"/>
        <color rgb="FF0000FF"/>
        <rFont val="Arial"/>
        <family val="2"/>
      </rPr>
      <t>IA#77</t>
    </r>
    <r>
      <rPr>
        <b/>
        <sz val="10"/>
        <color rgb="FFFF0000"/>
        <rFont val="Arial"/>
        <family val="2"/>
      </rPr>
      <t xml:space="preserve">
STAGED PAYMENT 2
DUE 30/06/2019</t>
    </r>
  </si>
  <si>
    <r>
      <rPr>
        <b/>
        <sz val="10"/>
        <color rgb="FF0000FF"/>
        <rFont val="Arial"/>
        <family val="2"/>
      </rPr>
      <t xml:space="preserve">N </t>
    </r>
    <r>
      <rPr>
        <b/>
        <sz val="10"/>
        <rFont val="Arial"/>
        <family val="2"/>
      </rPr>
      <t xml:space="preserve">1328
</t>
    </r>
    <r>
      <rPr>
        <b/>
        <sz val="10"/>
        <color rgb="FF0000FF"/>
        <rFont val="Arial"/>
        <family val="2"/>
      </rPr>
      <t>IA#77</t>
    </r>
    <r>
      <rPr>
        <b/>
        <sz val="10"/>
        <color rgb="FFFF0000"/>
        <rFont val="Arial"/>
        <family val="2"/>
      </rPr>
      <t xml:space="preserve">
STAGED PAYMENT 1
DUE 29/03/2019</t>
    </r>
  </si>
  <si>
    <t>Final Inspection Cert issued 18/04/2018
STAGED PAYMENT AGREEMENTS DATED 12/03/2019</t>
  </si>
  <si>
    <r>
      <rPr>
        <strike/>
        <sz val="10"/>
        <rFont val="Arial"/>
        <family val="2"/>
      </rPr>
      <t>Planning Reg 2017-2018</t>
    </r>
    <r>
      <rPr>
        <sz val="10"/>
        <rFont val="Arial"/>
        <family val="2"/>
      </rPr>
      <t xml:space="preserve">
</t>
    </r>
    <r>
      <rPr>
        <sz val="10"/>
        <color rgb="FF0000FF"/>
        <rFont val="Arial"/>
        <family val="2"/>
      </rPr>
      <t>CPI Dec 2018</t>
    </r>
  </si>
  <si>
    <r>
      <rPr>
        <b/>
        <sz val="10"/>
        <color rgb="FF0000FF"/>
        <rFont val="Arial"/>
        <family val="2"/>
      </rPr>
      <t xml:space="preserve">N </t>
    </r>
    <r>
      <rPr>
        <b/>
        <sz val="10"/>
        <rFont val="Arial"/>
        <family val="2"/>
      </rPr>
      <t xml:space="preserve">1288
</t>
    </r>
    <r>
      <rPr>
        <b/>
        <sz val="10"/>
        <color rgb="FF0000FF"/>
        <rFont val="Arial"/>
        <family val="2"/>
      </rPr>
      <t>IA#76</t>
    </r>
    <r>
      <rPr>
        <b/>
        <sz val="10"/>
        <rFont val="Arial"/>
        <family val="2"/>
      </rPr>
      <t xml:space="preserve">
</t>
    </r>
    <r>
      <rPr>
        <b/>
        <sz val="10"/>
        <color rgb="FFFF0000"/>
        <rFont val="Arial"/>
        <family val="2"/>
      </rPr>
      <t>STAGED PAYMENT 1 DUE 29/03/2019</t>
    </r>
  </si>
  <si>
    <r>
      <rPr>
        <b/>
        <sz val="10"/>
        <color rgb="FF0000FF"/>
        <rFont val="Arial"/>
        <family val="2"/>
      </rPr>
      <t xml:space="preserve">N </t>
    </r>
    <r>
      <rPr>
        <b/>
        <sz val="10"/>
        <rFont val="Arial"/>
        <family val="2"/>
      </rPr>
      <t xml:space="preserve">1288
</t>
    </r>
    <r>
      <rPr>
        <b/>
        <sz val="10"/>
        <color rgb="FF0000FF"/>
        <rFont val="Arial"/>
        <family val="2"/>
      </rPr>
      <t>IA#76</t>
    </r>
    <r>
      <rPr>
        <b/>
        <sz val="10"/>
        <rFont val="Arial"/>
        <family val="2"/>
      </rPr>
      <t xml:space="preserve">
</t>
    </r>
    <r>
      <rPr>
        <b/>
        <sz val="10"/>
        <color rgb="FFFF0000"/>
        <rFont val="Arial"/>
        <family val="2"/>
      </rPr>
      <t>STAGED PAYMENT 2
 DUE 30/06/2019</t>
    </r>
  </si>
  <si>
    <t xml:space="preserve">5/12/2017
</t>
  </si>
  <si>
    <t xml:space="preserve">8/05/2018
</t>
  </si>
  <si>
    <r>
      <rPr>
        <b/>
        <sz val="10"/>
        <color rgb="FF0000FF"/>
        <rFont val="Arial"/>
        <family val="2"/>
      </rPr>
      <t xml:space="preserve">N </t>
    </r>
    <r>
      <rPr>
        <b/>
        <sz val="10"/>
        <rFont val="Arial"/>
        <family val="2"/>
      </rPr>
      <t xml:space="preserve">1200
</t>
    </r>
    <r>
      <rPr>
        <b/>
        <sz val="10"/>
        <color rgb="FF0000FF"/>
        <rFont val="Arial"/>
        <family val="2"/>
      </rPr>
      <t>(Stage 1)</t>
    </r>
    <r>
      <rPr>
        <b/>
        <sz val="10"/>
        <rFont val="Arial"/>
        <family val="2"/>
      </rPr>
      <t xml:space="preserve">
</t>
    </r>
    <r>
      <rPr>
        <b/>
        <sz val="10"/>
        <color rgb="FFFF0000"/>
        <rFont val="Arial"/>
        <family val="2"/>
      </rPr>
      <t>IA 74 Staged Pmt 2 
DUE 30 JUNE 2019</t>
    </r>
    <r>
      <rPr>
        <sz val="11"/>
        <color theme="1"/>
        <rFont val="Calibri"/>
        <family val="2"/>
        <scheme val="minor"/>
      </rPr>
      <t/>
    </r>
  </si>
  <si>
    <t>Final Inspection Cert issued 26/03/2018
STAGED PAYMENT AGREEMENT DATED 12/03/2019</t>
  </si>
  <si>
    <r>
      <rPr>
        <strike/>
        <sz val="10"/>
        <rFont val="Arial"/>
        <family val="2"/>
      </rPr>
      <t>AICS 2016</t>
    </r>
    <r>
      <rPr>
        <sz val="10"/>
        <rFont val="Arial"/>
        <family val="2"/>
      </rPr>
      <t xml:space="preserve">
</t>
    </r>
    <r>
      <rPr>
        <sz val="10"/>
        <color rgb="FF0000FF"/>
        <rFont val="Arial"/>
        <family val="2"/>
      </rPr>
      <t>CPI Dec 2018</t>
    </r>
  </si>
  <si>
    <r>
      <rPr>
        <b/>
        <sz val="10"/>
        <color rgb="FF0000FF"/>
        <rFont val="Arial"/>
        <family val="2"/>
      </rPr>
      <t xml:space="preserve">N </t>
    </r>
    <r>
      <rPr>
        <b/>
        <sz val="10"/>
        <rFont val="Arial"/>
        <family val="2"/>
      </rPr>
      <t xml:space="preserve">1197
</t>
    </r>
    <r>
      <rPr>
        <b/>
        <sz val="10"/>
        <color rgb="FF0000FF"/>
        <rFont val="Arial"/>
        <family val="2"/>
      </rPr>
      <t>IA 75</t>
    </r>
    <r>
      <rPr>
        <b/>
        <sz val="10"/>
        <color rgb="FFFF0000"/>
        <rFont val="Arial"/>
        <family val="2"/>
      </rPr>
      <t xml:space="preserve">
STAGED PAYMENT 1
DUE 29/03/2019</t>
    </r>
  </si>
  <si>
    <t>MARCH 2019
Total =</t>
  </si>
  <si>
    <t>D39797</t>
  </si>
  <si>
    <t>D39798</t>
  </si>
  <si>
    <t>D40013</t>
  </si>
  <si>
    <t>D40036</t>
  </si>
  <si>
    <t>Paid into Rates &amp; Transferred from Rates</t>
  </si>
  <si>
    <t>D398120</t>
  </si>
  <si>
    <t>Part Paid $1,600 Transport
Balance Paid</t>
  </si>
  <si>
    <t>14/03/2019
19/03/2019</t>
  </si>
  <si>
    <t>PC18/1514</t>
  </si>
  <si>
    <t>PC19/0122</t>
  </si>
  <si>
    <t>PC19/0271</t>
  </si>
  <si>
    <t>Building Work: 
Pacific BCQ  
Number: 20180542</t>
  </si>
  <si>
    <t>Building Work: 
Pacific BCQ  
Number: 20190006</t>
  </si>
  <si>
    <t>Building Work: 
Jim Locke Building Consultants
Number: 20190114</t>
  </si>
  <si>
    <t>Lifetime Constructions</t>
  </si>
  <si>
    <t>PO Box 1887
NOOSAVILLE BC QLD 4566</t>
  </si>
  <si>
    <t>Morgan Building Services Pty Ltd</t>
  </si>
  <si>
    <t>PO Box 21 
COOLUM BEACH QLD 4573</t>
  </si>
  <si>
    <t>Lot 4 SP 297607</t>
  </si>
  <si>
    <t>67 Butler Street
TEWANTIN QLD 4565</t>
  </si>
  <si>
    <t>Lot 5 SP 297607</t>
  </si>
  <si>
    <t>65 Butler Street
TEWANTIN QLD 4565</t>
  </si>
  <si>
    <t>Lot 505 C 21866</t>
  </si>
  <si>
    <t>10 Commodore Court
SUNRISE BEACH QLD 4567</t>
  </si>
  <si>
    <t>D40012
D41379</t>
  </si>
  <si>
    <t>Lot 5 RP 862465</t>
  </si>
  <si>
    <r>
      <rPr>
        <b/>
        <sz val="10"/>
        <color rgb="FF0000FF"/>
        <rFont val="Arial"/>
        <family val="2"/>
      </rPr>
      <t xml:space="preserve">N </t>
    </r>
    <r>
      <rPr>
        <b/>
        <sz val="10"/>
        <rFont val="Arial"/>
        <family val="2"/>
      </rPr>
      <t xml:space="preserve">1401
</t>
    </r>
    <r>
      <rPr>
        <b/>
        <sz val="10"/>
        <color rgb="FFFF0000"/>
        <rFont val="Arial"/>
        <family val="2"/>
      </rPr>
      <t>Amended payment date 28 JUNE 2019</t>
    </r>
  </si>
  <si>
    <r>
      <rPr>
        <b/>
        <sz val="10"/>
        <color rgb="FF0000FF"/>
        <rFont val="Arial"/>
        <family val="2"/>
      </rPr>
      <t xml:space="preserve">N </t>
    </r>
    <r>
      <rPr>
        <b/>
        <sz val="10"/>
        <rFont val="Arial"/>
        <family val="2"/>
      </rPr>
      <t xml:space="preserve">1380
</t>
    </r>
    <r>
      <rPr>
        <sz val="10"/>
        <color rgb="FFFF0000"/>
        <rFont val="Arial"/>
        <family val="2"/>
      </rPr>
      <t xml:space="preserve">Final Inspection Cert 12/03/2019
</t>
    </r>
    <r>
      <rPr>
        <b/>
        <sz val="10"/>
        <color rgb="FFFF0000"/>
        <rFont val="Arial"/>
        <family val="2"/>
      </rPr>
      <t>PAYMENT DUE 
29 MARCH 2019</t>
    </r>
    <r>
      <rPr>
        <sz val="10"/>
        <color rgb="FFFF0000"/>
        <rFont val="Arial"/>
        <family val="2"/>
      </rPr>
      <t xml:space="preserve">
</t>
    </r>
  </si>
  <si>
    <t>CPI December 2019</t>
  </si>
  <si>
    <t>CPI Dec 2019</t>
  </si>
  <si>
    <t xml:space="preserve">19/06/2017
</t>
  </si>
  <si>
    <t>D42206</t>
  </si>
  <si>
    <t>D42210</t>
  </si>
  <si>
    <r>
      <t xml:space="preserve">30/01/2019
&amp;
1/02/2019
</t>
    </r>
    <r>
      <rPr>
        <sz val="10"/>
        <color rgb="FFFF0000"/>
        <rFont val="Arial"/>
        <family val="2"/>
      </rPr>
      <t>T1 entered Jan 2019</t>
    </r>
  </si>
  <si>
    <t>D14167
&amp;
D14822</t>
  </si>
  <si>
    <r>
      <t xml:space="preserve">Paid Part
</t>
    </r>
    <r>
      <rPr>
        <sz val="10"/>
        <color rgb="FF0000FF"/>
        <rFont val="Arial"/>
        <family val="2"/>
      </rPr>
      <t>Transport &amp; Stormwater</t>
    </r>
    <r>
      <rPr>
        <b/>
        <sz val="10"/>
        <color rgb="FF0000FF"/>
        <rFont val="Arial"/>
        <family val="2"/>
      </rPr>
      <t xml:space="preserve">
Paid Balance
</t>
    </r>
    <r>
      <rPr>
        <sz val="10"/>
        <color rgb="FF0000FF"/>
        <rFont val="Arial"/>
        <family val="2"/>
      </rPr>
      <t>Parks</t>
    </r>
  </si>
  <si>
    <t>D42242</t>
  </si>
  <si>
    <t>Lot 1 MCH 838</t>
  </si>
  <si>
    <t>990 Cootharaba Road
COOTHARABA QLD 4565</t>
  </si>
  <si>
    <t>Converting Shed to Secondary Dwelling</t>
  </si>
  <si>
    <t>Existing Shed</t>
  </si>
  <si>
    <t xml:space="preserve">28/05/2020
</t>
  </si>
  <si>
    <t>Final Inspection Cert issued 21/06/2018
STAGED PAYMENT AGREEMENTS DATED 25/03/2019</t>
  </si>
  <si>
    <t>CPI Dec 2018</t>
  </si>
  <si>
    <r>
      <rPr>
        <b/>
        <sz val="10"/>
        <color rgb="FF0000FF"/>
        <rFont val="Arial"/>
        <family val="2"/>
      </rPr>
      <t xml:space="preserve">N </t>
    </r>
    <r>
      <rPr>
        <b/>
        <sz val="10"/>
        <rFont val="Arial"/>
        <family val="2"/>
      </rPr>
      <t xml:space="preserve">1300
</t>
    </r>
    <r>
      <rPr>
        <b/>
        <sz val="10"/>
        <color rgb="FF0000FF"/>
        <rFont val="Arial"/>
        <family val="2"/>
      </rPr>
      <t>IA#76</t>
    </r>
    <r>
      <rPr>
        <b/>
        <sz val="10"/>
        <rFont val="Arial"/>
        <family val="2"/>
      </rPr>
      <t xml:space="preserve">
</t>
    </r>
    <r>
      <rPr>
        <b/>
        <sz val="10"/>
        <color rgb="FFFF0000"/>
        <rFont val="Arial"/>
        <family val="2"/>
      </rPr>
      <t>STAGED PAYMENT 1
 DUE 29/03/2019</t>
    </r>
  </si>
  <si>
    <r>
      <rPr>
        <strike/>
        <sz val="10"/>
        <color rgb="FFFF0000"/>
        <rFont val="Arial"/>
        <family val="2"/>
      </rPr>
      <t>Planning Reg 2017-2018</t>
    </r>
    <r>
      <rPr>
        <sz val="10"/>
        <color rgb="FFFF0000"/>
        <rFont val="Arial"/>
        <family val="2"/>
      </rPr>
      <t xml:space="preserve">
CPI Dec 2018</t>
    </r>
  </si>
  <si>
    <r>
      <rPr>
        <strike/>
        <sz val="10"/>
        <color rgb="FFFF0000"/>
        <rFont val="Arial"/>
        <family val="2"/>
      </rPr>
      <t>Planning Reg 2017-2018</t>
    </r>
    <r>
      <rPr>
        <sz val="10"/>
        <color rgb="FFFF0000"/>
        <rFont val="Arial"/>
        <family val="2"/>
      </rPr>
      <t xml:space="preserve">
</t>
    </r>
    <r>
      <rPr>
        <b/>
        <sz val="10"/>
        <color rgb="FFFF0000"/>
        <rFont val="Arial"/>
        <family val="2"/>
      </rPr>
      <t>CPI Dec 2018</t>
    </r>
  </si>
  <si>
    <r>
      <rPr>
        <b/>
        <sz val="10"/>
        <color rgb="FF0000FF"/>
        <rFont val="Arial"/>
        <family val="2"/>
      </rPr>
      <t xml:space="preserve">N </t>
    </r>
    <r>
      <rPr>
        <b/>
        <sz val="10"/>
        <rFont val="Arial"/>
        <family val="2"/>
      </rPr>
      <t xml:space="preserve">1300
</t>
    </r>
    <r>
      <rPr>
        <b/>
        <sz val="10"/>
        <color rgb="FF0000FF"/>
        <rFont val="Arial"/>
        <family val="2"/>
      </rPr>
      <t>IA#76</t>
    </r>
    <r>
      <rPr>
        <b/>
        <sz val="10"/>
        <rFont val="Arial"/>
        <family val="2"/>
      </rPr>
      <t xml:space="preserve">
</t>
    </r>
    <r>
      <rPr>
        <b/>
        <sz val="10"/>
        <color rgb="FFFF0000"/>
        <rFont val="Arial"/>
        <family val="2"/>
      </rPr>
      <t>STAGED PAYMENT 2
 DUE 30 June 2019</t>
    </r>
  </si>
  <si>
    <r>
      <rPr>
        <b/>
        <sz val="10"/>
        <color rgb="FF0000FF"/>
        <rFont val="Arial"/>
        <family val="2"/>
      </rPr>
      <t xml:space="preserve">N </t>
    </r>
    <r>
      <rPr>
        <b/>
        <sz val="10"/>
        <rFont val="Arial"/>
        <family val="2"/>
      </rPr>
      <t xml:space="preserve">1300
</t>
    </r>
    <r>
      <rPr>
        <b/>
        <sz val="10"/>
        <color rgb="FF0000FF"/>
        <rFont val="Arial"/>
        <family val="2"/>
      </rPr>
      <t>IA#76</t>
    </r>
    <r>
      <rPr>
        <b/>
        <sz val="10"/>
        <rFont val="Arial"/>
        <family val="2"/>
      </rPr>
      <t xml:space="preserve">
</t>
    </r>
    <r>
      <rPr>
        <b/>
        <sz val="10"/>
        <color rgb="FFFF0000"/>
        <rFont val="Arial"/>
        <family val="2"/>
      </rPr>
      <t>STAGED PAYMENT 3
 DUE 20 Dec 2019</t>
    </r>
  </si>
  <si>
    <t>Final Inspection Cert issued 08/06/2018
Staged Payment Agreement IA#80 dated 26/03/2019</t>
  </si>
  <si>
    <r>
      <rPr>
        <b/>
        <sz val="10"/>
        <color rgb="FF0000FF"/>
        <rFont val="Arial"/>
        <family val="2"/>
      </rPr>
      <t xml:space="preserve">N </t>
    </r>
    <r>
      <rPr>
        <b/>
        <sz val="10"/>
        <rFont val="Arial"/>
        <family val="2"/>
      </rPr>
      <t xml:space="preserve">1220
</t>
    </r>
    <r>
      <rPr>
        <sz val="10"/>
        <color rgb="FFFF0000"/>
        <rFont val="Arial"/>
        <family val="2"/>
      </rPr>
      <t xml:space="preserve">
</t>
    </r>
    <r>
      <rPr>
        <b/>
        <sz val="10"/>
        <color rgb="FF0000FF"/>
        <rFont val="Arial"/>
        <family val="2"/>
      </rPr>
      <t xml:space="preserve">IA#78
</t>
    </r>
    <r>
      <rPr>
        <b/>
        <sz val="10"/>
        <color rgb="FFFF0000"/>
        <rFont val="Arial"/>
        <family val="2"/>
      </rPr>
      <t>Staged Pmt No 1
DUE 29/03/2019</t>
    </r>
  </si>
  <si>
    <t>Final Inspection Cert issued 18/01/2018
Staged Payment Agreement #78 dated 22/03/2019</t>
  </si>
  <si>
    <r>
      <rPr>
        <b/>
        <sz val="10"/>
        <color rgb="FF0000FF"/>
        <rFont val="Arial"/>
        <family val="2"/>
      </rPr>
      <t xml:space="preserve">N </t>
    </r>
    <r>
      <rPr>
        <b/>
        <sz val="10"/>
        <rFont val="Arial"/>
        <family val="2"/>
      </rPr>
      <t xml:space="preserve">1220
</t>
    </r>
    <r>
      <rPr>
        <sz val="10"/>
        <color rgb="FFFF0000"/>
        <rFont val="Arial"/>
        <family val="2"/>
      </rPr>
      <t xml:space="preserve">
</t>
    </r>
    <r>
      <rPr>
        <b/>
        <sz val="10"/>
        <color rgb="FF0000FF"/>
        <rFont val="Arial"/>
        <family val="2"/>
      </rPr>
      <t xml:space="preserve">IA#78
</t>
    </r>
    <r>
      <rPr>
        <b/>
        <sz val="10"/>
        <color rgb="FFFF0000"/>
        <rFont val="Arial"/>
        <family val="2"/>
      </rPr>
      <t>Staged Pmt No 3
DUE 20 Dec 2019</t>
    </r>
  </si>
  <si>
    <r>
      <rPr>
        <b/>
        <sz val="10"/>
        <color rgb="FF0000FF"/>
        <rFont val="Arial"/>
        <family val="2"/>
      </rPr>
      <t xml:space="preserve">N </t>
    </r>
    <r>
      <rPr>
        <b/>
        <sz val="10"/>
        <rFont val="Arial"/>
        <family val="2"/>
      </rPr>
      <t xml:space="preserve">1220
</t>
    </r>
    <r>
      <rPr>
        <sz val="10"/>
        <color rgb="FFFF0000"/>
        <rFont val="Arial"/>
        <family val="2"/>
      </rPr>
      <t xml:space="preserve">
</t>
    </r>
    <r>
      <rPr>
        <b/>
        <sz val="10"/>
        <color rgb="FF0000FF"/>
        <rFont val="Arial"/>
        <family val="2"/>
      </rPr>
      <t xml:space="preserve">IA#78
</t>
    </r>
    <r>
      <rPr>
        <b/>
        <sz val="10"/>
        <color rgb="FFFF0000"/>
        <rFont val="Arial"/>
        <family val="2"/>
      </rPr>
      <t>Staged Pmt No 2
DUE 30 June 2019</t>
    </r>
  </si>
  <si>
    <r>
      <rPr>
        <strike/>
        <sz val="10"/>
        <color rgb="FFFF5050"/>
        <rFont val="Arial"/>
        <family val="2"/>
      </rPr>
      <t>AICS 2016</t>
    </r>
    <r>
      <rPr>
        <sz val="10"/>
        <color rgb="FFFF5050"/>
        <rFont val="Arial"/>
        <family val="2"/>
      </rPr>
      <t xml:space="preserve">
CPI Dec 2018</t>
    </r>
  </si>
  <si>
    <t>PC18/0573</t>
  </si>
  <si>
    <r>
      <t xml:space="preserve">100% Rebate for Community Organisation 
</t>
    </r>
    <r>
      <rPr>
        <sz val="10"/>
        <color rgb="FF0000FF"/>
        <rFont val="Arial"/>
        <family val="2"/>
      </rPr>
      <t xml:space="preserve">Community use  under Noosa Sea Scouts, Scout Association Australia </t>
    </r>
  </si>
  <si>
    <r>
      <t xml:space="preserve">100% Rebate for Community Organisation
</t>
    </r>
    <r>
      <rPr>
        <sz val="10"/>
        <color rgb="FF0000FF"/>
        <rFont val="Arial"/>
        <family val="2"/>
      </rPr>
      <t xml:space="preserve">Community use  under  Resource Recovery Australia </t>
    </r>
  </si>
  <si>
    <t xml:space="preserve">NSC CR (No.3) </t>
  </si>
  <si>
    <r>
      <rPr>
        <sz val="10"/>
        <color rgb="FF0000FF"/>
        <rFont val="Arial"/>
        <family val="2"/>
      </rPr>
      <t xml:space="preserve">132008.1128.02 </t>
    </r>
    <r>
      <rPr>
        <sz val="10"/>
        <rFont val="Arial"/>
        <family val="2"/>
      </rPr>
      <t xml:space="preserve">
</t>
    </r>
    <r>
      <rPr>
        <b/>
        <sz val="10"/>
        <color rgb="FF0000FF"/>
        <rFont val="Arial"/>
        <family val="2"/>
      </rPr>
      <t>STAGE 3</t>
    </r>
  </si>
  <si>
    <t>Ben Lexcen Dr
SUNRISE BEACH QLD 4567</t>
  </si>
  <si>
    <t>Lot 9 SP 252905</t>
  </si>
  <si>
    <t>Retirement Village = 
32 x 3 bed units
22 x 2 bed units</t>
  </si>
  <si>
    <r>
      <t xml:space="preserve">Retirement Village = 
</t>
    </r>
    <r>
      <rPr>
        <sz val="10"/>
        <color rgb="FF0000FF"/>
        <rFont val="Arial"/>
        <family val="2"/>
      </rPr>
      <t>14 x 3 bed units
10 x 2 bed units</t>
    </r>
  </si>
  <si>
    <t>Final Inspection Cert issued 18/05/2018
Staged Payment Agreement #81 dated 28/03/2019</t>
  </si>
  <si>
    <r>
      <rPr>
        <b/>
        <sz val="10"/>
        <color rgb="FF0000FF"/>
        <rFont val="Arial"/>
        <family val="2"/>
      </rPr>
      <t xml:space="preserve">N </t>
    </r>
    <r>
      <rPr>
        <b/>
        <sz val="10"/>
        <rFont val="Arial"/>
        <family val="2"/>
      </rPr>
      <t>1211
IA#81</t>
    </r>
    <r>
      <rPr>
        <sz val="10"/>
        <color rgb="FFFF0000"/>
        <rFont val="Arial"/>
        <family val="2"/>
      </rPr>
      <t xml:space="preserve">
</t>
    </r>
    <r>
      <rPr>
        <b/>
        <sz val="10"/>
        <color rgb="FFFF0000"/>
        <rFont val="Arial"/>
        <family val="2"/>
      </rPr>
      <t>Staged Pmt No 1
DUE 29/03/2019</t>
    </r>
  </si>
  <si>
    <r>
      <rPr>
        <b/>
        <sz val="10"/>
        <color rgb="FF0000FF"/>
        <rFont val="Arial"/>
        <family val="2"/>
      </rPr>
      <t xml:space="preserve">N </t>
    </r>
    <r>
      <rPr>
        <b/>
        <sz val="10"/>
        <rFont val="Arial"/>
        <family val="2"/>
      </rPr>
      <t xml:space="preserve">1197
</t>
    </r>
    <r>
      <rPr>
        <b/>
        <sz val="10"/>
        <color rgb="FF0000FF"/>
        <rFont val="Arial"/>
        <family val="2"/>
      </rPr>
      <t>IA 75</t>
    </r>
    <r>
      <rPr>
        <b/>
        <sz val="10"/>
        <color rgb="FFFF0000"/>
        <rFont val="Arial"/>
        <family val="2"/>
      </rPr>
      <t xml:space="preserve">
STAGED PAYMENT 2
DUE 30/06/2019</t>
    </r>
  </si>
  <si>
    <r>
      <rPr>
        <b/>
        <sz val="10"/>
        <color rgb="FF0000FF"/>
        <rFont val="Arial"/>
        <family val="2"/>
      </rPr>
      <t xml:space="preserve">N </t>
    </r>
    <r>
      <rPr>
        <b/>
        <sz val="10"/>
        <rFont val="Arial"/>
        <family val="2"/>
      </rPr>
      <t xml:space="preserve">1211
</t>
    </r>
    <r>
      <rPr>
        <b/>
        <sz val="10"/>
        <color rgb="FF0000FF"/>
        <rFont val="Arial"/>
        <family val="2"/>
      </rPr>
      <t>IA#81</t>
    </r>
    <r>
      <rPr>
        <sz val="10"/>
        <color rgb="FFFF0000"/>
        <rFont val="Arial"/>
        <family val="2"/>
      </rPr>
      <t xml:space="preserve">
</t>
    </r>
    <r>
      <rPr>
        <b/>
        <sz val="10"/>
        <color rgb="FFFF0000"/>
        <rFont val="Arial"/>
        <family val="2"/>
      </rPr>
      <t>Staged Pmt No 2
DUE 30/06/2019</t>
    </r>
  </si>
  <si>
    <t>D43022</t>
  </si>
  <si>
    <t>D43231</t>
  </si>
  <si>
    <t>D43232</t>
  </si>
  <si>
    <t>D43254</t>
  </si>
  <si>
    <t>D43234</t>
  </si>
  <si>
    <t>D43244</t>
  </si>
  <si>
    <r>
      <rPr>
        <strike/>
        <sz val="10"/>
        <rFont val="Arial"/>
        <family val="2"/>
      </rPr>
      <t>2/01/2018</t>
    </r>
    <r>
      <rPr>
        <sz val="10"/>
        <rFont val="Arial"/>
        <family val="2"/>
      </rPr>
      <t xml:space="preserve">
</t>
    </r>
    <r>
      <rPr>
        <sz val="10"/>
        <color rgb="FF0000FF"/>
        <rFont val="Arial"/>
        <family val="2"/>
      </rPr>
      <t>27/03/2019</t>
    </r>
  </si>
  <si>
    <r>
      <rPr>
        <strike/>
        <sz val="10"/>
        <rFont val="Arial"/>
        <family val="2"/>
      </rPr>
      <t>MCU16/0130</t>
    </r>
    <r>
      <rPr>
        <sz val="10"/>
        <rFont val="Arial"/>
        <family val="2"/>
      </rPr>
      <t xml:space="preserve">
</t>
    </r>
    <r>
      <rPr>
        <sz val="10"/>
        <color rgb="FF0000FF"/>
        <rFont val="Arial"/>
        <family val="2"/>
      </rPr>
      <t>MCU16/0130.01</t>
    </r>
  </si>
  <si>
    <t xml:space="preserve">Retail Business Type 6 Hardware &amp; Retail Business Type 7 Garden &amp; Lifestyle Centre = 520m2 GFA   
New Impervious area estimated from approved plan = 2,320m2 </t>
  </si>
  <si>
    <t>Highest exisitng lawful use = Retail Business Type 6 Hardware = 197 + 257 + 74 = 528m2 GFA   
Existing Impervious area estimated from aerial photos + existing buildings gfa = 280 + 528 = 808m2 Impervious area</t>
  </si>
  <si>
    <t>D43245</t>
  </si>
  <si>
    <t>D43246</t>
  </si>
  <si>
    <r>
      <t xml:space="preserve">Building Work
Pacific BCQ
Number: 20170142 </t>
    </r>
    <r>
      <rPr>
        <sz val="10"/>
        <color rgb="FFFF0000"/>
        <rFont val="Arial"/>
        <family val="2"/>
      </rPr>
      <t>Disengaged 18/04/2018
Replacement certifier for final documents = Noosa Building Certifiers reference 20180163 completed 15/08/2018</t>
    </r>
  </si>
  <si>
    <t>MCU15/0014</t>
  </si>
  <si>
    <t>D43906</t>
  </si>
  <si>
    <t>D43907</t>
  </si>
  <si>
    <t>APRIL 2019
Total =</t>
  </si>
  <si>
    <t>D43908</t>
  </si>
  <si>
    <t>D44184</t>
  </si>
  <si>
    <r>
      <t>20/02/2010</t>
    </r>
    <r>
      <rPr>
        <sz val="8"/>
        <rFont val="Arial"/>
        <family val="2"/>
      </rPr>
      <t xml:space="preserve">
</t>
    </r>
    <r>
      <rPr>
        <strike/>
        <sz val="8"/>
        <rFont val="Arial"/>
        <family val="2"/>
      </rPr>
      <t>29/4/2013</t>
    </r>
    <r>
      <rPr>
        <sz val="8"/>
        <rFont val="Arial"/>
        <family val="2"/>
      </rPr>
      <t xml:space="preserve">
</t>
    </r>
    <r>
      <rPr>
        <strike/>
        <sz val="8"/>
        <rFont val="Arial"/>
        <family val="2"/>
      </rPr>
      <t>29/11/2017</t>
    </r>
    <r>
      <rPr>
        <sz val="8"/>
        <rFont val="Arial"/>
        <family val="2"/>
      </rPr>
      <t xml:space="preserve">
</t>
    </r>
    <r>
      <rPr>
        <sz val="8"/>
        <color rgb="FF0000FF"/>
        <rFont val="Arial"/>
        <family val="2"/>
      </rPr>
      <t>29/11/2021</t>
    </r>
  </si>
  <si>
    <t>PC19/0381</t>
  </si>
  <si>
    <t>Building Work:
Caloundra Building Approvals
Number: 00008591</t>
  </si>
  <si>
    <t>Local Build</t>
  </si>
  <si>
    <t>PO Box 136
GOLDEN BEACH QLD 4551</t>
  </si>
  <si>
    <t>Lot 20 RP 32777</t>
  </si>
  <si>
    <t>10 Tulip Lane
COOROY QLD 4563</t>
  </si>
  <si>
    <t>Duplicate OVER payment</t>
  </si>
  <si>
    <t>D44164</t>
  </si>
  <si>
    <r>
      <rPr>
        <b/>
        <sz val="10"/>
        <color rgb="FF0000FF"/>
        <rFont val="Arial"/>
        <family val="2"/>
      </rPr>
      <t xml:space="preserve">N </t>
    </r>
    <r>
      <rPr>
        <b/>
        <sz val="10"/>
        <rFont val="Arial"/>
        <family val="2"/>
      </rPr>
      <t xml:space="preserve">1060
</t>
    </r>
    <r>
      <rPr>
        <b/>
        <sz val="10"/>
        <color rgb="FFFF0000"/>
        <rFont val="Arial"/>
        <family val="2"/>
      </rPr>
      <t xml:space="preserve">
</t>
    </r>
    <r>
      <rPr>
        <sz val="10"/>
        <color rgb="FFFF0000"/>
        <rFont val="Arial"/>
        <family val="2"/>
      </rPr>
      <t>REFUND payment</t>
    </r>
  </si>
  <si>
    <r>
      <rPr>
        <b/>
        <sz val="10"/>
        <color rgb="FF0000FF"/>
        <rFont val="Arial"/>
        <family val="2"/>
      </rPr>
      <t xml:space="preserve">N </t>
    </r>
    <r>
      <rPr>
        <b/>
        <sz val="10"/>
        <rFont val="Arial"/>
        <family val="2"/>
      </rPr>
      <t xml:space="preserve">1060
</t>
    </r>
    <r>
      <rPr>
        <b/>
        <sz val="10"/>
        <color rgb="FFFF0000"/>
        <rFont val="Arial"/>
        <family val="2"/>
      </rPr>
      <t xml:space="preserve">
</t>
    </r>
    <r>
      <rPr>
        <sz val="10"/>
        <color rgb="FFFF0000"/>
        <rFont val="Arial"/>
        <family val="2"/>
      </rPr>
      <t>Duplicate payment already made on 28/03/2019</t>
    </r>
  </si>
  <si>
    <t>REFUND of OVER payment</t>
  </si>
  <si>
    <t xml:space="preserve">Payment No. 047390 </t>
  </si>
  <si>
    <r>
      <rPr>
        <b/>
        <sz val="10"/>
        <color rgb="FF0000FF"/>
        <rFont val="Arial"/>
        <family val="2"/>
      </rPr>
      <t xml:space="preserve">N </t>
    </r>
    <r>
      <rPr>
        <b/>
        <sz val="10"/>
        <rFont val="Arial"/>
        <family val="2"/>
      </rPr>
      <t xml:space="preserve">1068
</t>
    </r>
    <r>
      <rPr>
        <b/>
        <sz val="10"/>
        <color rgb="FFFF0000"/>
        <rFont val="Arial"/>
        <family val="2"/>
      </rPr>
      <t xml:space="preserve">
Replaced by ICN.N1348  re MCU17/0563</t>
    </r>
  </si>
  <si>
    <r>
      <rPr>
        <b/>
        <sz val="10"/>
        <color rgb="FF0000FF"/>
        <rFont val="Arial"/>
        <family val="2"/>
      </rPr>
      <t xml:space="preserve">N </t>
    </r>
    <r>
      <rPr>
        <b/>
        <sz val="10"/>
        <rFont val="Arial"/>
        <family val="2"/>
      </rPr>
      <t xml:space="preserve">1144
</t>
    </r>
    <r>
      <rPr>
        <sz val="10"/>
        <rFont val="Arial"/>
        <family val="2"/>
      </rPr>
      <t xml:space="preserve">
</t>
    </r>
    <r>
      <rPr>
        <sz val="10"/>
        <color rgb="FFFF0000"/>
        <rFont val="Arial"/>
        <family val="2"/>
      </rPr>
      <t>BA issued
PC17/0048
Plan Seal PS19/0005</t>
    </r>
  </si>
  <si>
    <t>D45704</t>
  </si>
  <si>
    <t>PC19/0177</t>
  </si>
  <si>
    <t>Building Work:
ADEPT Building Approvals
Number: 00006792</t>
  </si>
  <si>
    <t>Denis Web</t>
  </si>
  <si>
    <t>227 Peachester Road
BEERWAH QLD 4519</t>
  </si>
  <si>
    <t>Lot 2 RP 881317</t>
  </si>
  <si>
    <t>201 Uhlmanns Road 
FEDERAL QLD 4568</t>
  </si>
  <si>
    <t>D47143</t>
  </si>
  <si>
    <t>D46178</t>
  </si>
  <si>
    <r>
      <t xml:space="preserve">Use commenced  via AirBnB from March 2015 as "Pomona Rural Retreat Cottages"
</t>
    </r>
    <r>
      <rPr>
        <sz val="10"/>
        <color rgb="FF0000FF"/>
        <rFont val="Arial"/>
        <family val="2"/>
      </rPr>
      <t>Staged Payment Agreement Approved  3/08/2017</t>
    </r>
  </si>
  <si>
    <t>The Mcfarlan Group Pty Ltd</t>
  </si>
  <si>
    <t>C/- Pivotal Perspective Pty Ltd
4/59 Mary St
NOOSAVILLE QLD 4566</t>
  </si>
  <si>
    <t>Lot 200 RP 913612</t>
  </si>
  <si>
    <t>26 Project Ave 
NOOSAVIILLE QLD 4566</t>
  </si>
  <si>
    <t xml:space="preserve">Industrial Business - Type 2 = 
283m2 gfa +
636m2 impervious area 
</t>
  </si>
  <si>
    <t>Entertainment &amp; dining business - Type 2 Recreation, amusement &amp; fitness (GYM) = 
86m2 gfa Non-Court area
306 m2 gfa Court area
+ 876 m2 impervious area</t>
  </si>
  <si>
    <t>20 Park View Ct, TEWANTIN QLD 4565</t>
  </si>
  <si>
    <t>CPI Mar 2019</t>
  </si>
  <si>
    <r>
      <rPr>
        <b/>
        <sz val="10"/>
        <color rgb="FF0000FF"/>
        <rFont val="Arial"/>
        <family val="2"/>
      </rPr>
      <t xml:space="preserve">N </t>
    </r>
    <r>
      <rPr>
        <b/>
        <sz val="10"/>
        <rFont val="Arial"/>
        <family val="2"/>
      </rPr>
      <t xml:space="preserve">1250
</t>
    </r>
    <r>
      <rPr>
        <sz val="10"/>
        <color rgb="FFFF0000"/>
        <rFont val="Arial"/>
        <family val="2"/>
      </rPr>
      <t>Completed under replacement ceritifer
Final Inspection Certificate 15/08/2018
PAYMENT DUE 
26 APRIL 2019</t>
    </r>
  </si>
  <si>
    <r>
      <rPr>
        <b/>
        <sz val="10"/>
        <color rgb="FF0000FF"/>
        <rFont val="Arial"/>
        <family val="2"/>
      </rPr>
      <t xml:space="preserve">N </t>
    </r>
    <r>
      <rPr>
        <b/>
        <sz val="10"/>
        <rFont val="Arial"/>
        <family val="2"/>
      </rPr>
      <t xml:space="preserve">1180
</t>
    </r>
    <r>
      <rPr>
        <b/>
        <sz val="10"/>
        <color rgb="FF0000FF"/>
        <rFont val="Arial"/>
        <family val="2"/>
      </rPr>
      <t>IA 83</t>
    </r>
    <r>
      <rPr>
        <b/>
        <sz val="10"/>
        <rFont val="Arial"/>
        <family val="2"/>
      </rPr>
      <t xml:space="preserve">
</t>
    </r>
    <r>
      <rPr>
        <b/>
        <sz val="10"/>
        <color rgb="FFFF0000"/>
        <rFont val="Arial"/>
        <family val="2"/>
      </rPr>
      <t>Staged Payment No.1
DUE 30 JUNE 2019</t>
    </r>
  </si>
  <si>
    <r>
      <rPr>
        <b/>
        <sz val="10"/>
        <color rgb="FF0000FF"/>
        <rFont val="Arial"/>
        <family val="2"/>
      </rPr>
      <t xml:space="preserve">N </t>
    </r>
    <r>
      <rPr>
        <b/>
        <sz val="10"/>
        <rFont val="Arial"/>
        <family val="2"/>
      </rPr>
      <t xml:space="preserve">1180
</t>
    </r>
    <r>
      <rPr>
        <b/>
        <sz val="10"/>
        <color rgb="FF0000FF"/>
        <rFont val="Arial"/>
        <family val="2"/>
      </rPr>
      <t>IA 83</t>
    </r>
    <r>
      <rPr>
        <b/>
        <sz val="10"/>
        <rFont val="Arial"/>
        <family val="2"/>
      </rPr>
      <t xml:space="preserve">
</t>
    </r>
    <r>
      <rPr>
        <b/>
        <sz val="10"/>
        <color rgb="FFFF0000"/>
        <rFont val="Arial"/>
        <family val="2"/>
      </rPr>
      <t>Staged Payment No.2
DUE 20 DECEMBER 2019</t>
    </r>
  </si>
  <si>
    <t xml:space="preserve">1 B/R Secondary Dwelling  </t>
  </si>
  <si>
    <r>
      <rPr>
        <b/>
        <sz val="10"/>
        <color rgb="FF0000FF"/>
        <rFont val="Arial"/>
        <family val="2"/>
      </rPr>
      <t xml:space="preserve">N </t>
    </r>
    <r>
      <rPr>
        <b/>
        <sz val="10"/>
        <rFont val="Arial"/>
        <family val="2"/>
      </rPr>
      <t xml:space="preserve">1315
</t>
    </r>
    <r>
      <rPr>
        <sz val="10"/>
        <color rgb="FFFF0000"/>
        <rFont val="Arial"/>
        <family val="2"/>
      </rPr>
      <t xml:space="preserve">nearing completion re PC18/0397 </t>
    </r>
  </si>
  <si>
    <t>D47859</t>
  </si>
  <si>
    <t>D48482</t>
  </si>
  <si>
    <t>MAY 2019
Total =</t>
  </si>
  <si>
    <r>
      <rPr>
        <b/>
        <sz val="10"/>
        <color rgb="FF0000FF"/>
        <rFont val="Arial"/>
        <family val="2"/>
      </rPr>
      <t xml:space="preserve">N </t>
    </r>
    <r>
      <rPr>
        <b/>
        <sz val="10"/>
        <rFont val="Arial"/>
        <family val="2"/>
      </rPr>
      <t xml:space="preserve">1361
</t>
    </r>
  </si>
  <si>
    <r>
      <rPr>
        <b/>
        <sz val="10"/>
        <color rgb="FF0000FF"/>
        <rFont val="Arial"/>
        <family val="2"/>
      </rPr>
      <t xml:space="preserve">N </t>
    </r>
    <r>
      <rPr>
        <b/>
        <sz val="10"/>
        <rFont val="Arial"/>
        <family val="2"/>
      </rPr>
      <t xml:space="preserve">1393
</t>
    </r>
  </si>
  <si>
    <t>D48661</t>
  </si>
  <si>
    <t>D48664</t>
  </si>
  <si>
    <t>CPI Sep 2019</t>
  </si>
  <si>
    <r>
      <rPr>
        <b/>
        <sz val="10"/>
        <color rgb="FF0000FF"/>
        <rFont val="Arial"/>
        <family val="2"/>
      </rPr>
      <t xml:space="preserve">N </t>
    </r>
    <r>
      <rPr>
        <b/>
        <sz val="10"/>
        <rFont val="Arial"/>
        <family val="2"/>
      </rPr>
      <t xml:space="preserve">1296
</t>
    </r>
    <r>
      <rPr>
        <b/>
        <sz val="10"/>
        <color rgb="FFFF0000"/>
        <rFont val="Arial"/>
        <family val="2"/>
      </rPr>
      <t xml:space="preserve">Final Certificate 
26-Apr-2019  </t>
    </r>
    <r>
      <rPr>
        <sz val="10"/>
        <color rgb="FFFF0000"/>
        <rFont val="Arial"/>
        <family val="2"/>
      </rPr>
      <t xml:space="preserve">
</t>
    </r>
    <r>
      <rPr>
        <b/>
        <sz val="10"/>
        <color rgb="FFFF0000"/>
        <rFont val="Arial"/>
        <family val="2"/>
      </rPr>
      <t xml:space="preserve">PAYMENT DUE 31 MAY </t>
    </r>
  </si>
  <si>
    <r>
      <rPr>
        <b/>
        <sz val="10"/>
        <color rgb="FF0000FF"/>
        <rFont val="Arial"/>
        <family val="2"/>
      </rPr>
      <t xml:space="preserve">N </t>
    </r>
    <r>
      <rPr>
        <b/>
        <sz val="10"/>
        <rFont val="Arial"/>
        <family val="2"/>
      </rPr>
      <t xml:space="preserve">1260
</t>
    </r>
    <r>
      <rPr>
        <b/>
        <sz val="10"/>
        <color rgb="FFFF0000"/>
        <rFont val="Arial"/>
        <family val="2"/>
      </rPr>
      <t>Completed per Aerials &amp; MC Inspection 2/05/2019 
PAYMENT DUE
 31 MAY 2019</t>
    </r>
  </si>
  <si>
    <t>MCU18/0047</t>
  </si>
  <si>
    <t>Mr AW Kelly</t>
  </si>
  <si>
    <t>Lot 6 SP 126336</t>
  </si>
  <si>
    <t>3 Johnson Ct COOROY QLD 4563</t>
  </si>
  <si>
    <t>Existing 1124 m2 impervious</t>
  </si>
  <si>
    <t xml:space="preserve">Industrial Type 2
items #8 &amp; #10 identified on the approved plan = 387m2 Additional gfa
+ 4132 m2 impervious
</t>
  </si>
  <si>
    <r>
      <rPr>
        <strike/>
        <sz val="8"/>
        <rFont val="Arial"/>
        <family val="2"/>
      </rPr>
      <t>PO Box 1184 NOOSA HEADS  QLD  4567</t>
    </r>
    <r>
      <rPr>
        <sz val="8"/>
        <rFont val="Arial"/>
        <family val="2"/>
      </rPr>
      <t xml:space="preserve">
C/- JFP Urban Consultants Pty Ltd
PO Box 6
MAROOCHYDORE QLD 4558</t>
    </r>
  </si>
  <si>
    <t>D49104</t>
  </si>
  <si>
    <t>D49105</t>
  </si>
  <si>
    <t>Noosa Christian College</t>
  </si>
  <si>
    <t>C/- John Gaskell Planning Consultants
PO Box 8103
WOOLLOONGABBA QLD 4102</t>
  </si>
  <si>
    <t>20 Cooroy Belli Creek Road COOROY QLD 4563</t>
  </si>
  <si>
    <t>Community Uses - Education Type 2 - School 
New development: GFA = 798m2 
Impervious area = 825m2 (Area Calculations details from Site Plan)</t>
  </si>
  <si>
    <t>50% Rebate under Council Poicy for Community Organisation</t>
  </si>
  <si>
    <t>PC19/0340</t>
  </si>
  <si>
    <t>PC19/0447</t>
  </si>
  <si>
    <t>Building Work: Building Approvals United QLD 
Number: 20191822</t>
  </si>
  <si>
    <t>Building Work: Noosa Building Approvals 
Number: 20190052</t>
  </si>
  <si>
    <t>Wraycon Building</t>
  </si>
  <si>
    <t>Lot 15 RP 904257</t>
  </si>
  <si>
    <t>10 Illawarra Drive 
COOROIBAH QLD 4565</t>
  </si>
  <si>
    <t>Mr &amp; Mrs Markovic</t>
  </si>
  <si>
    <t>4 Witta Circuit
NOOSA HEADS QLD 4567</t>
  </si>
  <si>
    <t>Lot 123 N 21845</t>
  </si>
  <si>
    <t>MAY 2019 Total =</t>
  </si>
  <si>
    <r>
      <rPr>
        <b/>
        <sz val="10"/>
        <color rgb="FF0000FF"/>
        <rFont val="Arial"/>
        <family val="2"/>
      </rPr>
      <t xml:space="preserve">N </t>
    </r>
    <r>
      <rPr>
        <b/>
        <sz val="10"/>
        <rFont val="Arial"/>
        <family val="2"/>
      </rPr>
      <t xml:space="preserve">1195
</t>
    </r>
    <r>
      <rPr>
        <sz val="10"/>
        <color rgb="FFFF0000"/>
        <rFont val="Arial"/>
        <family val="2"/>
      </rPr>
      <t xml:space="preserve">
</t>
    </r>
    <r>
      <rPr>
        <b/>
        <sz val="10"/>
        <color rgb="FF0000FF"/>
        <rFont val="Arial"/>
        <family val="2"/>
      </rPr>
      <t>IA 84</t>
    </r>
    <r>
      <rPr>
        <sz val="10"/>
        <color rgb="FFFF0000"/>
        <rFont val="Arial"/>
        <family val="2"/>
      </rPr>
      <t xml:space="preserve">
</t>
    </r>
    <r>
      <rPr>
        <b/>
        <sz val="10"/>
        <color rgb="FFFF0000"/>
        <rFont val="Arial"/>
        <family val="2"/>
      </rPr>
      <t>STAGED PAYMENT 2
DUE 20 DEC 2019</t>
    </r>
  </si>
  <si>
    <t>Final Inspection Cert issued 14/12/2018
STAGED PAYMENT AGREEMENT DATED 30/04/2019</t>
  </si>
  <si>
    <r>
      <rPr>
        <b/>
        <sz val="10"/>
        <color rgb="FF0000FF"/>
        <rFont val="Arial"/>
        <family val="2"/>
      </rPr>
      <t xml:space="preserve">N </t>
    </r>
    <r>
      <rPr>
        <b/>
        <sz val="10"/>
        <rFont val="Arial"/>
        <family val="2"/>
      </rPr>
      <t xml:space="preserve">1195
</t>
    </r>
    <r>
      <rPr>
        <sz val="10"/>
        <color rgb="FFFF0000"/>
        <rFont val="Arial"/>
        <family val="2"/>
      </rPr>
      <t xml:space="preserve">
</t>
    </r>
    <r>
      <rPr>
        <b/>
        <sz val="10"/>
        <color rgb="FF0000FF"/>
        <rFont val="Arial"/>
        <family val="2"/>
      </rPr>
      <t>IA 84</t>
    </r>
    <r>
      <rPr>
        <sz val="10"/>
        <color rgb="FFFF0000"/>
        <rFont val="Arial"/>
        <family val="2"/>
      </rPr>
      <t xml:space="preserve">
</t>
    </r>
    <r>
      <rPr>
        <b/>
        <sz val="10"/>
        <color rgb="FFFF0000"/>
        <rFont val="Arial"/>
        <family val="2"/>
      </rPr>
      <t>STAGED PAYMENT 1</t>
    </r>
    <r>
      <rPr>
        <sz val="10"/>
        <color rgb="FFFF0000"/>
        <rFont val="Arial"/>
        <family val="2"/>
      </rPr>
      <t xml:space="preserve">
</t>
    </r>
    <r>
      <rPr>
        <b/>
        <sz val="10"/>
        <color rgb="FFFF0000"/>
        <rFont val="Arial"/>
        <family val="2"/>
      </rPr>
      <t>DUE 10 MAY 2019</t>
    </r>
  </si>
  <si>
    <r>
      <t xml:space="preserve">Final Inspection Cert issued 14/12/2018
</t>
    </r>
    <r>
      <rPr>
        <b/>
        <sz val="10"/>
        <color rgb="FF0000FF"/>
        <rFont val="Arial"/>
        <family val="2"/>
      </rPr>
      <t xml:space="preserve">STAGED PAYMENT AGREEMENT DATED 30/04/2019
</t>
    </r>
  </si>
  <si>
    <r>
      <t xml:space="preserve">Final Inspection Cert issued 14/12/2018
</t>
    </r>
    <r>
      <rPr>
        <b/>
        <sz val="10"/>
        <color rgb="FF0000FF"/>
        <rFont val="Arial"/>
        <family val="2"/>
      </rPr>
      <t xml:space="preserve">STAGED PAYMENT AGREEMENT DATED 30/04/2019
</t>
    </r>
    <r>
      <rPr>
        <b/>
        <sz val="10"/>
        <color rgb="FFFF5050"/>
        <rFont val="Arial"/>
        <family val="2"/>
      </rPr>
      <t>Incorrectly paid full amount &amp; requested refund to proceed with staged payments on 8/05/2019</t>
    </r>
  </si>
  <si>
    <t>REFUND of earlier payment made on 28/06/2018 Receipt: 1207559 LESS $185.00 admin fee</t>
  </si>
  <si>
    <r>
      <rPr>
        <b/>
        <sz val="10"/>
        <color rgb="FF0000FF"/>
        <rFont val="Arial"/>
        <family val="2"/>
      </rPr>
      <t xml:space="preserve">N </t>
    </r>
    <r>
      <rPr>
        <b/>
        <sz val="10"/>
        <rFont val="Arial"/>
        <family val="2"/>
      </rPr>
      <t xml:space="preserve">1195
</t>
    </r>
    <r>
      <rPr>
        <b/>
        <sz val="10"/>
        <color rgb="FFFF0000"/>
        <rFont val="Arial"/>
        <family val="2"/>
      </rPr>
      <t>REFUND of Overpayment of Stg Payment 1</t>
    </r>
    <r>
      <rPr>
        <sz val="10"/>
        <color rgb="FFFF0000"/>
        <rFont val="Arial"/>
        <family val="2"/>
      </rPr>
      <t xml:space="preserve">
</t>
    </r>
    <r>
      <rPr>
        <b/>
        <sz val="10"/>
        <color rgb="FF0000FF"/>
        <rFont val="Arial"/>
        <family val="2"/>
      </rPr>
      <t>IA 84</t>
    </r>
    <r>
      <rPr>
        <sz val="10"/>
        <color rgb="FFFF0000"/>
        <rFont val="Arial"/>
        <family val="2"/>
      </rPr>
      <t xml:space="preserve">
</t>
    </r>
  </si>
  <si>
    <t>Accidentally paid full amount &amp; requested refund to proceed with staged payments on 8/05/2019</t>
  </si>
  <si>
    <t>D49553</t>
  </si>
  <si>
    <r>
      <rPr>
        <b/>
        <sz val="10"/>
        <color rgb="FF0000FF"/>
        <rFont val="Arial"/>
        <family val="2"/>
      </rPr>
      <t xml:space="preserve">N </t>
    </r>
    <r>
      <rPr>
        <b/>
        <sz val="10"/>
        <rFont val="Arial"/>
        <family val="2"/>
      </rPr>
      <t xml:space="preserve">1286
</t>
    </r>
    <r>
      <rPr>
        <sz val="10"/>
        <color rgb="FFFF0000"/>
        <rFont val="Arial"/>
        <family val="2"/>
      </rPr>
      <t>MC Inspecition completed 8/05/2019</t>
    </r>
    <r>
      <rPr>
        <b/>
        <sz val="10"/>
        <color rgb="FFFF0000"/>
        <rFont val="Arial"/>
        <family val="2"/>
      </rPr>
      <t xml:space="preserve">
Payment Due 
31 MAY 2019</t>
    </r>
  </si>
  <si>
    <t>D49640</t>
  </si>
  <si>
    <r>
      <rPr>
        <b/>
        <sz val="10"/>
        <color rgb="FF0000FF"/>
        <rFont val="Arial"/>
        <family val="2"/>
      </rPr>
      <t xml:space="preserve">N </t>
    </r>
    <r>
      <rPr>
        <b/>
        <sz val="10"/>
        <rFont val="Arial"/>
        <family val="2"/>
      </rPr>
      <t xml:space="preserve">1276
</t>
    </r>
    <r>
      <rPr>
        <sz val="10"/>
        <rFont val="Arial"/>
        <family val="2"/>
      </rPr>
      <t xml:space="preserve">
</t>
    </r>
    <r>
      <rPr>
        <sz val="10"/>
        <color rgb="FFFF0000"/>
        <rFont val="Arial"/>
        <family val="2"/>
      </rPr>
      <t>Completed per Aerials &amp; MC Inspection 2/05/2019 
PAYMENT DUE
 31 MAY 2019</t>
    </r>
  </si>
  <si>
    <r>
      <rPr>
        <b/>
        <sz val="10"/>
        <color rgb="FF0000FF"/>
        <rFont val="Arial"/>
        <family val="2"/>
      </rPr>
      <t xml:space="preserve">N </t>
    </r>
    <r>
      <rPr>
        <b/>
        <sz val="10"/>
        <rFont val="Arial"/>
        <family val="2"/>
      </rPr>
      <t xml:space="preserve">1236
</t>
    </r>
    <r>
      <rPr>
        <sz val="10"/>
        <color rgb="FFFF0000"/>
        <rFont val="Arial"/>
        <family val="2"/>
      </rPr>
      <t>Completed MC 10/04/2019</t>
    </r>
    <r>
      <rPr>
        <b/>
        <sz val="10"/>
        <rFont val="Arial"/>
        <family val="2"/>
      </rPr>
      <t xml:space="preserve">
</t>
    </r>
    <r>
      <rPr>
        <sz val="10"/>
        <color rgb="FFFF0000"/>
        <rFont val="Arial"/>
        <family val="2"/>
      </rPr>
      <t>DUE 10 MAY 2019</t>
    </r>
  </si>
  <si>
    <t>D50062</t>
  </si>
  <si>
    <t>PC19/0440</t>
  </si>
  <si>
    <t>Building Work: Caloundra Building Approvals Number: 00008633</t>
  </si>
  <si>
    <t>Lot 27 SP 15678</t>
  </si>
  <si>
    <t>19 Overton Way
KIN KIN QLD 4571</t>
  </si>
  <si>
    <r>
      <t>MCU19/0013</t>
    </r>
    <r>
      <rPr>
        <i/>
        <sz val="10"/>
        <rFont val="Arial"/>
        <family val="2"/>
      </rPr>
      <t xml:space="preserve"> (&amp; RAL19/0003)</t>
    </r>
  </si>
  <si>
    <t>RF Erharter</t>
  </si>
  <si>
    <t>Lot 6 RP 82318</t>
  </si>
  <si>
    <t>10 Opal Street, 
COOROY QLD 4563</t>
  </si>
  <si>
    <t>Multiple Housing Type Duplex = 
2 x 3+ bedroom units
(&amp; will be subdivided on to 2 community titled lots)</t>
  </si>
  <si>
    <r>
      <rPr>
        <b/>
        <sz val="10"/>
        <color rgb="FF0000FF"/>
        <rFont val="Arial"/>
        <family val="2"/>
      </rPr>
      <t xml:space="preserve">Paid 
</t>
    </r>
    <r>
      <rPr>
        <sz val="10"/>
        <color rgb="FFFF0000"/>
        <rFont val="Arial"/>
        <family val="2"/>
      </rPr>
      <t xml:space="preserve">
Stormwater negative amount taken off Parks</t>
    </r>
  </si>
  <si>
    <t>D50537</t>
  </si>
  <si>
    <t>D50538</t>
  </si>
  <si>
    <r>
      <rPr>
        <b/>
        <sz val="10"/>
        <color rgb="FF0000FF"/>
        <rFont val="Arial"/>
        <family val="2"/>
      </rPr>
      <t xml:space="preserve">N </t>
    </r>
    <r>
      <rPr>
        <b/>
        <sz val="10"/>
        <rFont val="Arial"/>
        <family val="2"/>
      </rPr>
      <t xml:space="preserve">1222
</t>
    </r>
    <r>
      <rPr>
        <sz val="9"/>
        <color rgb="FFFF0000"/>
        <rFont val="Arial"/>
        <family val="2"/>
      </rPr>
      <t>PC19/0489 issued 
for Building Works</t>
    </r>
    <r>
      <rPr>
        <sz val="10"/>
        <color rgb="FFFF0000"/>
        <rFont val="Arial"/>
        <family val="2"/>
      </rPr>
      <t xml:space="preserve">
</t>
    </r>
    <r>
      <rPr>
        <strike/>
        <sz val="9"/>
        <color rgb="FFFF0000"/>
        <rFont val="Arial"/>
        <family val="2"/>
      </rPr>
      <t>OR 
alternative to 23176 DA + IA24 +AICN.N1130</t>
    </r>
  </si>
  <si>
    <r>
      <t xml:space="preserve">MCU16/0143
</t>
    </r>
    <r>
      <rPr>
        <b/>
        <sz val="10"/>
        <rFont val="Arial"/>
        <family val="2"/>
      </rPr>
      <t xml:space="preserve">(STAGE 1)
</t>
    </r>
    <r>
      <rPr>
        <sz val="9"/>
        <color rgb="FFFF0000"/>
        <rFont val="Arial"/>
        <family val="2"/>
      </rPr>
      <t>PC19/0489 issued 
for Building Works</t>
    </r>
    <r>
      <rPr>
        <b/>
        <sz val="10"/>
        <rFont val="Arial"/>
        <family val="2"/>
      </rPr>
      <t xml:space="preserve">
</t>
    </r>
    <r>
      <rPr>
        <strike/>
        <sz val="9"/>
        <color rgb="FFFF0000"/>
        <rFont val="Arial"/>
        <family val="2"/>
      </rPr>
      <t>OR 
alternative to 23176 DA</t>
    </r>
  </si>
  <si>
    <r>
      <t xml:space="preserve">23176 DA
132003.220653
</t>
    </r>
    <r>
      <rPr>
        <sz val="8"/>
        <color rgb="FF0000FF"/>
        <rFont val="Arial"/>
        <family val="2"/>
      </rPr>
      <t xml:space="preserve">Extn: 132003.220653.4
132003.220653.6
132003.220653.7
</t>
    </r>
    <r>
      <rPr>
        <sz val="8"/>
        <color rgb="FFFF0000"/>
        <rFont val="Arial"/>
        <family val="2"/>
      </rPr>
      <t>REPLACED BY
alternative MCU16/0143 &amp; ICN.N1222
re PC19/0489 issued for Building Works</t>
    </r>
  </si>
  <si>
    <r>
      <t xml:space="preserve">23120 DA
132002.220611
</t>
    </r>
    <r>
      <rPr>
        <sz val="8"/>
        <color rgb="FF0000FF"/>
        <rFont val="Arial"/>
        <family val="2"/>
      </rPr>
      <t xml:space="preserve">Extn:
132002.220611.4
132002.220611.5
</t>
    </r>
    <r>
      <rPr>
        <sz val="8"/>
        <color rgb="FFFF0000"/>
        <rFont val="Arial"/>
        <family val="2"/>
      </rPr>
      <t>REPLACED BY
alternative MCU16/0143 &amp; ICN.N1222
re PC19/0489 issued for Building Works</t>
    </r>
  </si>
  <si>
    <r>
      <t xml:space="preserve">REFUND of Overpayment 
IA 84 
</t>
    </r>
    <r>
      <rPr>
        <sz val="8"/>
        <color rgb="FFFF0000"/>
        <rFont val="Arial"/>
        <family val="2"/>
      </rPr>
      <t>Approved to Stg Pmts 2,3,4 Less $185.00 refund fee from Transport</t>
    </r>
  </si>
  <si>
    <t>Payment No. 048221</t>
  </si>
  <si>
    <t>PART REFUND of earlier full amount paid on 1/05/2019 Receipt: D48661 
Refund = approved Stage Payments 2,3 &amp; 4 LESS $185.00 admin fee from Transport</t>
  </si>
  <si>
    <r>
      <t xml:space="preserve">05/1133 (DA)
</t>
    </r>
    <r>
      <rPr>
        <strike/>
        <sz val="8"/>
        <color rgb="FF0000FF"/>
        <rFont val="Arial"/>
        <family val="2"/>
      </rPr>
      <t xml:space="preserve">132005.1133.3 
132005.1133.4 </t>
    </r>
    <r>
      <rPr>
        <sz val="8"/>
        <color rgb="FF0000FF"/>
        <rFont val="Arial"/>
        <family val="2"/>
      </rPr>
      <t xml:space="preserve">
</t>
    </r>
    <r>
      <rPr>
        <strike/>
        <sz val="8"/>
        <color rgb="FF0000FF"/>
        <rFont val="Arial"/>
        <family val="2"/>
      </rPr>
      <t>132005.1133.5</t>
    </r>
    <r>
      <rPr>
        <sz val="8"/>
        <color rgb="FF0000FF"/>
        <rFont val="Arial"/>
        <family val="2"/>
      </rPr>
      <t xml:space="preserve">
</t>
    </r>
    <r>
      <rPr>
        <strike/>
        <sz val="8"/>
        <color rgb="FF0000FF"/>
        <rFont val="Arial"/>
        <family val="2"/>
      </rPr>
      <t>132005.1133.6</t>
    </r>
    <r>
      <rPr>
        <sz val="8"/>
        <color rgb="FF0000FF"/>
        <rFont val="Arial"/>
        <family val="2"/>
      </rPr>
      <t xml:space="preserve">
</t>
    </r>
    <r>
      <rPr>
        <strike/>
        <sz val="8"/>
        <color rgb="FF0000FF"/>
        <rFont val="Arial"/>
        <family val="2"/>
      </rPr>
      <t>132005.1133.7
132005.1133.8</t>
    </r>
    <r>
      <rPr>
        <sz val="8"/>
        <color rgb="FF0000FF"/>
        <rFont val="Arial"/>
        <family val="2"/>
      </rPr>
      <t xml:space="preserve">
132005.1133.9
</t>
    </r>
  </si>
  <si>
    <r>
      <t xml:space="preserve">Part Payment
Balance Payment </t>
    </r>
    <r>
      <rPr>
        <sz val="8"/>
        <color rgb="FF0000FF"/>
        <rFont val="Arial"/>
        <family val="2"/>
      </rPr>
      <t xml:space="preserve"> IC647 = $31.00</t>
    </r>
  </si>
  <si>
    <t>3-May-19
17-May-19</t>
  </si>
  <si>
    <r>
      <t xml:space="preserve">IC 647
</t>
    </r>
    <r>
      <rPr>
        <strike/>
        <sz val="8"/>
        <rFont val="Arial"/>
        <family val="2"/>
      </rPr>
      <t>(Rev 1)
(Rev 2)
(Rev 3)
(Rev 4)
(Rev 5)</t>
    </r>
    <r>
      <rPr>
        <b/>
        <sz val="8"/>
        <color rgb="FF0000FF"/>
        <rFont val="Arial"/>
        <family val="2"/>
      </rPr>
      <t xml:space="preserve">
Rev 6</t>
    </r>
    <r>
      <rPr>
        <b/>
        <sz val="8"/>
        <rFont val="Arial"/>
        <family val="2"/>
      </rPr>
      <t xml:space="preserve">
</t>
    </r>
    <r>
      <rPr>
        <b/>
        <sz val="10"/>
        <color rgb="FF0000FF"/>
        <rFont val="Arial"/>
        <family val="2"/>
      </rPr>
      <t>STAGE CTS 700</t>
    </r>
  </si>
  <si>
    <r>
      <t xml:space="preserve">IC 647
</t>
    </r>
    <r>
      <rPr>
        <strike/>
        <sz val="8"/>
        <rFont val="Arial"/>
        <family val="2"/>
      </rPr>
      <t>(Rev 1)
(Rev 2)
(Rev 3)
(Rev 4)
(Rev 5)</t>
    </r>
    <r>
      <rPr>
        <b/>
        <sz val="8"/>
        <color rgb="FF0000FF"/>
        <rFont val="Arial"/>
        <family val="2"/>
      </rPr>
      <t xml:space="preserve">
Rev 6</t>
    </r>
    <r>
      <rPr>
        <b/>
        <sz val="8"/>
        <rFont val="Arial"/>
        <family val="2"/>
      </rPr>
      <t xml:space="preserve">
</t>
    </r>
    <r>
      <rPr>
        <b/>
        <sz val="10"/>
        <color rgb="FF0000FF"/>
        <rFont val="Arial"/>
        <family val="2"/>
      </rPr>
      <t>STAGE CTS 500</t>
    </r>
  </si>
  <si>
    <r>
      <t xml:space="preserve">IC 647
</t>
    </r>
    <r>
      <rPr>
        <strike/>
        <sz val="8"/>
        <rFont val="Arial"/>
        <family val="2"/>
      </rPr>
      <t>(Rev 1)
(Rev 2)
(Rev 3)
(Rev 4)
(Rev 5)</t>
    </r>
    <r>
      <rPr>
        <b/>
        <sz val="8"/>
        <color rgb="FF0000FF"/>
        <rFont val="Arial"/>
        <family val="2"/>
      </rPr>
      <t xml:space="preserve">
Rev 6</t>
    </r>
    <r>
      <rPr>
        <b/>
        <sz val="8"/>
        <rFont val="Arial"/>
        <family val="2"/>
      </rPr>
      <t xml:space="preserve">
</t>
    </r>
    <r>
      <rPr>
        <b/>
        <sz val="10"/>
        <color rgb="FF0000FF"/>
        <rFont val="Arial"/>
        <family val="2"/>
      </rPr>
      <t>STAGE CTS 300</t>
    </r>
  </si>
  <si>
    <r>
      <rPr>
        <strike/>
        <sz val="8"/>
        <rFont val="Arial"/>
        <family val="2"/>
      </rPr>
      <t>30/08/2007
01/11/2007</t>
    </r>
    <r>
      <rPr>
        <sz val="8"/>
        <rFont val="Arial"/>
        <family val="2"/>
      </rPr>
      <t xml:space="preserve">
</t>
    </r>
    <r>
      <rPr>
        <strike/>
        <sz val="8"/>
        <color rgb="FF0000FF"/>
        <rFont val="Arial"/>
        <family val="2"/>
      </rPr>
      <t>7 April 2011</t>
    </r>
    <r>
      <rPr>
        <sz val="8"/>
        <rFont val="Arial"/>
        <family val="2"/>
      </rPr>
      <t xml:space="preserve">
</t>
    </r>
    <r>
      <rPr>
        <strike/>
        <sz val="8"/>
        <color rgb="FF0000FF"/>
        <rFont val="Arial"/>
        <family val="2"/>
      </rPr>
      <t>10/09/2015</t>
    </r>
    <r>
      <rPr>
        <sz val="8"/>
        <color rgb="FF0000FF"/>
        <rFont val="Arial"/>
        <family val="2"/>
      </rPr>
      <t xml:space="preserve">
</t>
    </r>
    <r>
      <rPr>
        <strike/>
        <sz val="8"/>
        <color rgb="FF0000FF"/>
        <rFont val="Arial"/>
        <family val="2"/>
      </rPr>
      <t>10/03/2016
15/12/2016</t>
    </r>
    <r>
      <rPr>
        <sz val="8"/>
        <color rgb="FF0000FF"/>
        <rFont val="Arial"/>
        <family val="2"/>
      </rPr>
      <t xml:space="preserve">
</t>
    </r>
    <r>
      <rPr>
        <strike/>
        <sz val="8"/>
        <color rgb="FF0000FF"/>
        <rFont val="Arial"/>
        <family val="2"/>
      </rPr>
      <t>25/01/2018</t>
    </r>
    <r>
      <rPr>
        <sz val="8"/>
        <color rgb="FF0000FF"/>
        <rFont val="Arial"/>
        <family val="2"/>
      </rPr>
      <t xml:space="preserve">
</t>
    </r>
    <r>
      <rPr>
        <strike/>
        <sz val="8"/>
        <color rgb="FF0000FF"/>
        <rFont val="Arial"/>
        <family val="2"/>
      </rPr>
      <t>28/11/2018</t>
    </r>
    <r>
      <rPr>
        <sz val="8"/>
        <color rgb="FF0000FF"/>
        <rFont val="Arial"/>
        <family val="2"/>
      </rPr>
      <t xml:space="preserve">
17/05/2019</t>
    </r>
  </si>
  <si>
    <r>
      <rPr>
        <strike/>
        <sz val="10"/>
        <rFont val="Arial"/>
        <family val="2"/>
      </rPr>
      <t>14/09/2015</t>
    </r>
    <r>
      <rPr>
        <sz val="10"/>
        <rFont val="Arial"/>
        <family val="2"/>
      </rPr>
      <t xml:space="preserve">
</t>
    </r>
    <r>
      <rPr>
        <strike/>
        <sz val="10"/>
        <rFont val="Arial"/>
        <family val="2"/>
      </rPr>
      <t>10/03/2016</t>
    </r>
    <r>
      <rPr>
        <sz val="10"/>
        <rFont val="Arial"/>
        <family val="2"/>
      </rPr>
      <t xml:space="preserve">
</t>
    </r>
    <r>
      <rPr>
        <strike/>
        <sz val="10"/>
        <rFont val="Arial"/>
        <family val="2"/>
      </rPr>
      <t>19/12/2016
27/09/2017
25/01/2018</t>
    </r>
    <r>
      <rPr>
        <sz val="10"/>
        <color rgb="FF0000FF"/>
        <rFont val="Arial"/>
        <family val="2"/>
      </rPr>
      <t xml:space="preserve">
</t>
    </r>
    <r>
      <rPr>
        <strike/>
        <sz val="10"/>
        <color rgb="FF0000FF"/>
        <rFont val="Arial"/>
        <family val="2"/>
      </rPr>
      <t>28/11/2018</t>
    </r>
    <r>
      <rPr>
        <sz val="10"/>
        <color rgb="FF0000FF"/>
        <rFont val="Arial"/>
        <family val="2"/>
      </rPr>
      <t xml:space="preserve">
17/05/2019</t>
    </r>
  </si>
  <si>
    <r>
      <rPr>
        <strike/>
        <sz val="10"/>
        <rFont val="Arial"/>
        <family val="2"/>
      </rPr>
      <t>132005.1133.3</t>
    </r>
    <r>
      <rPr>
        <sz val="10"/>
        <rFont val="Arial"/>
        <family val="2"/>
      </rPr>
      <t xml:space="preserve">
</t>
    </r>
    <r>
      <rPr>
        <strike/>
        <sz val="10"/>
        <rFont val="Arial"/>
        <family val="2"/>
      </rPr>
      <t>132005.1133.4</t>
    </r>
    <r>
      <rPr>
        <sz val="10"/>
        <color rgb="FF0000FF"/>
        <rFont val="Arial"/>
        <family val="2"/>
      </rPr>
      <t xml:space="preserve">
</t>
    </r>
    <r>
      <rPr>
        <strike/>
        <sz val="10"/>
        <rFont val="Arial"/>
        <family val="2"/>
      </rPr>
      <t>132005.1133.5
132005.1133.6</t>
    </r>
    <r>
      <rPr>
        <sz val="10"/>
        <rFont val="Arial"/>
        <family val="2"/>
      </rPr>
      <t xml:space="preserve">
</t>
    </r>
    <r>
      <rPr>
        <strike/>
        <sz val="10"/>
        <rFont val="Arial"/>
        <family val="2"/>
      </rPr>
      <t>132005.1133.7</t>
    </r>
    <r>
      <rPr>
        <sz val="10"/>
        <color rgb="FF0000FF"/>
        <rFont val="Arial"/>
        <family val="2"/>
      </rPr>
      <t xml:space="preserve">
</t>
    </r>
    <r>
      <rPr>
        <strike/>
        <sz val="10"/>
        <color rgb="FF0000FF"/>
        <rFont val="Arial"/>
        <family val="2"/>
      </rPr>
      <t>132005.1133.8</t>
    </r>
    <r>
      <rPr>
        <sz val="10"/>
        <color rgb="FF0000FF"/>
        <rFont val="Arial"/>
        <family val="2"/>
      </rPr>
      <t xml:space="preserve">
132005.1133.9
</t>
    </r>
  </si>
  <si>
    <r>
      <rPr>
        <sz val="10"/>
        <color rgb="FF0000FF"/>
        <rFont val="Arial"/>
        <family val="2"/>
      </rPr>
      <t xml:space="preserve">Multiple Housing </t>
    </r>
    <r>
      <rPr>
        <sz val="10"/>
        <rFont val="Arial"/>
        <family val="2"/>
      </rPr>
      <t xml:space="preserve">Type 4 – Conventional =
</t>
    </r>
    <r>
      <rPr>
        <sz val="10"/>
        <color rgb="FF0000FF"/>
        <rFont val="Arial"/>
        <family val="2"/>
      </rPr>
      <t xml:space="preserve">3+ bed units = 12
2 bed units = 2
1 bed units = 0
</t>
    </r>
    <r>
      <rPr>
        <sz val="10"/>
        <color rgb="FFFF0000"/>
        <rFont val="Arial"/>
        <family val="2"/>
      </rPr>
      <t>+
Commercial Office-Type1 Office (Staff Tea room)  67m2</t>
    </r>
  </si>
  <si>
    <r>
      <rPr>
        <sz val="8"/>
        <color rgb="FF0000FF"/>
        <rFont val="Arial"/>
        <family val="2"/>
      </rPr>
      <t xml:space="preserve">Multiple Housing </t>
    </r>
    <r>
      <rPr>
        <sz val="8"/>
        <rFont val="Arial"/>
        <family val="2"/>
      </rPr>
      <t xml:space="preserve">Type 4 – Conventional =
</t>
    </r>
    <r>
      <rPr>
        <sz val="8"/>
        <color rgb="FF0000FF"/>
        <rFont val="Arial"/>
        <family val="2"/>
      </rPr>
      <t xml:space="preserve">3+ bed units = 12
2 bed units = 2
1 bed units = 0
</t>
    </r>
    <r>
      <rPr>
        <sz val="8"/>
        <color rgb="FFFF0000"/>
        <rFont val="Arial"/>
        <family val="2"/>
      </rPr>
      <t>+</t>
    </r>
    <r>
      <rPr>
        <sz val="8"/>
        <color rgb="FF0000FF"/>
        <rFont val="Arial"/>
        <family val="2"/>
      </rPr>
      <t xml:space="preserve">
</t>
    </r>
    <r>
      <rPr>
        <sz val="8"/>
        <color rgb="FFFF0000"/>
        <rFont val="Arial"/>
        <family val="2"/>
      </rPr>
      <t>Commercial Office-Type1 Office (Staff Tea room)  67m2</t>
    </r>
  </si>
  <si>
    <r>
      <t>Mar-19</t>
    </r>
    <r>
      <rPr>
        <sz val="8"/>
        <color rgb="FFFF0000"/>
        <rFont val="Arial"/>
        <family val="2"/>
      </rPr>
      <t xml:space="preserve"> (under paid $31)</t>
    </r>
    <r>
      <rPr>
        <sz val="8"/>
        <color rgb="FF0000FF"/>
        <rFont val="Arial"/>
        <family val="2"/>
      </rPr>
      <t xml:space="preserve">
Mar-19 (paid bal $31)</t>
    </r>
    <r>
      <rPr>
        <sz val="8"/>
        <color rgb="FFFF0000"/>
        <rFont val="Arial"/>
        <family val="2"/>
      </rPr>
      <t xml:space="preserve">
</t>
    </r>
  </si>
  <si>
    <t>D51142</t>
  </si>
  <si>
    <t>D49104
+
D51146</t>
  </si>
  <si>
    <t>D51389</t>
  </si>
  <si>
    <t>PC19/0390</t>
  </si>
  <si>
    <t>Building Work: Sunshine Coast Inspection Services
Number: 190206</t>
  </si>
  <si>
    <t>M &amp; T Raison</t>
  </si>
  <si>
    <t>7 Taylor Drive
POMONA QLD 4568</t>
  </si>
  <si>
    <t>Lot 5 RP 803965</t>
  </si>
  <si>
    <r>
      <rPr>
        <b/>
        <sz val="10"/>
        <color rgb="FF0000FF"/>
        <rFont val="Arial"/>
        <family val="2"/>
      </rPr>
      <t xml:space="preserve">N </t>
    </r>
    <r>
      <rPr>
        <b/>
        <sz val="10"/>
        <rFont val="Arial"/>
        <family val="2"/>
      </rPr>
      <t xml:space="preserve">1188
</t>
    </r>
    <r>
      <rPr>
        <sz val="10"/>
        <color rgb="FFFF0000"/>
        <rFont val="Arial"/>
        <family val="2"/>
      </rPr>
      <t xml:space="preserve">Already completed as retrospective BA approval
Confirmed MC 29/04/2019
</t>
    </r>
    <r>
      <rPr>
        <b/>
        <sz val="10"/>
        <color rgb="FF0000FF"/>
        <rFont val="Arial"/>
        <family val="2"/>
      </rPr>
      <t>IA#85</t>
    </r>
    <r>
      <rPr>
        <sz val="10"/>
        <color rgb="FFFF0000"/>
        <rFont val="Arial"/>
        <family val="2"/>
      </rPr>
      <t xml:space="preserve">
</t>
    </r>
    <r>
      <rPr>
        <b/>
        <sz val="10"/>
        <color rgb="FFFF0000"/>
        <rFont val="Arial"/>
        <family val="2"/>
      </rPr>
      <t>PAYMENT No.1 DUE 
31 MAY 2019</t>
    </r>
  </si>
  <si>
    <r>
      <rPr>
        <b/>
        <sz val="10"/>
        <color rgb="FF0000FF"/>
        <rFont val="Arial"/>
        <family val="2"/>
      </rPr>
      <t xml:space="preserve">N </t>
    </r>
    <r>
      <rPr>
        <b/>
        <sz val="10"/>
        <rFont val="Arial"/>
        <family val="2"/>
      </rPr>
      <t xml:space="preserve">1188
</t>
    </r>
    <r>
      <rPr>
        <sz val="10"/>
        <color rgb="FFFF0000"/>
        <rFont val="Arial"/>
        <family val="2"/>
      </rPr>
      <t xml:space="preserve">
</t>
    </r>
    <r>
      <rPr>
        <b/>
        <sz val="10"/>
        <color rgb="FF0000FF"/>
        <rFont val="Arial"/>
        <family val="2"/>
      </rPr>
      <t>IA#85</t>
    </r>
    <r>
      <rPr>
        <sz val="10"/>
        <color rgb="FFFF0000"/>
        <rFont val="Arial"/>
        <family val="2"/>
      </rPr>
      <t xml:space="preserve">
</t>
    </r>
    <r>
      <rPr>
        <b/>
        <sz val="10"/>
        <color rgb="FFFF0000"/>
        <rFont val="Arial"/>
        <family val="2"/>
      </rPr>
      <t>PAYMENT No.2 DUE 
20 DEC 2019</t>
    </r>
  </si>
  <si>
    <t>Staged Payment Agreement dated 21 May 2019</t>
  </si>
  <si>
    <r>
      <rPr>
        <b/>
        <sz val="10"/>
        <color rgb="FF0000FF"/>
        <rFont val="Arial"/>
        <family val="2"/>
      </rPr>
      <t xml:space="preserve">N </t>
    </r>
    <r>
      <rPr>
        <b/>
        <sz val="10"/>
        <rFont val="Arial"/>
        <family val="2"/>
      </rPr>
      <t xml:space="preserve">1301
</t>
    </r>
    <r>
      <rPr>
        <b/>
        <sz val="10"/>
        <color rgb="FF0000FF"/>
        <rFont val="Arial"/>
        <family val="2"/>
      </rPr>
      <t>IA#85</t>
    </r>
    <r>
      <rPr>
        <b/>
        <sz val="10"/>
        <rFont val="Arial"/>
        <family val="2"/>
      </rPr>
      <t xml:space="preserve">
</t>
    </r>
    <r>
      <rPr>
        <sz val="10"/>
        <color rgb="FFFF0000"/>
        <rFont val="Arial"/>
        <family val="2"/>
      </rPr>
      <t xml:space="preserve">Completed from Aerials &amp; MC  2/05/2019
</t>
    </r>
    <r>
      <rPr>
        <b/>
        <sz val="10"/>
        <color rgb="FFFF0000"/>
        <rFont val="Arial"/>
        <family val="2"/>
      </rPr>
      <t>PAYMENT DUE 
31 MAY 2019</t>
    </r>
  </si>
  <si>
    <t>Included in Staged Payment Agreement dated 21 May 2019 associated with PC17/0023</t>
  </si>
  <si>
    <t>Staged Payment Agreement dated 21 May 2019 
+ also includes MCU16/0144 - ICN.N1301</t>
  </si>
  <si>
    <t>D51773</t>
  </si>
  <si>
    <r>
      <rPr>
        <b/>
        <sz val="10"/>
        <color rgb="FF0000FF"/>
        <rFont val="Arial"/>
        <family val="2"/>
      </rPr>
      <t xml:space="preserve">N </t>
    </r>
    <r>
      <rPr>
        <b/>
        <sz val="10"/>
        <rFont val="Arial"/>
        <family val="2"/>
      </rPr>
      <t xml:space="preserve">1356
</t>
    </r>
    <r>
      <rPr>
        <b/>
        <sz val="10"/>
        <color rgb="FF0000FF"/>
        <rFont val="Arial"/>
        <family val="2"/>
      </rPr>
      <t xml:space="preserve">Amended
</t>
    </r>
    <r>
      <rPr>
        <sz val="10"/>
        <color rgb="FFFF0000"/>
        <rFont val="Arial"/>
        <family val="2"/>
      </rPr>
      <t>Final Inspection Cert 8/03/2019</t>
    </r>
    <r>
      <rPr>
        <b/>
        <sz val="10"/>
        <color rgb="FFFF0000"/>
        <rFont val="Arial"/>
        <family val="2"/>
      </rPr>
      <t xml:space="preserve">
DUE 20 June 2019</t>
    </r>
  </si>
  <si>
    <r>
      <rPr>
        <strike/>
        <sz val="10"/>
        <color rgb="FFFF0000"/>
        <rFont val="Arial"/>
        <family val="2"/>
      </rPr>
      <t>AICS 2016</t>
    </r>
    <r>
      <rPr>
        <sz val="10"/>
        <color rgb="FFFF0000"/>
        <rFont val="Arial"/>
        <family val="2"/>
      </rPr>
      <t xml:space="preserve">
CPI Mar2019</t>
    </r>
  </si>
  <si>
    <t>CPI Mar2019</t>
  </si>
  <si>
    <t>CPI Jun 2017</t>
  </si>
  <si>
    <t>D51953</t>
  </si>
  <si>
    <t>D52162</t>
  </si>
  <si>
    <t>D52651</t>
  </si>
  <si>
    <t>D52652</t>
  </si>
  <si>
    <r>
      <t xml:space="preserve">• The Amendment is due in response to representations made on 1 June 2018 to clarify that:
o this infrastructure charges relates to the “secondary dwelling” approved by this building permit that is additional to a future primary “detached house” that may be constructed on the property; and 
o This infrastructure charge </t>
    </r>
    <r>
      <rPr>
        <b/>
        <u/>
        <sz val="8"/>
        <color rgb="FF0000FF"/>
        <rFont val="Arial"/>
        <family val="2"/>
      </rPr>
      <t>ONLY</t>
    </r>
    <r>
      <rPr>
        <sz val="8"/>
        <color rgb="FF0000FF"/>
        <rFont val="Arial"/>
        <family val="2"/>
      </rPr>
      <t xml:space="preserve"> becomes payable for this “secondary dwelling” </t>
    </r>
    <r>
      <rPr>
        <b/>
        <u/>
        <sz val="8"/>
        <color rgb="FF0000FF"/>
        <rFont val="Arial"/>
        <family val="2"/>
      </rPr>
      <t>following completion</t>
    </r>
    <r>
      <rPr>
        <sz val="8"/>
        <color rgb="FF0000FF"/>
        <rFont val="Arial"/>
        <family val="2"/>
      </rPr>
      <t xml:space="preserve"> of a future primary “detached house” on the property.     </t>
    </r>
  </si>
  <si>
    <t>PC19/0217</t>
  </si>
  <si>
    <t>PC19/0424</t>
  </si>
  <si>
    <t>Building Work: EarthCert 
Number: 190042</t>
  </si>
  <si>
    <t>Building Work: Pacific BCQ
Notice: 20190110</t>
  </si>
  <si>
    <t>Ron Goldbert</t>
  </si>
  <si>
    <t>36 Sugargum Place
BLACK MOUNTAIN QLD 4563</t>
  </si>
  <si>
    <t>Lot 118 RP 149498</t>
  </si>
  <si>
    <t>Colin Albert Rattray</t>
  </si>
  <si>
    <t>3 Lake Street
TEWANTIN QLD 4565</t>
  </si>
  <si>
    <t>Lot 283 RP 175941</t>
  </si>
  <si>
    <t>13 Satinay Drive
TEWANTIN QLD 4565</t>
  </si>
  <si>
    <t>Coast Property Solutions</t>
  </si>
  <si>
    <t>1 Bluefin Ct, 
NOOSAVILLE QLD 4566</t>
  </si>
  <si>
    <t>Lot 34 RP 906991</t>
  </si>
  <si>
    <t>Multiple Housing Type Duplex = 
2 x 3+ bedroom units</t>
  </si>
  <si>
    <t>Offset re Condition 13 Pathway construction for missing trunk link</t>
  </si>
  <si>
    <r>
      <rPr>
        <b/>
        <sz val="10"/>
        <color rgb="FF0000FF"/>
        <rFont val="Arial"/>
        <family val="2"/>
      </rPr>
      <t xml:space="preserve">N </t>
    </r>
    <r>
      <rPr>
        <b/>
        <sz val="10"/>
        <rFont val="Arial"/>
        <family val="2"/>
      </rPr>
      <t xml:space="preserve">1335
</t>
    </r>
    <r>
      <rPr>
        <sz val="10"/>
        <color rgb="FFFF0000"/>
        <rFont val="Arial"/>
        <family val="2"/>
      </rPr>
      <t xml:space="preserve">MC Inspection 2/05/19 Use has commenced
</t>
    </r>
    <r>
      <rPr>
        <b/>
        <sz val="10"/>
        <color rgb="FFFF0000"/>
        <rFont val="Arial"/>
        <family val="2"/>
      </rPr>
      <t xml:space="preserve">
DUE 31 MAY 2019</t>
    </r>
  </si>
  <si>
    <t>MC Inspection 2/05/19 Use has commenced
STAGED PAYMENT AGREEMENTS DATED 24/05/2019 - However Not taken up &amp; paid full amount</t>
  </si>
  <si>
    <t>JUNE 2019
Total =</t>
  </si>
  <si>
    <t>D53624</t>
  </si>
  <si>
    <t>D53628</t>
  </si>
  <si>
    <t>D53632</t>
  </si>
  <si>
    <r>
      <t xml:space="preserve">• The Amendment is due in response to representations made on 29 May 2019 to clarify that:
o this infrastructure charges relates to the “secondary dwelling” approved by this building permit that is additional to a future primary “detached house” that may be constructed on the property; and 
o This infrastructure charge </t>
    </r>
    <r>
      <rPr>
        <b/>
        <u/>
        <sz val="8"/>
        <color rgb="FF0000FF"/>
        <rFont val="Arial"/>
        <family val="2"/>
      </rPr>
      <t>ONLY</t>
    </r>
    <r>
      <rPr>
        <sz val="8"/>
        <color rgb="FF0000FF"/>
        <rFont val="Arial"/>
        <family val="2"/>
      </rPr>
      <t xml:space="preserve"> becomes payable for this “secondary dwelling” </t>
    </r>
    <r>
      <rPr>
        <b/>
        <u/>
        <sz val="8"/>
        <color rgb="FF0000FF"/>
        <rFont val="Arial"/>
        <family val="2"/>
      </rPr>
      <t>following completion</t>
    </r>
    <r>
      <rPr>
        <sz val="8"/>
        <color rgb="FF0000FF"/>
        <rFont val="Arial"/>
        <family val="2"/>
      </rPr>
      <t xml:space="preserve"> of a future primary “detached house” on the property.     </t>
    </r>
  </si>
  <si>
    <r>
      <t xml:space="preserve">Paid 
</t>
    </r>
    <r>
      <rPr>
        <sz val="10"/>
        <color rgb="FF0000FF"/>
        <rFont val="Arial"/>
        <family val="2"/>
      </rPr>
      <t>$2 overpayment &amp; to be deducted from final stg pmt 4</t>
    </r>
  </si>
  <si>
    <t xml:space="preserve">Transferred to Rates for Recovery </t>
  </si>
  <si>
    <r>
      <rPr>
        <b/>
        <sz val="10"/>
        <color rgb="FF0000FF"/>
        <rFont val="Arial"/>
        <family val="2"/>
      </rPr>
      <t xml:space="preserve">N </t>
    </r>
    <r>
      <rPr>
        <b/>
        <sz val="10"/>
        <rFont val="Arial"/>
        <family val="2"/>
      </rPr>
      <t xml:space="preserve">1243
</t>
    </r>
    <r>
      <rPr>
        <b/>
        <sz val="10"/>
        <color rgb="FFFF0000"/>
        <rFont val="Arial"/>
        <family val="2"/>
      </rPr>
      <t>Completed per Aerials &amp; use commenced per MC Inspection 2/05/2019 
PAYMENT DUE
 31 MAY 2019</t>
    </r>
  </si>
  <si>
    <r>
      <t xml:space="preserve">Planning Reg 2018-2019
</t>
    </r>
    <r>
      <rPr>
        <b/>
        <sz val="10"/>
        <color rgb="FFFF0000"/>
        <rFont val="Arial"/>
        <family val="2"/>
      </rPr>
      <t>+
11% compound interest from 31/05/2019</t>
    </r>
  </si>
  <si>
    <t>Correspondence issued to owner: 17 August 2017, 2 May 2019 and 24 May 2019.
IC remains unpaid &amp; compound interest commenced 31/05/2019 &amp; transferred to Property Rates for recovery on 5/06/2019</t>
  </si>
  <si>
    <r>
      <t xml:space="preserve">RAP17/0504 - Secondary dwelling
</t>
    </r>
    <r>
      <rPr>
        <sz val="10"/>
        <color rgb="FFFF0000"/>
        <rFont val="Arial"/>
        <family val="2"/>
      </rPr>
      <t>Correspondence issued to owner: 4 October 2017, 2 May 2019, 3 May 2019, and 24 May 2019.
IC remains unpaid &amp; compound interest commenced 31/05/2019 &amp; transferred to Property Rates for recovery on 5/06/2019</t>
    </r>
  </si>
  <si>
    <t xml:space="preserve"> D53803</t>
  </si>
  <si>
    <t>Journal 1702197</t>
  </si>
  <si>
    <t>PC19/0306</t>
  </si>
  <si>
    <t>Building Work: Coastal Building Certifications
Notice: 34140</t>
  </si>
  <si>
    <t>Peter Barlas</t>
  </si>
  <si>
    <t>10 Hawley Court
SUNRISE BEACH QLD 4567</t>
  </si>
  <si>
    <t>Lot 1001 CP 887113</t>
  </si>
  <si>
    <t>MCU18/0163</t>
  </si>
  <si>
    <t>Grant Williams Building Design &amp; Drafting</t>
  </si>
  <si>
    <t>106 Sugar Road
MAROOCHYDORE QLD 4558</t>
  </si>
  <si>
    <t>Lot 201 P 5011</t>
  </si>
  <si>
    <t>1 Rectory Street, POMONA QLD 4568</t>
  </si>
  <si>
    <t>Nil as additional to existing only</t>
  </si>
  <si>
    <t>100% Rebate under Council Poicy for Community Organisation</t>
  </si>
  <si>
    <t>51993.546.01</t>
  </si>
  <si>
    <t>Tewantin-Noosa Day Kindergarten Inc</t>
  </si>
  <si>
    <t>1 Doonella St 
TEWANTIN QLD 4565</t>
  </si>
  <si>
    <t>Lot 1 RP 890953 &amp; 
Lot 1 RL 8237</t>
  </si>
  <si>
    <t>Education Type 1 Childcare= 
Additional impervious area = 162m2</t>
  </si>
  <si>
    <t>D54292</t>
  </si>
  <si>
    <t>D54480</t>
  </si>
  <si>
    <t>D54807</t>
  </si>
  <si>
    <r>
      <t xml:space="preserve">• The Amendment is due in response to representations made on 12 June 2018 to clarify that:
o this infrastructure charges relates to the “secondary dwelling” approved by this building permit that is additional to a future primary “detached house” that may be constructed on the property; and 
o This infrastructure charge </t>
    </r>
    <r>
      <rPr>
        <b/>
        <u/>
        <sz val="8"/>
        <color rgb="FF0000FF"/>
        <rFont val="Arial"/>
        <family val="2"/>
      </rPr>
      <t>ONLY</t>
    </r>
    <r>
      <rPr>
        <sz val="8"/>
        <color rgb="FF0000FF"/>
        <rFont val="Arial"/>
        <family val="2"/>
      </rPr>
      <t xml:space="preserve"> becomes payable for this “secondary dwelling” </t>
    </r>
    <r>
      <rPr>
        <b/>
        <u/>
        <sz val="8"/>
        <color rgb="FF0000FF"/>
        <rFont val="Arial"/>
        <family val="2"/>
      </rPr>
      <t>following completion</t>
    </r>
    <r>
      <rPr>
        <sz val="8"/>
        <color rgb="FF0000FF"/>
        <rFont val="Arial"/>
        <family val="2"/>
      </rPr>
      <t xml:space="preserve"> of a future primary “detached house” on the property.     </t>
    </r>
  </si>
  <si>
    <t>D55220</t>
  </si>
  <si>
    <t>The amendments relates to correcting the applicant's name</t>
  </si>
  <si>
    <r>
      <t xml:space="preserve">MCU17/0013.01
</t>
    </r>
    <r>
      <rPr>
        <sz val="10"/>
        <color rgb="FF0000FF"/>
        <rFont val="Arial"/>
        <family val="2"/>
      </rPr>
      <t>PC18/1069 Amended decision issued</t>
    </r>
  </si>
  <si>
    <r>
      <rPr>
        <b/>
        <sz val="10"/>
        <color rgb="FF0000FF"/>
        <rFont val="Arial"/>
        <family val="2"/>
      </rPr>
      <t xml:space="preserve">N </t>
    </r>
    <r>
      <rPr>
        <b/>
        <sz val="10"/>
        <rFont val="Arial"/>
        <family val="2"/>
      </rPr>
      <t xml:space="preserve">1420
Amended
</t>
    </r>
    <r>
      <rPr>
        <b/>
        <sz val="10"/>
        <color rgb="FFFF0000"/>
        <rFont val="Arial"/>
        <family val="2"/>
      </rPr>
      <t>Use commenced advice MC 14/06/2019
DUE 30 June 2019</t>
    </r>
  </si>
  <si>
    <t>PC18/0867</t>
  </si>
  <si>
    <t>Building Work: Pacific BCQ
Notice: 20180297</t>
  </si>
  <si>
    <t>Kylie Baker</t>
  </si>
  <si>
    <t>C/- JMF Design
5 Delorme Street
NOOSA HEADS QLD 4567</t>
  </si>
  <si>
    <t>Lot 36 N 21839</t>
  </si>
  <si>
    <t>PC19/0688</t>
  </si>
  <si>
    <t>Cooroy Rentals P/L AT logankayla Trust</t>
  </si>
  <si>
    <t>PO Box 1040
NOOSAVILLE QLD 4566</t>
  </si>
  <si>
    <t>Lot 28 RP 32777</t>
  </si>
  <si>
    <t>D55496</t>
  </si>
  <si>
    <t>PC19/0644</t>
  </si>
  <si>
    <t>Building Work: Cooloola Building Approvals
Notice: CBA6698</t>
  </si>
  <si>
    <t>DO &amp; HA English Builders</t>
  </si>
  <si>
    <t>14 David Street
GYMPIE QLD 4570</t>
  </si>
  <si>
    <t>Lot 85 RP 869153</t>
  </si>
  <si>
    <t>99 Outlook Drive 
TEWANTIN QLD 4565</t>
  </si>
  <si>
    <t>D56022</t>
  </si>
  <si>
    <t>MCU18/0158</t>
  </si>
  <si>
    <t>Kexron Pty Ltd</t>
  </si>
  <si>
    <t xml:space="preserve">34 Elm St COOROY QLD 4563 
</t>
  </si>
  <si>
    <t>Lot 4, 5 &amp; 6 RP 72698</t>
  </si>
  <si>
    <t>PC19/0225</t>
  </si>
  <si>
    <t>PC19/0703</t>
  </si>
  <si>
    <t>Lot 249 RP 176150</t>
  </si>
  <si>
    <t>3 Tarina Street
NOOSA HEADS QLD 4567</t>
  </si>
  <si>
    <t>Jeff Butler</t>
  </si>
  <si>
    <t>Building Work: Building Certification Group
Notice: 00061444</t>
  </si>
  <si>
    <t>Lot 27 RP 32777</t>
  </si>
  <si>
    <t>MCU18/0157</t>
  </si>
  <si>
    <t>Boiling Pot Brewery</t>
  </si>
  <si>
    <t>C/- Pivotal Perspecitve Pty Ltd
4/59 Mary Street
Noosaville QLD 4566</t>
  </si>
  <si>
    <t>130 Eumundi Noosa Road NOOSAVILLE QLD 4566</t>
  </si>
  <si>
    <t>Lot 6 RP 17396</t>
  </si>
  <si>
    <t xml:space="preserve">The Infrastructure Charge has been calculated &amp; based on:
• the change in development use and quantities to the second building located to the west of the site with entry off Venture Drive; and
• the additional impervious area relating to the new steps to west of this building. </t>
  </si>
  <si>
    <t>Industrial Business 
Type 2 = 400 m2 gfa</t>
  </si>
  <si>
    <t>D56541</t>
  </si>
  <si>
    <t>MCU19/0024</t>
  </si>
  <si>
    <t>SM Carrier, AJ Carrier</t>
  </si>
  <si>
    <t>28 The Peninsula
NOOSAVILLE QLD 4566</t>
  </si>
  <si>
    <t>239 Weyba Rd NOOSAVILLE QLD 4566</t>
  </si>
  <si>
    <t>Lot 18 RP 56993</t>
  </si>
  <si>
    <t>Multiple Housing Type 2 Duplex = 2 x 3 bed unit</t>
  </si>
  <si>
    <t xml:space="preserve">1 x Detached house </t>
  </si>
  <si>
    <t>Condition 13 - upgrading existing 1.2m wide pathway to 2 m wide on "trunk" pathway network</t>
  </si>
  <si>
    <t>D56779</t>
  </si>
  <si>
    <r>
      <t xml:space="preserve">Paid 
</t>
    </r>
    <r>
      <rPr>
        <sz val="10"/>
        <color rgb="FFFF0000"/>
        <rFont val="Arial"/>
        <family val="2"/>
      </rPr>
      <t>underpayment of $1 indexation added to Stg Pmt 3</t>
    </r>
  </si>
  <si>
    <r>
      <rPr>
        <b/>
        <sz val="10"/>
        <color rgb="FF0000FF"/>
        <rFont val="Arial"/>
        <family val="2"/>
      </rPr>
      <t xml:space="preserve">N </t>
    </r>
    <r>
      <rPr>
        <b/>
        <sz val="10"/>
        <rFont val="Arial"/>
        <family val="2"/>
      </rPr>
      <t xml:space="preserve">1197
</t>
    </r>
    <r>
      <rPr>
        <b/>
        <sz val="10"/>
        <color rgb="FF0000FF"/>
        <rFont val="Arial"/>
        <family val="2"/>
      </rPr>
      <t>IA 75</t>
    </r>
    <r>
      <rPr>
        <b/>
        <sz val="10"/>
        <color rgb="FFFF0000"/>
        <rFont val="Arial"/>
        <family val="2"/>
      </rPr>
      <t xml:space="preserve">
STAGED PAYMENT 3
DUE 20 DEC 2019</t>
    </r>
  </si>
  <si>
    <r>
      <rPr>
        <b/>
        <sz val="10"/>
        <color rgb="FF0000FF"/>
        <rFont val="Arial"/>
        <family val="2"/>
      </rPr>
      <t xml:space="preserve">N </t>
    </r>
    <r>
      <rPr>
        <b/>
        <sz val="10"/>
        <rFont val="Arial"/>
        <family val="2"/>
      </rPr>
      <t xml:space="preserve">1211
</t>
    </r>
    <r>
      <rPr>
        <b/>
        <sz val="10"/>
        <color rgb="FF0000FF"/>
        <rFont val="Arial"/>
        <family val="2"/>
      </rPr>
      <t>IA#81</t>
    </r>
    <r>
      <rPr>
        <sz val="10"/>
        <color rgb="FFFF0000"/>
        <rFont val="Arial"/>
        <family val="2"/>
      </rPr>
      <t xml:space="preserve">
</t>
    </r>
    <r>
      <rPr>
        <b/>
        <sz val="10"/>
        <color rgb="FFFF0000"/>
        <rFont val="Arial"/>
        <family val="2"/>
      </rPr>
      <t>Staged Pmt No 3
DUE 20 DEC 2019</t>
    </r>
  </si>
  <si>
    <r>
      <rPr>
        <b/>
        <sz val="10"/>
        <color rgb="FF0000FF"/>
        <rFont val="Arial"/>
        <family val="2"/>
      </rPr>
      <t xml:space="preserve">N </t>
    </r>
    <r>
      <rPr>
        <b/>
        <sz val="10"/>
        <rFont val="Arial"/>
        <family val="2"/>
      </rPr>
      <t xml:space="preserve">1288
</t>
    </r>
    <r>
      <rPr>
        <b/>
        <sz val="10"/>
        <color rgb="FF0000FF"/>
        <rFont val="Arial"/>
        <family val="2"/>
      </rPr>
      <t>IA#76</t>
    </r>
    <r>
      <rPr>
        <b/>
        <sz val="10"/>
        <rFont val="Arial"/>
        <family val="2"/>
      </rPr>
      <t xml:space="preserve">
</t>
    </r>
    <r>
      <rPr>
        <b/>
        <sz val="10"/>
        <color rgb="FFFF0000"/>
        <rFont val="Arial"/>
        <family val="2"/>
      </rPr>
      <t>STAGED PAYMENT 3 
DUE 20 DEC 2019</t>
    </r>
  </si>
  <si>
    <r>
      <rPr>
        <b/>
        <sz val="10"/>
        <color rgb="FF0000FF"/>
        <rFont val="Arial"/>
        <family val="2"/>
      </rPr>
      <t xml:space="preserve">N </t>
    </r>
    <r>
      <rPr>
        <b/>
        <sz val="10"/>
        <rFont val="Arial"/>
        <family val="2"/>
      </rPr>
      <t xml:space="preserve">1328
</t>
    </r>
    <r>
      <rPr>
        <b/>
        <sz val="10"/>
        <color rgb="FF0000FF"/>
        <rFont val="Arial"/>
        <family val="2"/>
      </rPr>
      <t>IA#77</t>
    </r>
    <r>
      <rPr>
        <b/>
        <sz val="10"/>
        <color rgb="FFFF0000"/>
        <rFont val="Arial"/>
        <family val="2"/>
      </rPr>
      <t xml:space="preserve">
STAGED PAYMENT 3
DUE 20 DEC 2019</t>
    </r>
  </si>
  <si>
    <r>
      <rPr>
        <b/>
        <sz val="10"/>
        <color rgb="FF0000FF"/>
        <rFont val="Arial"/>
        <family val="2"/>
      </rPr>
      <t xml:space="preserve">N </t>
    </r>
    <r>
      <rPr>
        <b/>
        <sz val="10"/>
        <rFont val="Arial"/>
        <family val="2"/>
      </rPr>
      <t>1345</t>
    </r>
    <r>
      <rPr>
        <b/>
        <sz val="10"/>
        <color rgb="FFFF0000"/>
        <rFont val="Arial"/>
        <family val="2"/>
      </rPr>
      <t xml:space="preserve">
IA 72 Stage Pmt 4 
DUE: 20 DEC 2019</t>
    </r>
  </si>
  <si>
    <t>D57003</t>
  </si>
  <si>
    <t>D57006</t>
  </si>
  <si>
    <t>D57007</t>
  </si>
  <si>
    <t>D57008</t>
  </si>
  <si>
    <r>
      <rPr>
        <b/>
        <sz val="10"/>
        <color rgb="FF0000FF"/>
        <rFont val="Arial"/>
        <family val="2"/>
      </rPr>
      <t>Part Paid $600</t>
    </r>
    <r>
      <rPr>
        <b/>
        <sz val="10"/>
        <color rgb="FFFF0000"/>
        <rFont val="Arial"/>
        <family val="2"/>
      </rPr>
      <t xml:space="preserve">
Bal remaining to pay = $619</t>
    </r>
  </si>
  <si>
    <t>D57021</t>
  </si>
  <si>
    <t>51997.2319.01</t>
  </si>
  <si>
    <t>Lot 1 RP 908662</t>
  </si>
  <si>
    <t>2 Lionel Donovan Drive, NOOSAVILLE QLD 4566</t>
  </si>
  <si>
    <t>N/a calculated on additional only</t>
  </si>
  <si>
    <t>Retail Business Type 4 Showroom = 28m2 gfa</t>
  </si>
  <si>
    <t>D57238</t>
  </si>
  <si>
    <r>
      <rPr>
        <strike/>
        <sz val="10"/>
        <rFont val="Arial"/>
        <family val="2"/>
      </rPr>
      <t>25/06/2018</t>
    </r>
    <r>
      <rPr>
        <sz val="10"/>
        <rFont val="Arial"/>
        <family val="2"/>
      </rPr>
      <t xml:space="preserve">
</t>
    </r>
    <r>
      <rPr>
        <strike/>
        <sz val="10"/>
        <color rgb="FF0000FF"/>
        <rFont val="Arial"/>
        <family val="2"/>
      </rPr>
      <t>27/06/2018</t>
    </r>
    <r>
      <rPr>
        <sz val="10"/>
        <color rgb="FF0000FF"/>
        <rFont val="Arial"/>
        <family val="2"/>
      </rPr>
      <t xml:space="preserve">
27/06/2019</t>
    </r>
  </si>
  <si>
    <r>
      <rPr>
        <sz val="10"/>
        <color rgb="FF0000FF"/>
        <rFont val="Arial"/>
        <family val="2"/>
      </rPr>
      <t xml:space="preserve">CPI March </t>
    </r>
    <r>
      <rPr>
        <strike/>
        <sz val="10"/>
        <color rgb="FF0000FF"/>
        <rFont val="Arial"/>
        <family val="2"/>
      </rPr>
      <t xml:space="preserve">2018 </t>
    </r>
    <r>
      <rPr>
        <sz val="10"/>
        <color rgb="FF0000FF"/>
        <rFont val="Arial"/>
        <family val="2"/>
      </rPr>
      <t>2019</t>
    </r>
    <r>
      <rPr>
        <sz val="10"/>
        <rFont val="Arial"/>
        <family val="2"/>
      </rPr>
      <t xml:space="preserve">
</t>
    </r>
    <r>
      <rPr>
        <sz val="10"/>
        <color rgb="FF0000FF"/>
        <rFont val="Arial"/>
        <family val="2"/>
      </rPr>
      <t>Planning Reg 2018-2019</t>
    </r>
  </si>
  <si>
    <t>D57505</t>
  </si>
  <si>
    <t>JULY 2019
Total =</t>
  </si>
  <si>
    <t>D57510</t>
  </si>
  <si>
    <t>PC19/0756</t>
  </si>
  <si>
    <t>Building Work: Project BA
Notice: 20191422</t>
  </si>
  <si>
    <t>Richard &amp; Kaye Batholomaeus</t>
  </si>
  <si>
    <t>3 Kingsgate Drive
TINBEERWAH QLD 4562</t>
  </si>
  <si>
    <t>Lot 62 RP 200339</t>
  </si>
  <si>
    <t>D58307</t>
  </si>
  <si>
    <t>D58545</t>
  </si>
  <si>
    <t>12/06/2019
receipted  27/06/19</t>
  </si>
  <si>
    <r>
      <rPr>
        <b/>
        <i/>
        <u/>
        <sz val="10"/>
        <color rgb="FFFF0000"/>
        <rFont val="Arial Black"/>
        <family val="2"/>
      </rPr>
      <t xml:space="preserve">NOTE: </t>
    </r>
    <r>
      <rPr>
        <b/>
        <sz val="10"/>
        <color rgb="FFFF0000"/>
        <rFont val="Arial Black"/>
        <family val="2"/>
      </rPr>
      <t>HARD PASTE Regulation &amp; INDEX details when Transferring to PAYMENTS sheet</t>
    </r>
  </si>
  <si>
    <t>NET COUNCIL TOTAL Subject to Indexation</t>
  </si>
  <si>
    <t>TOTAL COUNCIL 
Charge</t>
  </si>
  <si>
    <t>Commenced issuing as one Adopted Charge Amount</t>
  </si>
  <si>
    <t>D59176</t>
  </si>
  <si>
    <r>
      <rPr>
        <b/>
        <sz val="10"/>
        <color rgb="FF0000FF"/>
        <rFont val="Arial"/>
        <family val="2"/>
      </rPr>
      <t xml:space="preserve">N </t>
    </r>
    <r>
      <rPr>
        <b/>
        <sz val="10"/>
        <rFont val="Arial"/>
        <family val="2"/>
      </rPr>
      <t xml:space="preserve">1313
</t>
    </r>
    <r>
      <rPr>
        <sz val="8"/>
        <color rgb="FFFF0000"/>
        <rFont val="Arial"/>
        <family val="2"/>
      </rPr>
      <t>PC18/0284 COC =18/09/2018</t>
    </r>
    <r>
      <rPr>
        <b/>
        <sz val="10"/>
        <rFont val="Arial"/>
        <family val="2"/>
      </rPr>
      <t xml:space="preserve">
</t>
    </r>
    <r>
      <rPr>
        <sz val="10"/>
        <color rgb="FFFF0000"/>
        <rFont val="Arial"/>
        <family val="2"/>
      </rPr>
      <t xml:space="preserve">Works on Mainentance &amp; Use commenced </t>
    </r>
    <r>
      <rPr>
        <b/>
        <sz val="10"/>
        <color rgb="FFFF0000"/>
        <rFont val="Arial"/>
        <family val="2"/>
      </rPr>
      <t xml:space="preserve">
DUE 30 June</t>
    </r>
  </si>
  <si>
    <r>
      <t xml:space="preserve">PART PAID $12,422.00
</t>
    </r>
    <r>
      <rPr>
        <b/>
        <sz val="10"/>
        <color rgb="FFFF0000"/>
        <rFont val="Arial"/>
        <family val="2"/>
      </rPr>
      <t>Balance remaining $15,000</t>
    </r>
  </si>
  <si>
    <r>
      <t xml:space="preserve">MCU19/0007
</t>
    </r>
    <r>
      <rPr>
        <i/>
        <sz val="10"/>
        <color rgb="FF0000FF"/>
        <rFont val="Arial"/>
        <family val="2"/>
      </rPr>
      <t>(PC19/0819)</t>
    </r>
  </si>
  <si>
    <t>MCU16/0153
Court Judgement P&amp;E Appeal No. 4066 of 2017</t>
  </si>
  <si>
    <t>c/- First Asset Management
PO Box 7129
EAST BRISBANE QLD 4169</t>
  </si>
  <si>
    <t>215 David Low Way PEREGIAN BEACH QLD 4573</t>
  </si>
  <si>
    <t>Lot 1 SP 286680</t>
  </si>
  <si>
    <t>Court Judgement P&amp;E Appeal No. 4066 of 2017 dated 21 July 2019 received by Council on 15 July 2019</t>
  </si>
  <si>
    <r>
      <rPr>
        <b/>
        <sz val="10"/>
        <rFont val="Arial"/>
        <family val="2"/>
      </rPr>
      <t xml:space="preserve">Stage 1 </t>
    </r>
    <r>
      <rPr>
        <sz val="10"/>
        <rFont val="Arial"/>
        <family val="2"/>
      </rPr>
      <t>= additional:
• 1 x manager’s unit (3 bedroom unit - permanent accommodation per Condition 5) and 
• Visitor accommodation Type 4 motel building containing 10 x 2 bedrooms dwelling units and 22 x 1 bedroom accommodation units</t>
    </r>
  </si>
  <si>
    <t xml:space="preserve">Nil 
All existing credits for site used up previously under MCU13/0251 re IGA development </t>
  </si>
  <si>
    <r>
      <rPr>
        <b/>
        <sz val="10"/>
        <rFont val="Arial"/>
        <family val="2"/>
      </rPr>
      <t xml:space="preserve">Stage 2 </t>
    </r>
    <r>
      <rPr>
        <sz val="10"/>
        <rFont val="Arial"/>
        <family val="2"/>
      </rPr>
      <t>= additional:
• 19 x 3+ bedrooms Visitor accommodation Type 4 dwelling units</t>
    </r>
  </si>
  <si>
    <t>D60179</t>
  </si>
  <si>
    <t>Planning Reg 2019-20</t>
  </si>
  <si>
    <t>Planning Reg 2019-2020</t>
  </si>
  <si>
    <t xml:space="preserve">Payment at 2018-19 index if paid by Friday 26th July 2019 = $24,050
</t>
  </si>
  <si>
    <t>Originally Paid on 28/06/2018 receipt 1207559 BUT REFUNDED on 27/02/2019 Payment No.046280</t>
  </si>
  <si>
    <t>Payment at 2018-19 index if paid by Friday 19th July 2019 = $5,500</t>
  </si>
  <si>
    <r>
      <rPr>
        <strike/>
        <sz val="10"/>
        <rFont val="Arial"/>
        <family val="2"/>
      </rPr>
      <t>25/06/2019</t>
    </r>
    <r>
      <rPr>
        <sz val="10"/>
        <rFont val="Arial"/>
        <family val="2"/>
      </rPr>
      <t xml:space="preserve">
</t>
    </r>
    <r>
      <rPr>
        <sz val="10"/>
        <color rgb="FF0000FF"/>
        <rFont val="Arial"/>
        <family val="2"/>
      </rPr>
      <t>17/07/2019</t>
    </r>
  </si>
  <si>
    <r>
      <rPr>
        <b/>
        <sz val="10"/>
        <color rgb="FF0000FF"/>
        <rFont val="Arial"/>
        <family val="2"/>
      </rPr>
      <t xml:space="preserve">N </t>
    </r>
    <r>
      <rPr>
        <b/>
        <sz val="10"/>
        <rFont val="Arial"/>
        <family val="2"/>
      </rPr>
      <t xml:space="preserve">1452
</t>
    </r>
    <r>
      <rPr>
        <b/>
        <sz val="10"/>
        <color rgb="FF0000FF"/>
        <rFont val="Arial"/>
        <family val="2"/>
      </rPr>
      <t>Amended</t>
    </r>
  </si>
  <si>
    <r>
      <t xml:space="preserve">Industrial Business 
Type 2 = </t>
    </r>
    <r>
      <rPr>
        <strike/>
        <sz val="10"/>
        <rFont val="Arial"/>
        <family val="2"/>
      </rPr>
      <t>325</t>
    </r>
    <r>
      <rPr>
        <sz val="10"/>
        <rFont val="Arial"/>
        <family val="2"/>
      </rPr>
      <t xml:space="preserve"> </t>
    </r>
    <r>
      <rPr>
        <sz val="10"/>
        <color rgb="FF0000FF"/>
        <rFont val="Arial"/>
        <family val="2"/>
      </rPr>
      <t>345</t>
    </r>
    <r>
      <rPr>
        <sz val="10"/>
        <rFont val="Arial"/>
        <family val="2"/>
      </rPr>
      <t xml:space="preserve">m2 gfa
Type 3 = </t>
    </r>
    <r>
      <rPr>
        <strike/>
        <sz val="10"/>
        <rFont val="Arial"/>
        <family val="2"/>
      </rPr>
      <t xml:space="preserve">146 </t>
    </r>
    <r>
      <rPr>
        <sz val="10"/>
        <color rgb="FF0000FF"/>
        <rFont val="Arial"/>
        <family val="2"/>
      </rPr>
      <t>130</t>
    </r>
    <r>
      <rPr>
        <sz val="10"/>
        <rFont val="Arial"/>
        <family val="2"/>
      </rPr>
      <t>m2 gfa
+
Additional 15 m2 impervious area</t>
    </r>
  </si>
  <si>
    <t>AR Pannifex</t>
  </si>
  <si>
    <t xml:space="preserve">C/- Adams Sparkes Town Planning
PO Box 1000
BUDDINA QLD 4575
</t>
  </si>
  <si>
    <t>MCU19/0055</t>
  </si>
  <si>
    <t>Lot 93 RP 94566</t>
  </si>
  <si>
    <t>27 Hill Street, SUNSHINE BEACH QLD 4567</t>
  </si>
  <si>
    <t>Multiple Housing Type 2 duplex = 2 x 2 bedroom units</t>
  </si>
  <si>
    <t>1 x  dwelling house</t>
  </si>
  <si>
    <t>Condition No.21
48m of trunk pathway including pram ramp (excludes driveway 6m [3m for each unit]) Upgrade old 1.5m path to new concrete 2m wide</t>
  </si>
  <si>
    <t>PC19/0505</t>
  </si>
  <si>
    <t>PC19/0820</t>
  </si>
  <si>
    <t>Building Work: Pure Building Approvals
Notice: 20197601</t>
  </si>
  <si>
    <t>Building Work: GMA Certification Group
Notice: 20192348</t>
  </si>
  <si>
    <t>Ron Studdock</t>
  </si>
  <si>
    <t>1121 Cootharaba Road
COOTHARABA QLD 4566</t>
  </si>
  <si>
    <t>Lot 38 RP 64921</t>
  </si>
  <si>
    <t>16 Iluka Link
NOOSAVILLE QLD 4566</t>
  </si>
  <si>
    <t>Dixonbuild Pty Ltd</t>
  </si>
  <si>
    <t>PO Box 16
SHERWOOD QLD 4075</t>
  </si>
  <si>
    <t>Lot 2 SP 230081</t>
  </si>
  <si>
    <t>D61736</t>
  </si>
  <si>
    <t>D63113</t>
  </si>
  <si>
    <r>
      <t xml:space="preserve">132006.2361.02
Ext
</t>
    </r>
    <r>
      <rPr>
        <sz val="10"/>
        <color rgb="FF0000FF"/>
        <rFont val="Arial"/>
        <family val="2"/>
      </rPr>
      <t>(PC15/0775 not acted on)</t>
    </r>
  </si>
  <si>
    <r>
      <rPr>
        <b/>
        <sz val="10"/>
        <color rgb="FF0000FF"/>
        <rFont val="Arial"/>
        <family val="2"/>
      </rPr>
      <t xml:space="preserve">N </t>
    </r>
    <r>
      <rPr>
        <b/>
        <sz val="10"/>
        <rFont val="Arial"/>
        <family val="2"/>
      </rPr>
      <t xml:space="preserve">1313
</t>
    </r>
    <r>
      <rPr>
        <sz val="8"/>
        <color rgb="FFFF0000"/>
        <rFont val="Arial"/>
        <family val="2"/>
      </rPr>
      <t>PC18/0284 COC =18/09/2018</t>
    </r>
    <r>
      <rPr>
        <b/>
        <sz val="10"/>
        <rFont val="Arial"/>
        <family val="2"/>
      </rPr>
      <t xml:space="preserve">
</t>
    </r>
    <r>
      <rPr>
        <sz val="10"/>
        <color rgb="FFFF0000"/>
        <rFont val="Arial"/>
        <family val="2"/>
      </rPr>
      <t xml:space="preserve">Works on Mainentance &amp; Use commenced </t>
    </r>
    <r>
      <rPr>
        <b/>
        <sz val="10"/>
        <color rgb="FFFF0000"/>
        <rFont val="Arial"/>
        <family val="2"/>
      </rPr>
      <t xml:space="preserve">
FINAL Extention on Balance DUE 31 July</t>
    </r>
  </si>
  <si>
    <r>
      <t xml:space="preserve">PART PAID $12,422.00 on 12/7/19 
Receipt D59176
</t>
    </r>
    <r>
      <rPr>
        <b/>
        <sz val="10"/>
        <color rgb="FFFF0000"/>
        <rFont val="Arial"/>
        <family val="2"/>
      </rPr>
      <t>BALANCE REMAINING = $15,000</t>
    </r>
  </si>
  <si>
    <r>
      <t xml:space="preserve">Planning Reg 2017-2018
</t>
    </r>
    <r>
      <rPr>
        <sz val="10"/>
        <color rgb="FF0000FF"/>
        <rFont val="Arial"/>
        <family val="2"/>
      </rPr>
      <t>Bal at</t>
    </r>
    <r>
      <rPr>
        <sz val="10"/>
        <rFont val="Arial"/>
        <family val="2"/>
      </rPr>
      <t xml:space="preserve">
</t>
    </r>
    <r>
      <rPr>
        <sz val="10"/>
        <color rgb="FF0000FF"/>
        <rFont val="Arial"/>
        <family val="2"/>
      </rPr>
      <t>Planning Reg 2018-2019</t>
    </r>
  </si>
  <si>
    <t>PC19/0376</t>
  </si>
  <si>
    <t>Building Work: Pacific BCQ
Notice: 20190102</t>
  </si>
  <si>
    <t>John Douglas Miller</t>
  </si>
  <si>
    <t>C/- JMF Design
Studio 5
5 Delorme Street
NOOSA HEADS QLD 4567</t>
  </si>
  <si>
    <t>Lot 39 SP 132462</t>
  </si>
  <si>
    <t>25 Lake Entrance Boulevard
NOOSAVILLE QLD 4566</t>
  </si>
  <si>
    <r>
      <rPr>
        <strike/>
        <sz val="10"/>
        <rFont val="Arial"/>
        <family val="2"/>
      </rPr>
      <t>22/11/2017</t>
    </r>
    <r>
      <rPr>
        <sz val="10"/>
        <rFont val="Arial"/>
        <family val="2"/>
      </rPr>
      <t xml:space="preserve">
</t>
    </r>
    <r>
      <rPr>
        <strike/>
        <sz val="10"/>
        <color rgb="FF0000FF"/>
        <rFont val="Arial"/>
        <family val="2"/>
      </rPr>
      <t>Negotiated 15/02/2018</t>
    </r>
    <r>
      <rPr>
        <sz val="10"/>
        <color rgb="FF0000FF"/>
        <rFont val="Arial"/>
        <family val="2"/>
      </rPr>
      <t xml:space="preserve">
Amended by Court Judgment 19/07/2019</t>
    </r>
  </si>
  <si>
    <t>D63114</t>
  </si>
  <si>
    <r>
      <rPr>
        <b/>
        <sz val="10"/>
        <color rgb="FF0000FF"/>
        <rFont val="Arial"/>
        <family val="2"/>
      </rPr>
      <t xml:space="preserve">N </t>
    </r>
    <r>
      <rPr>
        <b/>
        <sz val="10"/>
        <rFont val="Arial"/>
        <family val="2"/>
      </rPr>
      <t xml:space="preserve">1077
</t>
    </r>
    <r>
      <rPr>
        <b/>
        <sz val="10"/>
        <color rgb="FFFF0000"/>
        <rFont val="Arial"/>
        <family val="2"/>
      </rPr>
      <t>LAPSED per MC advice 23/07/2019
No extension and no works commenced</t>
    </r>
  </si>
  <si>
    <t>132007.12.8
(Other Change)</t>
  </si>
  <si>
    <t>88A Goodchap St NOOSAVILLE QLD 4566</t>
  </si>
  <si>
    <t>Lot 3 SP264909</t>
  </si>
  <si>
    <r>
      <t xml:space="preserve">PC19/0159
</t>
    </r>
    <r>
      <rPr>
        <b/>
        <sz val="10"/>
        <color rgb="FFFF0000"/>
        <rFont val="Arial"/>
        <family val="2"/>
      </rPr>
      <t>Final Inspection Certificate issued 17/07/2019</t>
    </r>
  </si>
  <si>
    <r>
      <rPr>
        <b/>
        <sz val="10"/>
        <color rgb="FF0000FF"/>
        <rFont val="Arial"/>
        <family val="2"/>
      </rPr>
      <t xml:space="preserve">N </t>
    </r>
    <r>
      <rPr>
        <b/>
        <sz val="10"/>
        <rFont val="Arial"/>
        <family val="2"/>
      </rPr>
      <t xml:space="preserve">1418
</t>
    </r>
    <r>
      <rPr>
        <b/>
        <sz val="10"/>
        <color rgb="FFFF0000"/>
        <rFont val="Arial"/>
        <family val="2"/>
      </rPr>
      <t>PAYMENT DUE 
23 AUGUST</t>
    </r>
  </si>
  <si>
    <t>D64158</t>
  </si>
  <si>
    <t>D65133</t>
  </si>
  <si>
    <r>
      <t xml:space="preserve">07/0738 (DA)
</t>
    </r>
    <r>
      <rPr>
        <b/>
        <sz val="8"/>
        <color rgb="FF0000FF"/>
        <rFont val="Arial"/>
        <family val="2"/>
      </rPr>
      <t>(Ext &amp; Change 132007.738.04)</t>
    </r>
    <r>
      <rPr>
        <b/>
        <sz val="8"/>
        <rFont val="Arial"/>
        <family val="2"/>
      </rPr>
      <t xml:space="preserve">
</t>
    </r>
  </si>
  <si>
    <r>
      <rPr>
        <strike/>
        <sz val="8"/>
        <rFont val="Arial"/>
        <family val="2"/>
      </rPr>
      <t>Mintgrove Pty Ltd
SA &amp; MA Mihos</t>
    </r>
    <r>
      <rPr>
        <sz val="8"/>
        <rFont val="Arial"/>
        <family val="2"/>
      </rPr>
      <t xml:space="preserve">
</t>
    </r>
    <r>
      <rPr>
        <sz val="8"/>
        <color rgb="FF0000FF"/>
        <rFont val="Arial"/>
        <family val="2"/>
      </rPr>
      <t>64 Gateway Dve Pty Ltd ATF 64 GD Trust</t>
    </r>
  </si>
  <si>
    <t>Vacant Non-Res Land</t>
  </si>
  <si>
    <t>Industrial Business -
Type 1 &amp; 2 = 5,769 m2</t>
  </si>
  <si>
    <r>
      <rPr>
        <strike/>
        <sz val="8"/>
        <rFont val="Arial"/>
        <family val="2"/>
      </rPr>
      <t>2/07/2012</t>
    </r>
    <r>
      <rPr>
        <sz val="8"/>
        <rFont val="Arial"/>
        <family val="2"/>
      </rPr>
      <t xml:space="preserve">
</t>
    </r>
    <r>
      <rPr>
        <strike/>
        <sz val="8"/>
        <color rgb="FF0000FF"/>
        <rFont val="Arial"/>
        <family val="2"/>
      </rPr>
      <t>2/07/2016</t>
    </r>
    <r>
      <rPr>
        <sz val="8"/>
        <color rgb="FF0000FF"/>
        <rFont val="Arial"/>
        <family val="2"/>
      </rPr>
      <t xml:space="preserve">
</t>
    </r>
    <r>
      <rPr>
        <strike/>
        <sz val="8"/>
        <color rgb="FF0000FF"/>
        <rFont val="Arial"/>
        <family val="2"/>
      </rPr>
      <t>2/7/202</t>
    </r>
    <r>
      <rPr>
        <sz val="8"/>
        <color rgb="FF0000FF"/>
        <rFont val="Arial"/>
        <family val="2"/>
      </rPr>
      <t>0
2/07/2022</t>
    </r>
  </si>
  <si>
    <r>
      <rPr>
        <strike/>
        <sz val="8"/>
        <rFont val="Arial"/>
        <family val="2"/>
      </rPr>
      <t>2/07/2008</t>
    </r>
    <r>
      <rPr>
        <sz val="8"/>
        <rFont val="Arial"/>
        <family val="2"/>
      </rPr>
      <t xml:space="preserve">
</t>
    </r>
    <r>
      <rPr>
        <strike/>
        <sz val="8"/>
        <color rgb="FF0000FF"/>
        <rFont val="Arial"/>
        <family val="2"/>
      </rPr>
      <t>9/04/2013</t>
    </r>
    <r>
      <rPr>
        <sz val="8"/>
        <color rgb="FF0000FF"/>
        <rFont val="Arial"/>
        <family val="2"/>
      </rPr>
      <t xml:space="preserve">
</t>
    </r>
    <r>
      <rPr>
        <strike/>
        <sz val="8"/>
        <color rgb="FF0000FF"/>
        <rFont val="Arial"/>
        <family val="2"/>
      </rPr>
      <t>14/6/2016</t>
    </r>
    <r>
      <rPr>
        <sz val="8"/>
        <color rgb="FF0000FF"/>
        <rFont val="Arial"/>
        <family val="2"/>
      </rPr>
      <t xml:space="preserve">
1/07/2019</t>
    </r>
    <r>
      <rPr>
        <sz val="8"/>
        <rFont val="Arial"/>
        <family val="2"/>
      </rPr>
      <t xml:space="preserve">
</t>
    </r>
  </si>
  <si>
    <t>132007.738.04</t>
  </si>
  <si>
    <t>CPI March 2019</t>
  </si>
  <si>
    <t>64 Gateway Drive Pty Ltd</t>
  </si>
  <si>
    <t>4/18 Edgar Bennett Dr 
NOOSA HEADS QLD 4567</t>
  </si>
  <si>
    <t>Lot 13 SP 170295</t>
  </si>
  <si>
    <t>64 Gateway Drive NOOSAVILLE QLD 4566</t>
  </si>
  <si>
    <t>IA 88 replaces Development Permit's Contribution Condition 68 &amp; ICP 783 (Rev 1) to Adopted Charge</t>
  </si>
  <si>
    <t>Nil - Vacant Non-Res Land</t>
  </si>
  <si>
    <t>CPI XXX</t>
  </si>
  <si>
    <t>Industrial Business Type 1 &amp; 2 = 
2,430 m2 gfa +
2,207 m2 impervious area</t>
  </si>
  <si>
    <t>Industrial Business Type 1 &amp; 2 = 
2,158 m2 gfa +
4,449 m2 impervious area</t>
  </si>
  <si>
    <t>Industrial Business Type 1 &amp; 2 = 
1,181 m2 gfa +
1,390 m2 impervious area</t>
  </si>
  <si>
    <r>
      <t xml:space="preserve">$13,086 Mar-08
</t>
    </r>
    <r>
      <rPr>
        <sz val="8"/>
        <color rgb="FF0000FF"/>
        <rFont val="Arial"/>
        <family val="2"/>
      </rPr>
      <t>$25,474.00
@ Mar-19
Replaced by IA 88</t>
    </r>
  </si>
  <si>
    <r>
      <t xml:space="preserve">$27,331 Mar-08
</t>
    </r>
    <r>
      <rPr>
        <sz val="8"/>
        <color rgb="FF0000FF"/>
        <rFont val="Arial"/>
        <family val="2"/>
      </rPr>
      <t>$54,735.00
@ Mar-19
Replaced by IA 88</t>
    </r>
  </si>
  <si>
    <r>
      <t xml:space="preserve">$31,492 Mar-08
</t>
    </r>
    <r>
      <rPr>
        <sz val="8"/>
        <color rgb="FF0000FF"/>
        <rFont val="Arial"/>
        <family val="2"/>
      </rPr>
      <t>$62,375.00
@ Mar-11
Replaced by IA 88</t>
    </r>
  </si>
  <si>
    <r>
      <rPr>
        <b/>
        <sz val="10"/>
        <color rgb="FF0000FF"/>
        <rFont val="Arial"/>
        <family val="2"/>
      </rPr>
      <t xml:space="preserve">N </t>
    </r>
    <r>
      <rPr>
        <b/>
        <sz val="10"/>
        <rFont val="Arial"/>
        <family val="2"/>
      </rPr>
      <t>1503</t>
    </r>
    <r>
      <rPr>
        <sz val="11"/>
        <color theme="1"/>
        <rFont val="Calibri"/>
        <family val="2"/>
        <scheme val="minor"/>
      </rPr>
      <t/>
    </r>
  </si>
  <si>
    <r>
      <rPr>
        <b/>
        <sz val="10"/>
        <color rgb="FF0000FF"/>
        <rFont val="Arial"/>
        <family val="2"/>
      </rPr>
      <t xml:space="preserve">N </t>
    </r>
    <r>
      <rPr>
        <b/>
        <sz val="10"/>
        <rFont val="Arial"/>
        <family val="2"/>
      </rPr>
      <t>1504</t>
    </r>
    <r>
      <rPr>
        <sz val="11"/>
        <color theme="1"/>
        <rFont val="Calibri"/>
        <family val="2"/>
        <scheme val="minor"/>
      </rPr>
      <t/>
    </r>
  </si>
  <si>
    <r>
      <rPr>
        <b/>
        <sz val="10"/>
        <color rgb="FF0000FF"/>
        <rFont val="Arial"/>
        <family val="2"/>
      </rPr>
      <t xml:space="preserve">N </t>
    </r>
    <r>
      <rPr>
        <b/>
        <sz val="10"/>
        <rFont val="Arial"/>
        <family val="2"/>
      </rPr>
      <t>1506</t>
    </r>
    <r>
      <rPr>
        <sz val="11"/>
        <color theme="1"/>
        <rFont val="Calibri"/>
        <family val="2"/>
        <scheme val="minor"/>
      </rPr>
      <t/>
    </r>
  </si>
  <si>
    <r>
      <rPr>
        <b/>
        <sz val="10"/>
        <color rgb="FF0000FF"/>
        <rFont val="Arial"/>
        <family val="2"/>
      </rPr>
      <t xml:space="preserve">N </t>
    </r>
    <r>
      <rPr>
        <b/>
        <sz val="10"/>
        <rFont val="Arial"/>
        <family val="2"/>
      </rPr>
      <t>1510</t>
    </r>
    <r>
      <rPr>
        <sz val="11"/>
        <color theme="1"/>
        <rFont val="Calibri"/>
        <family val="2"/>
        <scheme val="minor"/>
      </rPr>
      <t/>
    </r>
  </si>
  <si>
    <r>
      <rPr>
        <b/>
        <sz val="10"/>
        <color rgb="FF0000FF"/>
        <rFont val="Arial"/>
        <family val="2"/>
      </rPr>
      <t xml:space="preserve">N </t>
    </r>
    <r>
      <rPr>
        <b/>
        <sz val="10"/>
        <rFont val="Arial"/>
        <family val="2"/>
      </rPr>
      <t>1517</t>
    </r>
    <r>
      <rPr>
        <sz val="11"/>
        <color theme="1"/>
        <rFont val="Calibri"/>
        <family val="2"/>
        <scheme val="minor"/>
      </rPr>
      <t/>
    </r>
  </si>
  <si>
    <r>
      <rPr>
        <b/>
        <sz val="10"/>
        <color rgb="FF0000FF"/>
        <rFont val="Arial"/>
        <family val="2"/>
      </rPr>
      <t xml:space="preserve">N </t>
    </r>
    <r>
      <rPr>
        <b/>
        <sz val="10"/>
        <rFont val="Arial"/>
        <family val="2"/>
      </rPr>
      <t>1518</t>
    </r>
    <r>
      <rPr>
        <sz val="11"/>
        <color theme="1"/>
        <rFont val="Calibri"/>
        <family val="2"/>
        <scheme val="minor"/>
      </rPr>
      <t/>
    </r>
  </si>
  <si>
    <r>
      <rPr>
        <b/>
        <sz val="10"/>
        <color rgb="FF0000FF"/>
        <rFont val="Arial"/>
        <family val="2"/>
      </rPr>
      <t xml:space="preserve">N </t>
    </r>
    <r>
      <rPr>
        <b/>
        <sz val="10"/>
        <rFont val="Arial"/>
        <family val="2"/>
      </rPr>
      <t>1521</t>
    </r>
    <r>
      <rPr>
        <sz val="11"/>
        <color theme="1"/>
        <rFont val="Calibri"/>
        <family val="2"/>
        <scheme val="minor"/>
      </rPr>
      <t/>
    </r>
  </si>
  <si>
    <r>
      <rPr>
        <b/>
        <sz val="10"/>
        <color rgb="FF0000FF"/>
        <rFont val="Arial"/>
        <family val="2"/>
      </rPr>
      <t xml:space="preserve">N </t>
    </r>
    <r>
      <rPr>
        <b/>
        <sz val="10"/>
        <rFont val="Arial"/>
        <family val="2"/>
      </rPr>
      <t>1525</t>
    </r>
    <r>
      <rPr>
        <sz val="11"/>
        <color theme="1"/>
        <rFont val="Calibri"/>
        <family val="2"/>
        <scheme val="minor"/>
      </rPr>
      <t/>
    </r>
  </si>
  <si>
    <r>
      <rPr>
        <b/>
        <sz val="10"/>
        <color rgb="FF0000FF"/>
        <rFont val="Arial"/>
        <family val="2"/>
      </rPr>
      <t xml:space="preserve">N </t>
    </r>
    <r>
      <rPr>
        <b/>
        <sz val="10"/>
        <rFont val="Arial"/>
        <family val="2"/>
      </rPr>
      <t>1531</t>
    </r>
    <r>
      <rPr>
        <sz val="11"/>
        <color theme="1"/>
        <rFont val="Calibri"/>
        <family val="2"/>
        <scheme val="minor"/>
      </rPr>
      <t/>
    </r>
  </si>
  <si>
    <r>
      <rPr>
        <b/>
        <sz val="10"/>
        <color rgb="FF0000FF"/>
        <rFont val="Arial"/>
        <family val="2"/>
      </rPr>
      <t xml:space="preserve">N </t>
    </r>
    <r>
      <rPr>
        <b/>
        <sz val="10"/>
        <rFont val="Arial"/>
        <family val="2"/>
      </rPr>
      <t>1533</t>
    </r>
    <r>
      <rPr>
        <sz val="11"/>
        <color theme="1"/>
        <rFont val="Calibri"/>
        <family val="2"/>
        <scheme val="minor"/>
      </rPr>
      <t/>
    </r>
  </si>
  <si>
    <r>
      <rPr>
        <b/>
        <sz val="10"/>
        <color rgb="FF0000FF"/>
        <rFont val="Arial"/>
        <family val="2"/>
      </rPr>
      <t xml:space="preserve">N </t>
    </r>
    <r>
      <rPr>
        <b/>
        <sz val="10"/>
        <rFont val="Arial"/>
        <family val="2"/>
      </rPr>
      <t>1537</t>
    </r>
    <r>
      <rPr>
        <sz val="11"/>
        <color theme="1"/>
        <rFont val="Calibri"/>
        <family val="2"/>
        <scheme val="minor"/>
      </rPr>
      <t/>
    </r>
  </si>
  <si>
    <r>
      <rPr>
        <b/>
        <sz val="10"/>
        <color rgb="FF0000FF"/>
        <rFont val="Arial"/>
        <family val="2"/>
      </rPr>
      <t xml:space="preserve">N </t>
    </r>
    <r>
      <rPr>
        <b/>
        <sz val="10"/>
        <rFont val="Arial"/>
        <family val="2"/>
      </rPr>
      <t>1538</t>
    </r>
    <r>
      <rPr>
        <sz val="11"/>
        <color theme="1"/>
        <rFont val="Calibri"/>
        <family val="2"/>
        <scheme val="minor"/>
      </rPr>
      <t/>
    </r>
  </si>
  <si>
    <r>
      <rPr>
        <b/>
        <sz val="10"/>
        <color rgb="FF0000FF"/>
        <rFont val="Arial"/>
        <family val="2"/>
      </rPr>
      <t xml:space="preserve">N </t>
    </r>
    <r>
      <rPr>
        <b/>
        <sz val="10"/>
        <rFont val="Arial"/>
        <family val="2"/>
      </rPr>
      <t>1540</t>
    </r>
    <r>
      <rPr>
        <sz val="11"/>
        <color theme="1"/>
        <rFont val="Calibri"/>
        <family val="2"/>
        <scheme val="minor"/>
      </rPr>
      <t/>
    </r>
  </si>
  <si>
    <t>PC18/1035</t>
  </si>
  <si>
    <t>Building Work: EarthCert Building Approvals
Notice: 180297</t>
  </si>
  <si>
    <t>Lot 3 RP 202441</t>
  </si>
  <si>
    <t>MCU19/0047</t>
  </si>
  <si>
    <t>WD Grove &amp; R Purvis</t>
  </si>
  <si>
    <t>Lot 2 SP 269273</t>
  </si>
  <si>
    <t>145 Musa Vale Road
COOROY QLD 4563</t>
  </si>
  <si>
    <t>Visitor Accommodation Type 3 Rural (1 x 2 bedroom cabin) + future detached house</t>
  </si>
  <si>
    <t>D67679</t>
  </si>
  <si>
    <t>JULY 2019 Total =</t>
  </si>
  <si>
    <t>AUGUST 2019
Total =</t>
  </si>
  <si>
    <t>D68320</t>
  </si>
  <si>
    <t>D69095</t>
  </si>
  <si>
    <r>
      <t xml:space="preserve">Before the Change of Use happens
</t>
    </r>
    <r>
      <rPr>
        <sz val="10"/>
        <color rgb="FF0000FF"/>
        <rFont val="Arial"/>
        <family val="2"/>
      </rPr>
      <t xml:space="preserve">o This infrastructure charge ONLY becomes payable following completion of a future primary “detached house” on the property.   </t>
    </r>
    <r>
      <rPr>
        <sz val="10"/>
        <rFont val="Arial"/>
        <family val="2"/>
      </rPr>
      <t xml:space="preserve">  </t>
    </r>
  </si>
  <si>
    <t>MCU19/0033</t>
  </si>
  <si>
    <t>Lucky Fungi Pty Ltd TTE</t>
  </si>
  <si>
    <t>13 William Street NOOSAVILLE QLD 4566</t>
  </si>
  <si>
    <t>Lot 21 RP 815864</t>
  </si>
  <si>
    <t>Multiple housing type 2 Duplex = 
3x3 bed units + 3x2 bed units</t>
  </si>
  <si>
    <t xml:space="preserve">2 x 3 bed cartaker dwellings
6 x Short term accom bedrooms
Café 137m2 gfa &amp; impervious area
</t>
  </si>
  <si>
    <t>Nil payable</t>
  </si>
  <si>
    <t>MCU18/0009.01</t>
  </si>
  <si>
    <t>186 Cooroy Noosa Road Tewantin 4565</t>
  </si>
  <si>
    <t>Lot 2 on RP 177554</t>
  </si>
  <si>
    <t>Essential Services (Aged Care) = 
Additional 2,248 m2 gfa +
Additional 1,518 m2 impervious area</t>
  </si>
  <si>
    <t>PC19/0878</t>
  </si>
  <si>
    <t>Luis Gomez-Ramos</t>
  </si>
  <si>
    <t>C/- Fluid Building Approvals
172 Brisbane Road
MOOLOOLABA QLD 4557</t>
  </si>
  <si>
    <t>6 Livistona Drive
DOONAN QLD 4562</t>
  </si>
  <si>
    <t>51901.3993.01</t>
  </si>
  <si>
    <t>Lot 3 RP 836907</t>
  </si>
  <si>
    <t>Units 1 &amp; 2 / 16 Margit Cres SUNRISE BEACH QLD 4567</t>
  </si>
  <si>
    <t>Lots 1 &amp; 2 BUP 5182</t>
  </si>
  <si>
    <t>Multiple Housing Type 4
2 x 3 bed units</t>
  </si>
  <si>
    <t>Multiple Housing Type 4
2 x 2 bed units</t>
  </si>
  <si>
    <t>1/40 Sedgebrook St
SPRINGHILL QLD 4000</t>
  </si>
  <si>
    <t>J Popovic, D Popovic</t>
  </si>
  <si>
    <t>Brendan Lindsay Eyles Irwin</t>
  </si>
  <si>
    <t>C/- Adele Ranke
PO Box 454
POMONA QLD 4568</t>
  </si>
  <si>
    <t>Multiple Housing Type 4
1 x 3 bed units +
1 x 2 bed unit</t>
  </si>
  <si>
    <t>D71544</t>
  </si>
  <si>
    <t>16 Serenity Close NOOSA HEADS QLD 4567</t>
  </si>
  <si>
    <t>CPI Jun 2013</t>
  </si>
  <si>
    <t>CPI XXXX</t>
  </si>
  <si>
    <t>CPI June 2019</t>
  </si>
  <si>
    <t>34 Elm Street COOROY QLD 4563</t>
  </si>
  <si>
    <t xml:space="preserve">Lot 4 RP 72698, 
Lot 5 RP 72698 &amp; 
Lot 6 RP 72698 </t>
  </si>
  <si>
    <t>Retail Business Type 2 Shop &amp; Salon
Total gfa  = 695sqm
+
Impervious area = Total site area - landscaped area = 2014sqm - 220.9sqm = 1793sqn</t>
  </si>
  <si>
    <t>1 x 3 bed Managers permanent residence 
6 x motel units
10 x caravan sites 
1 x office = 45m2 gfa &amp; (45m2+50m2 carport &amp; drive) = 95m2 impervious area</t>
  </si>
  <si>
    <t>D77258</t>
  </si>
  <si>
    <r>
      <rPr>
        <b/>
        <sz val="10"/>
        <color rgb="FF0000FF"/>
        <rFont val="Arial"/>
        <family val="2"/>
      </rPr>
      <t xml:space="preserve">N </t>
    </r>
    <r>
      <rPr>
        <b/>
        <sz val="10"/>
        <rFont val="Arial"/>
        <family val="2"/>
      </rPr>
      <t xml:space="preserve">1389
</t>
    </r>
    <r>
      <rPr>
        <sz val="10"/>
        <color rgb="FFFF0000"/>
        <rFont val="Arial"/>
        <family val="2"/>
      </rPr>
      <t>nearing completion 8/8/19
email sent 14/08/2019</t>
    </r>
  </si>
  <si>
    <r>
      <rPr>
        <b/>
        <sz val="10"/>
        <color rgb="FF0000FF"/>
        <rFont val="Arial"/>
        <family val="2"/>
      </rPr>
      <t xml:space="preserve">N </t>
    </r>
    <r>
      <rPr>
        <b/>
        <sz val="10"/>
        <rFont val="Arial"/>
        <family val="2"/>
      </rPr>
      <t xml:space="preserve">1470
</t>
    </r>
    <r>
      <rPr>
        <b/>
        <sz val="10"/>
        <color rgb="FF0000FF"/>
        <rFont val="Arial"/>
        <family val="2"/>
      </rPr>
      <t>+
IA 87 carparking</t>
    </r>
  </si>
  <si>
    <t>MCU19/0056</t>
  </si>
  <si>
    <t>BDH Group Investments Pty Ltd TTE</t>
  </si>
  <si>
    <t>Lot 40 RP 175148</t>
  </si>
  <si>
    <t>36 Rene Street, NOOSAVILLE QLD 4566</t>
  </si>
  <si>
    <t>Industrial Business Type 2 = 803 m2 gfa 
+ 1431 impervious area</t>
  </si>
  <si>
    <t>Industrial Business Type 2 = 125 m2 gfa 
+ 151 impervious area</t>
  </si>
  <si>
    <t>TW Drenth</t>
  </si>
  <si>
    <t>Lot 4 on C5603</t>
  </si>
  <si>
    <t>8 Garnet Street, COOROY QLD 4563</t>
  </si>
  <si>
    <t>D84592</t>
  </si>
  <si>
    <t>PC18/1398</t>
  </si>
  <si>
    <t>PC19/0767</t>
  </si>
  <si>
    <t>Building Work:Pure Building Approvals
Notice: 20197765</t>
  </si>
  <si>
    <t>Calty Constructions</t>
  </si>
  <si>
    <t>PO Box 8208
MAROOCHYDORE QLD 4558</t>
  </si>
  <si>
    <t>Lot 23 RP 220505</t>
  </si>
  <si>
    <t>3 Warragai Street 
NOOSA HEADS QLD 4567</t>
  </si>
  <si>
    <t>MCU18/0097</t>
  </si>
  <si>
    <t>Lot 30 SP170751</t>
  </si>
  <si>
    <t>115 Eumundi Noosa Rd NOOSAVILLE QLD 4566</t>
  </si>
  <si>
    <t>Car park - Impervious area = 3,655 m2</t>
  </si>
  <si>
    <t>Vacant - Nil</t>
  </si>
  <si>
    <t>Council Policy “Infrastructure Charges Rebates For Community Organisations” = 50%</t>
  </si>
  <si>
    <t>MCU19/0030</t>
  </si>
  <si>
    <t xml:space="preserve">Gympie Terrace Noosaville Pty Ltd </t>
  </si>
  <si>
    <t xml:space="preserve">Lot 1 RP 66483 &amp;
Lot 1 RP 70165 </t>
  </si>
  <si>
    <t>217 &amp; 219 Gympie Tce NOOSAVILLE QLD 4566</t>
  </si>
  <si>
    <t>Multiple Housing Type 4 = 3 x 3 bed units</t>
  </si>
  <si>
    <t xml:space="preserve">24/11/2019
</t>
  </si>
  <si>
    <t>26/02/2018
&amp;
2/10/2018</t>
  </si>
  <si>
    <t>NSC CR (No.2) (Amend.1)
&amp;
NSC CR (No.3)</t>
  </si>
  <si>
    <t>C/- Suncoast Building Approvals
PO Box1054
MAROOCHYDORE QLD 4558
&amp;
C/- Aboda Design Group
PO Box 2449
NOOSA HEADS QLD 4567</t>
  </si>
  <si>
    <r>
      <t xml:space="preserve">Planning Reg 
2017-2018 = 1.01199
&amp;
</t>
    </r>
    <r>
      <rPr>
        <b/>
        <sz val="10"/>
        <rFont val="Arial"/>
        <family val="2"/>
      </rPr>
      <t>2018-19 = 1.024722</t>
    </r>
  </si>
  <si>
    <r>
      <rPr>
        <b/>
        <sz val="10"/>
        <rFont val="Arial"/>
        <family val="2"/>
      </rPr>
      <t>Material Change of Use</t>
    </r>
    <r>
      <rPr>
        <sz val="10"/>
        <rFont val="Arial"/>
        <family val="2"/>
      </rPr>
      <t xml:space="preserve">
&amp;
Building Work: Suncoast Building Approvals Permit: #SBA2017-3139</t>
    </r>
  </si>
  <si>
    <r>
      <rPr>
        <b/>
        <sz val="10"/>
        <rFont val="Arial"/>
        <family val="2"/>
      </rPr>
      <t>Before the Change of Use happens</t>
    </r>
    <r>
      <rPr>
        <sz val="10"/>
        <rFont val="Arial"/>
        <family val="2"/>
      </rPr>
      <t xml:space="preserve">
&amp;
When the certificate of classification or final inspection certificate for the building work is given &amp;/or prior to occupancy of the building</t>
    </r>
  </si>
  <si>
    <t>will not lapse
&amp;
2/10/2020</t>
  </si>
  <si>
    <t>Accidentally issued a 2 x ICN's for same development. 
The lower amount that excludes Stormwater will apply</t>
  </si>
  <si>
    <r>
      <rPr>
        <b/>
        <sz val="10"/>
        <rFont val="Arial"/>
        <family val="2"/>
      </rPr>
      <t xml:space="preserve">MCU13/0230.02 
(Change) </t>
    </r>
    <r>
      <rPr>
        <sz val="10"/>
        <rFont val="Arial"/>
        <family val="2"/>
      </rPr>
      <t>= $6,078.00
&amp;
PC18/1182 = $5,500.00</t>
    </r>
  </si>
  <si>
    <r>
      <rPr>
        <b/>
        <sz val="10"/>
        <color rgb="FF0000FF"/>
        <rFont val="Arial"/>
        <family val="2"/>
      </rPr>
      <t xml:space="preserve">N </t>
    </r>
    <r>
      <rPr>
        <b/>
        <sz val="10"/>
        <rFont val="Arial"/>
        <family val="2"/>
      </rPr>
      <t xml:space="preserve">1242
</t>
    </r>
    <r>
      <rPr>
        <sz val="10"/>
        <color rgb="FFFF0000"/>
        <rFont val="Arial"/>
        <family val="2"/>
      </rPr>
      <t xml:space="preserve">Looks completed per Aerials 
MC Inspection 2/05/19 being finalised in 2 weeks
</t>
    </r>
    <r>
      <rPr>
        <sz val="12"/>
        <color rgb="FFFF0000"/>
        <rFont val="Arial"/>
        <family val="2"/>
      </rPr>
      <t>DUE 30 AUG</t>
    </r>
  </si>
  <si>
    <r>
      <rPr>
        <b/>
        <sz val="10"/>
        <color rgb="FF0000FF"/>
        <rFont val="Arial"/>
        <family val="2"/>
      </rPr>
      <t xml:space="preserve">N </t>
    </r>
    <r>
      <rPr>
        <b/>
        <sz val="10"/>
        <rFont val="Arial"/>
        <family val="2"/>
      </rPr>
      <t xml:space="preserve">1379
</t>
    </r>
    <r>
      <rPr>
        <sz val="10"/>
        <color rgb="FFFF0000"/>
        <rFont val="Arial"/>
        <family val="2"/>
      </rPr>
      <t xml:space="preserve">Completed via aerials &amp; ready for occupation per MC site inspection 22/08/2019
</t>
    </r>
    <r>
      <rPr>
        <sz val="12"/>
        <color rgb="FFFF0000"/>
        <rFont val="Arial"/>
        <family val="2"/>
      </rPr>
      <t xml:space="preserve">DUE 20 SEPT </t>
    </r>
  </si>
  <si>
    <r>
      <rPr>
        <b/>
        <sz val="10"/>
        <color rgb="FF0000FF"/>
        <rFont val="Arial"/>
        <family val="2"/>
      </rPr>
      <t xml:space="preserve">N </t>
    </r>
    <r>
      <rPr>
        <b/>
        <sz val="10"/>
        <rFont val="Arial"/>
        <family val="2"/>
      </rPr>
      <t xml:space="preserve">1366
</t>
    </r>
    <r>
      <rPr>
        <sz val="10"/>
        <color rgb="FFFF0000"/>
        <rFont val="Arial"/>
        <family val="2"/>
      </rPr>
      <t>PAYMENT DUE 
23 AUGUST</t>
    </r>
  </si>
  <si>
    <r>
      <rPr>
        <b/>
        <sz val="10"/>
        <color rgb="FF0000FF"/>
        <rFont val="Arial"/>
        <family val="2"/>
      </rPr>
      <t xml:space="preserve">N </t>
    </r>
    <r>
      <rPr>
        <b/>
        <sz val="10"/>
        <rFont val="Arial"/>
        <family val="2"/>
      </rPr>
      <t xml:space="preserve">1263
</t>
    </r>
    <r>
      <rPr>
        <sz val="10"/>
        <color rgb="FFFF0000"/>
        <rFont val="Arial"/>
        <family val="2"/>
      </rPr>
      <t>OP Works on maintenance &amp; use commenced
DUE 26 JULY</t>
    </r>
  </si>
  <si>
    <r>
      <t xml:space="preserve">PC18/0844
</t>
    </r>
    <r>
      <rPr>
        <sz val="10"/>
        <color rgb="FFFF0000"/>
        <rFont val="Arial"/>
        <family val="2"/>
      </rPr>
      <t>Final Inspection Certificate issued 26/06/2019</t>
    </r>
  </si>
  <si>
    <r>
      <rPr>
        <b/>
        <sz val="10"/>
        <color rgb="FF0000FF"/>
        <rFont val="Arial"/>
        <family val="2"/>
      </rPr>
      <t xml:space="preserve">N </t>
    </r>
    <r>
      <rPr>
        <b/>
        <sz val="10"/>
        <rFont val="Arial"/>
        <family val="2"/>
      </rPr>
      <t xml:space="preserve">1392
</t>
    </r>
    <r>
      <rPr>
        <sz val="10"/>
        <color rgb="FFFF0000"/>
        <rFont val="Arial"/>
        <family val="2"/>
      </rPr>
      <t>Constructed from aerials.
MC site inspection &amp; discussion 26/8/2019 nearing completion in a few weeks time</t>
    </r>
  </si>
  <si>
    <r>
      <rPr>
        <b/>
        <sz val="10"/>
        <color rgb="FF0000FF"/>
        <rFont val="Arial"/>
        <family val="2"/>
      </rPr>
      <t xml:space="preserve">N </t>
    </r>
    <r>
      <rPr>
        <b/>
        <sz val="10"/>
        <rFont val="Arial"/>
        <family val="2"/>
      </rPr>
      <t xml:space="preserve">1375
</t>
    </r>
    <r>
      <rPr>
        <sz val="10"/>
        <color rgb="FFFF0000"/>
        <rFont val="Arial"/>
        <family val="2"/>
      </rPr>
      <t>Completed per MC advice 15/08/2019</t>
    </r>
    <r>
      <rPr>
        <b/>
        <sz val="10"/>
        <color rgb="FFFF0000"/>
        <rFont val="Arial"/>
        <family val="2"/>
      </rPr>
      <t xml:space="preserve">
</t>
    </r>
    <r>
      <rPr>
        <sz val="10"/>
        <color rgb="FFFF0000"/>
        <rFont val="Arial"/>
        <family val="2"/>
      </rPr>
      <t>Owner advice 27/08/19 that Electricty not connected &amp; therefore use</t>
    </r>
    <r>
      <rPr>
        <b/>
        <sz val="10"/>
        <color rgb="FFFF0000"/>
        <rFont val="Arial"/>
        <family val="2"/>
      </rPr>
      <t xml:space="preserve"> </t>
    </r>
    <r>
      <rPr>
        <sz val="10"/>
        <color rgb="FFFF0000"/>
        <rFont val="Arial"/>
        <family val="2"/>
      </rPr>
      <t>not yet commenced But will pay as soon as completed
PC18/1358 issued</t>
    </r>
  </si>
  <si>
    <t>MCU19/0031</t>
  </si>
  <si>
    <t>Javatex P/L</t>
  </si>
  <si>
    <t>13 Noosa Dr NOOSA HEADS QLD 4567</t>
  </si>
  <si>
    <t>Lot 5 RP 91777</t>
  </si>
  <si>
    <t>Retail Business Type 2 Shop &amp; Salon
Total gfa  = 95m2
+
Impervious area = 368 m2</t>
  </si>
  <si>
    <t>Retail Business Type 5 Vehicle uses a) Standard - Total gfa  = 95m2
+
Impervious area = 125 m2</t>
  </si>
  <si>
    <r>
      <rPr>
        <b/>
        <sz val="10"/>
        <color rgb="FF0000FF"/>
        <rFont val="Arial"/>
        <family val="2"/>
      </rPr>
      <t xml:space="preserve">N </t>
    </r>
    <r>
      <rPr>
        <b/>
        <sz val="10"/>
        <rFont val="Arial"/>
        <family val="2"/>
      </rPr>
      <t xml:space="preserve">1355
</t>
    </r>
    <r>
      <rPr>
        <sz val="10"/>
        <rFont val="Arial"/>
        <family val="2"/>
      </rPr>
      <t xml:space="preserve">
</t>
    </r>
    <r>
      <rPr>
        <sz val="10"/>
        <color rgb="FFFF0000"/>
        <rFont val="Arial"/>
        <family val="2"/>
      </rPr>
      <t>Use commenced per MC advice 19/08/2019</t>
    </r>
    <r>
      <rPr>
        <b/>
        <sz val="10"/>
        <color rgb="FFFF0000"/>
        <rFont val="Arial"/>
        <family val="2"/>
      </rPr>
      <t xml:space="preserve">
</t>
    </r>
    <r>
      <rPr>
        <sz val="12"/>
        <color rgb="FFFF0000"/>
        <rFont val="Arial"/>
        <family val="2"/>
      </rPr>
      <t>DUE 20 SEPT</t>
    </r>
  </si>
  <si>
    <r>
      <rPr>
        <b/>
        <sz val="10"/>
        <color rgb="FF0000FF"/>
        <rFont val="Arial"/>
        <family val="2"/>
      </rPr>
      <t xml:space="preserve">N </t>
    </r>
    <r>
      <rPr>
        <b/>
        <sz val="10"/>
        <rFont val="Arial"/>
        <family val="2"/>
      </rPr>
      <t xml:space="preserve">1327
</t>
    </r>
    <r>
      <rPr>
        <sz val="10"/>
        <color rgb="FFFF0000"/>
        <rFont val="Arial"/>
        <family val="2"/>
      </rPr>
      <t xml:space="preserve">Completed per MC advice 21/08/2019
</t>
    </r>
    <r>
      <rPr>
        <sz val="12"/>
        <color rgb="FFFF0000"/>
        <rFont val="Arial"/>
        <family val="2"/>
      </rPr>
      <t>DUE 20 SEPT</t>
    </r>
  </si>
  <si>
    <r>
      <t xml:space="preserve">178 Eumundi Noosa Road
NOOSAVILLE
</t>
    </r>
    <r>
      <rPr>
        <sz val="10"/>
        <color rgb="FFFF0000"/>
        <rFont val="Arial"/>
        <family val="2"/>
      </rPr>
      <t>(Now 188 Eumundi Noosa Rd)</t>
    </r>
  </si>
  <si>
    <t>D90410</t>
  </si>
  <si>
    <t>D90412</t>
  </si>
  <si>
    <t>MCU19/0026</t>
  </si>
  <si>
    <t>65 Poinciana Avenue, TEWANTIN QLD 4565</t>
  </si>
  <si>
    <t>Multiple housing type 4 = 5 x 2 bed units</t>
  </si>
  <si>
    <t>Ringtail Creek Pty Ltd TTE</t>
  </si>
  <si>
    <r>
      <t xml:space="preserve">Planning Reg </t>
    </r>
    <r>
      <rPr>
        <strike/>
        <sz val="10"/>
        <rFont val="Arial"/>
        <family val="2"/>
      </rPr>
      <t>2018-19</t>
    </r>
    <r>
      <rPr>
        <sz val="10"/>
        <rFont val="Arial"/>
        <family val="2"/>
      </rPr>
      <t xml:space="preserve">
</t>
    </r>
    <r>
      <rPr>
        <sz val="10"/>
        <color rgb="FF0000FF"/>
        <rFont val="Arial"/>
        <family val="2"/>
      </rPr>
      <t>2019-20</t>
    </r>
  </si>
  <si>
    <r>
      <t xml:space="preserve">26/11/2018
</t>
    </r>
    <r>
      <rPr>
        <sz val="10"/>
        <color rgb="FF0000FF"/>
        <rFont val="Arial"/>
        <family val="2"/>
      </rPr>
      <t>IA 90 = 30/08/2019</t>
    </r>
  </si>
  <si>
    <t>IA 90 = 30/08/2019</t>
  </si>
  <si>
    <t>Staged Payment Agreement IA 90 incl 5% admin fee
Approved 30 August 2019</t>
  </si>
  <si>
    <t>D90798</t>
  </si>
  <si>
    <t>Part Payment  $2,000</t>
  </si>
  <si>
    <r>
      <rPr>
        <sz val="10"/>
        <color rgb="FF0000FF"/>
        <rFont val="Arial"/>
        <family val="2"/>
      </rPr>
      <t xml:space="preserve">N </t>
    </r>
    <r>
      <rPr>
        <sz val="10"/>
        <rFont val="Arial"/>
        <family val="2"/>
      </rPr>
      <t xml:space="preserve">1403
</t>
    </r>
    <r>
      <rPr>
        <sz val="10"/>
        <color rgb="FFFF0000"/>
        <rFont val="Arial"/>
        <family val="2"/>
      </rPr>
      <t>Constructed per aerials &amp; occupied per MC site inspection 22/08/2019
DUE 20 SEPT</t>
    </r>
  </si>
  <si>
    <t>D90819</t>
  </si>
  <si>
    <r>
      <t xml:space="preserve">Staged Payment Agreement Dated 19/08/2019 includes 5% admin fee NOT ACTED ON.
</t>
    </r>
    <r>
      <rPr>
        <sz val="10"/>
        <color rgb="FFFF0000"/>
        <rFont val="Arial"/>
        <family val="2"/>
      </rPr>
      <t>COMPOUND INTEREST commenced 15 Aug 2019 &amp; Transferred to Property Rates on 2/09/2019</t>
    </r>
  </si>
  <si>
    <r>
      <t xml:space="preserve">Planning Reg 2019-2020
</t>
    </r>
    <r>
      <rPr>
        <sz val="10"/>
        <color rgb="FFFF0000"/>
        <rFont val="Arial"/>
        <family val="2"/>
      </rPr>
      <t>+ Interest from 15/08/2019</t>
    </r>
    <r>
      <rPr>
        <b/>
        <sz val="10"/>
        <color rgb="FFFF0000"/>
        <rFont val="Arial"/>
        <family val="2"/>
      </rPr>
      <t xml:space="preserve"> </t>
    </r>
  </si>
  <si>
    <r>
      <rPr>
        <b/>
        <sz val="10"/>
        <color rgb="FF0000FF"/>
        <rFont val="Arial"/>
        <family val="2"/>
      </rPr>
      <t xml:space="preserve">N </t>
    </r>
    <r>
      <rPr>
        <b/>
        <sz val="10"/>
        <rFont val="Arial"/>
        <family val="2"/>
      </rPr>
      <t xml:space="preserve">1316
</t>
    </r>
    <r>
      <rPr>
        <sz val="10"/>
        <color rgb="FFFF0000"/>
        <rFont val="Arial"/>
        <family val="2"/>
      </rPr>
      <t xml:space="preserve">Use Commenced per MC advice 15/08/2019 
</t>
    </r>
    <r>
      <rPr>
        <sz val="10"/>
        <color rgb="FF0000FF"/>
        <rFont val="Arial"/>
        <family val="2"/>
      </rPr>
      <t xml:space="preserve">IA 89 Not acted on
</t>
    </r>
    <r>
      <rPr>
        <sz val="10"/>
        <color rgb="FFFF0000"/>
        <rFont val="Arial"/>
        <family val="2"/>
      </rPr>
      <t>DUE 30 AUGUST 2019
Transferred to RATES 2/09/2019</t>
    </r>
  </si>
  <si>
    <t>PC19/0968</t>
  </si>
  <si>
    <t>Building Work: Noosa Building Approvals
Notice: 20180503</t>
  </si>
  <si>
    <t>Rilka Stone &amp; Devitt Grainger</t>
  </si>
  <si>
    <t>53 Main Street
KIN KIN QLD 4571</t>
  </si>
  <si>
    <t>Lot 20 SP 185678</t>
  </si>
  <si>
    <t>Lot 1 on RP 54219</t>
  </si>
  <si>
    <t>8 Overton Way 
KIN KIN QLD 4571</t>
  </si>
  <si>
    <t>Journal 1706554</t>
  </si>
  <si>
    <r>
      <rPr>
        <b/>
        <sz val="10"/>
        <color rgb="FFFF0000"/>
        <rFont val="Arial"/>
        <family val="2"/>
      </rPr>
      <t>2/09/2019</t>
    </r>
    <r>
      <rPr>
        <sz val="10"/>
        <color rgb="FFFF0000"/>
        <rFont val="Arial"/>
        <family val="2"/>
      </rPr>
      <t xml:space="preserve">
However Journal included in T1 August period </t>
    </r>
  </si>
  <si>
    <r>
      <rPr>
        <b/>
        <sz val="10"/>
        <color rgb="FF0000FF"/>
        <rFont val="Arial"/>
        <family val="2"/>
      </rPr>
      <t xml:space="preserve">N </t>
    </r>
    <r>
      <rPr>
        <b/>
        <sz val="10"/>
        <rFont val="Arial"/>
        <family val="2"/>
      </rPr>
      <t>1306</t>
    </r>
    <r>
      <rPr>
        <sz val="10"/>
        <color rgb="FF0000FF"/>
        <rFont val="Arial"/>
        <family val="2"/>
      </rPr>
      <t xml:space="preserve">
</t>
    </r>
    <r>
      <rPr>
        <strike/>
        <sz val="10"/>
        <color rgb="FF0000FF"/>
        <rFont val="Arial"/>
        <family val="2"/>
      </rPr>
      <t xml:space="preserve">&amp;
N </t>
    </r>
    <r>
      <rPr>
        <strike/>
        <sz val="10"/>
        <rFont val="Arial"/>
        <family val="2"/>
      </rPr>
      <t>1383 (Cancelled)</t>
    </r>
    <r>
      <rPr>
        <sz val="10"/>
        <rFont val="Arial"/>
        <family val="2"/>
      </rPr>
      <t xml:space="preserve">
</t>
    </r>
    <r>
      <rPr>
        <sz val="10"/>
        <color rgb="FFFF0000"/>
        <rFont val="Arial"/>
        <family val="2"/>
      </rPr>
      <t xml:space="preserve">Completed via aerials
26/08/2019 email - Construction completed but not yet occupied.
However Change has Happened
</t>
    </r>
    <r>
      <rPr>
        <sz val="12"/>
        <color rgb="FFFF0000"/>
        <rFont val="Arial"/>
        <family val="2"/>
      </rPr>
      <t>DUE 20 SEPT</t>
    </r>
  </si>
  <si>
    <t>SEPTEMBER 2019
Total =</t>
  </si>
  <si>
    <t>D92807</t>
  </si>
  <si>
    <t>D92816</t>
  </si>
  <si>
    <t>PC18/0861</t>
  </si>
  <si>
    <t>Building Work: Pure Building Approvals
Notice: 20186845</t>
  </si>
  <si>
    <t>Ross Darlington</t>
  </si>
  <si>
    <t>17/263 Edwards Street
SUNSHINE BEACH QLD 4567</t>
  </si>
  <si>
    <t>Lot 132 SP 88934</t>
  </si>
  <si>
    <t>D94147</t>
  </si>
  <si>
    <t>Part Pmt $2,000 on 30/08/2019 Receipt: D90819
Part Paid $2,000 on 16/09/2019 Receipt D95624</t>
  </si>
  <si>
    <t>D95624</t>
  </si>
  <si>
    <t>SEPTEMBER 2019 Total =</t>
  </si>
  <si>
    <t>D96113</t>
  </si>
  <si>
    <t>MCU16/0098.02</t>
  </si>
  <si>
    <t>Building Suncoast Green
6 Lorraine Ave
MARCOOLA QLD 4564</t>
  </si>
  <si>
    <t>21 Venture Dr NOOSAVILLE QLD 4566</t>
  </si>
  <si>
    <t>10/05/2018
23/09/2019</t>
  </si>
  <si>
    <t>MCU17/0043.01</t>
  </si>
  <si>
    <t>CA Ryan</t>
  </si>
  <si>
    <t>Elysium Noosa
7 Ironwood Lane
NOOSA HEADS QLD 4567</t>
  </si>
  <si>
    <r>
      <t xml:space="preserve">Multiple Housing Type 2 - Duplex = 
1 x 3bed + 1 x </t>
    </r>
    <r>
      <rPr>
        <sz val="10"/>
        <color rgb="FF0000FF"/>
        <rFont val="Arial"/>
        <family val="2"/>
      </rPr>
      <t>2 bed</t>
    </r>
    <r>
      <rPr>
        <sz val="10"/>
        <rFont val="Arial"/>
        <family val="2"/>
      </rPr>
      <t xml:space="preserve">  units</t>
    </r>
  </si>
  <si>
    <r>
      <rPr>
        <b/>
        <sz val="10"/>
        <color rgb="FF0000FF"/>
        <rFont val="Arial"/>
        <family val="2"/>
      </rPr>
      <t xml:space="preserve">N </t>
    </r>
    <r>
      <rPr>
        <b/>
        <sz val="10"/>
        <rFont val="Arial"/>
        <family val="2"/>
      </rPr>
      <t xml:space="preserve">1399
</t>
    </r>
    <r>
      <rPr>
        <sz val="10"/>
        <color rgb="FFFF0000"/>
        <rFont val="Arial"/>
        <family val="2"/>
      </rPr>
      <t xml:space="preserve">COMPLETED  - Final Inspection Cetificate 30/07/2019
</t>
    </r>
    <r>
      <rPr>
        <b/>
        <sz val="10"/>
        <color rgb="FF0000FF"/>
        <rFont val="Arial"/>
        <family val="2"/>
      </rPr>
      <t>IA 90 - STAGED PAYMENT 1</t>
    </r>
    <r>
      <rPr>
        <sz val="10"/>
        <color rgb="FF0000FF"/>
        <rFont val="Arial"/>
        <family val="2"/>
      </rPr>
      <t xml:space="preserve">
</t>
    </r>
    <r>
      <rPr>
        <b/>
        <sz val="10"/>
        <color rgb="FF0000FF"/>
        <rFont val="Arial"/>
        <family val="2"/>
      </rPr>
      <t>DUE 20 SEPT</t>
    </r>
  </si>
  <si>
    <t>D97109</t>
  </si>
  <si>
    <t>Paid Final Balance</t>
  </si>
  <si>
    <r>
      <rPr>
        <b/>
        <sz val="10"/>
        <color rgb="FF0000FF"/>
        <rFont val="Arial"/>
        <family val="2"/>
      </rPr>
      <t xml:space="preserve">N </t>
    </r>
    <r>
      <rPr>
        <b/>
        <sz val="10"/>
        <rFont val="Arial"/>
        <family val="2"/>
      </rPr>
      <t xml:space="preserve">1403
</t>
    </r>
    <r>
      <rPr>
        <sz val="10"/>
        <color rgb="FFFF0000"/>
        <rFont val="Arial"/>
        <family val="2"/>
      </rPr>
      <t>Constructed per aerials &amp; occupied per MC site inspection 22/08/2019
DUE 20 SEPT</t>
    </r>
  </si>
  <si>
    <t>D97476</t>
  </si>
  <si>
    <t>D97229</t>
  </si>
  <si>
    <t>132001.210084.2</t>
  </si>
  <si>
    <t>Mrs T Kelly &amp; Mr RC Kelly</t>
  </si>
  <si>
    <t>Lot 1 SP 143294</t>
  </si>
  <si>
    <t>1/15 Lionel Donovan Drive, NOOSAVILLE QLD 4566</t>
  </si>
  <si>
    <t>Industrial business Type 2 = 256 m2 gfa
+Impervious area = 256 m2</t>
  </si>
  <si>
    <r>
      <rPr>
        <b/>
        <sz val="10"/>
        <color rgb="FF0000FF"/>
        <rFont val="Arial"/>
        <family val="2"/>
      </rPr>
      <t xml:space="preserve">N </t>
    </r>
    <r>
      <rPr>
        <b/>
        <sz val="10"/>
        <rFont val="Arial"/>
        <family val="2"/>
      </rPr>
      <t xml:space="preserve">1364
</t>
    </r>
    <r>
      <rPr>
        <sz val="10"/>
        <color rgb="FFFF0000"/>
        <rFont val="Arial"/>
        <family val="2"/>
      </rPr>
      <t xml:space="preserve">Constructed from aerials
Use comenced &amp; be in lived per MC site inspection 26/8/2019 
</t>
    </r>
    <r>
      <rPr>
        <b/>
        <sz val="10"/>
        <color rgb="FFFF0000"/>
        <rFont val="Arial"/>
        <family val="2"/>
      </rPr>
      <t>DUE 20 SEPT</t>
    </r>
  </si>
  <si>
    <r>
      <t xml:space="preserve">Planning Reg 2019-2020
</t>
    </r>
    <r>
      <rPr>
        <sz val="10"/>
        <color rgb="FFFF0000"/>
        <rFont val="Arial"/>
        <family val="2"/>
      </rPr>
      <t>+ Interest from 26/08/2019</t>
    </r>
    <r>
      <rPr>
        <b/>
        <sz val="10"/>
        <color rgb="FFFF0000"/>
        <rFont val="Arial"/>
        <family val="2"/>
      </rPr>
      <t xml:space="preserve"> </t>
    </r>
  </si>
  <si>
    <r>
      <t xml:space="preserve">Payment date extended to 20/09/2019 but NOT paid
</t>
    </r>
    <r>
      <rPr>
        <sz val="10"/>
        <color rgb="FFFF0000"/>
        <rFont val="Arial"/>
        <family val="2"/>
      </rPr>
      <t>COMPOUND INTEREST commenced 26 Aug 2019 &amp; Transferred to Property Rates on 24/09/2019</t>
    </r>
  </si>
  <si>
    <t>Journal 1707453</t>
  </si>
  <si>
    <t>MCU19/0104</t>
  </si>
  <si>
    <t>Kerrie Melinz &amp; Greg Melinz</t>
  </si>
  <si>
    <t>50 Firewheel Rd
RINGTAIL CREEK QLD 4565</t>
  </si>
  <si>
    <t>50 Firewheel Rd RINGTAIL CREEK QLD 4565</t>
  </si>
  <si>
    <t>Lot 5 on RP 818133</t>
  </si>
  <si>
    <t xml:space="preserve">1 x Detached House + 
1 B/R Ancillary Dwelling Unit  
</t>
  </si>
  <si>
    <t>NSC CR (No.4)</t>
  </si>
  <si>
    <t>51994.1349.01</t>
  </si>
  <si>
    <t>JJ Investments (Noosa) Pty Ltd</t>
  </si>
  <si>
    <t>6/50 Hastings St NOOSA HEADS QLD 4567</t>
  </si>
  <si>
    <t>Lot 7 SP 148687</t>
  </si>
  <si>
    <t>Entertainment &amp; Dining Business - Type 2 Recreation, amusement &amp; fitness = 
- Court area = 75 m2 gfa
- Non-court area = 295 m2 gfa
+ Impervious area = 256 m2</t>
  </si>
  <si>
    <t>N/a - additional to existing</t>
  </si>
  <si>
    <t>D99076</t>
  </si>
  <si>
    <t>PC19/1076</t>
  </si>
  <si>
    <t>Building Work: Sunshine Coast Inspection Services
Notice: 190919</t>
  </si>
  <si>
    <t>J Barrett</t>
  </si>
  <si>
    <t>129 Werin Street
TEWANTIN QLD 4565</t>
  </si>
  <si>
    <t>Lot 4 RP 147054</t>
  </si>
  <si>
    <t>Lots 302 &amp; 303 on SP 222132</t>
  </si>
  <si>
    <t>26 &amp; 28 Lionel Donovan Drive NOOSAVILLE QLD 4566</t>
  </si>
  <si>
    <t>D101231</t>
  </si>
  <si>
    <t>OCTOBER 2019
Total =</t>
  </si>
  <si>
    <t>D102223</t>
  </si>
  <si>
    <r>
      <rPr>
        <b/>
        <sz val="10"/>
        <color rgb="FF0000FF"/>
        <rFont val="Arial"/>
        <family val="2"/>
      </rPr>
      <t xml:space="preserve">N </t>
    </r>
    <r>
      <rPr>
        <b/>
        <sz val="10"/>
        <rFont val="Arial"/>
        <family val="2"/>
      </rPr>
      <t xml:space="preserve">1432
</t>
    </r>
    <r>
      <rPr>
        <b/>
        <sz val="10"/>
        <color rgb="FFFF0000"/>
        <rFont val="Arial"/>
        <family val="2"/>
      </rPr>
      <t xml:space="preserve">Final Inspection Certificate Issued 24/07/19 
</t>
    </r>
    <r>
      <rPr>
        <sz val="10"/>
        <color rgb="FFFF0000"/>
        <rFont val="Arial"/>
        <family val="2"/>
      </rPr>
      <t>DUE 18 OCT</t>
    </r>
  </si>
  <si>
    <r>
      <rPr>
        <b/>
        <sz val="10"/>
        <color rgb="FF0000FF"/>
        <rFont val="Arial"/>
        <family val="2"/>
      </rPr>
      <t xml:space="preserve">N </t>
    </r>
    <r>
      <rPr>
        <b/>
        <sz val="10"/>
        <rFont val="Arial"/>
        <family val="2"/>
      </rPr>
      <t xml:space="preserve">1481
</t>
    </r>
    <r>
      <rPr>
        <b/>
        <sz val="10"/>
        <color rgb="FFFF0000"/>
        <rFont val="Arial"/>
        <family val="2"/>
      </rPr>
      <t xml:space="preserve">Use already commenced
</t>
    </r>
    <r>
      <rPr>
        <sz val="10"/>
        <color rgb="FFFF0000"/>
        <rFont val="Arial"/>
        <family val="2"/>
      </rPr>
      <t>Payment DUE 18 OCT</t>
    </r>
  </si>
  <si>
    <r>
      <rPr>
        <strike/>
        <sz val="10"/>
        <rFont val="Arial"/>
        <family val="2"/>
      </rPr>
      <t>Mar-2018</t>
    </r>
    <r>
      <rPr>
        <sz val="10"/>
        <rFont val="Arial"/>
        <family val="2"/>
      </rPr>
      <t xml:space="preserve">
Planning Reg </t>
    </r>
    <r>
      <rPr>
        <strike/>
        <sz val="10"/>
        <rFont val="Arial"/>
        <family val="2"/>
      </rPr>
      <t>2018-2019</t>
    </r>
    <r>
      <rPr>
        <sz val="10"/>
        <rFont val="Arial"/>
        <family val="2"/>
      </rPr>
      <t xml:space="preserve">
</t>
    </r>
    <r>
      <rPr>
        <sz val="10"/>
        <color rgb="FFFF0000"/>
        <rFont val="Arial"/>
        <family val="2"/>
      </rPr>
      <t>2019-2020</t>
    </r>
    <r>
      <rPr>
        <sz val="10"/>
        <rFont val="Arial"/>
        <family val="2"/>
      </rPr>
      <t xml:space="preserve">
</t>
    </r>
  </si>
  <si>
    <t>OCTOBER 2019 Total =</t>
  </si>
  <si>
    <t>D102226</t>
  </si>
  <si>
    <r>
      <t>N/A</t>
    </r>
    <r>
      <rPr>
        <b/>
        <sz val="8"/>
        <color rgb="FF0000FF"/>
        <rFont val="Arial"/>
        <family val="2"/>
      </rPr>
      <t xml:space="preserve">
IA 40
1/09/2014</t>
    </r>
    <r>
      <rPr>
        <b/>
        <sz val="8"/>
        <rFont val="Arial"/>
        <family val="2"/>
      </rPr>
      <t xml:space="preserve">
</t>
    </r>
    <r>
      <rPr>
        <b/>
        <sz val="8"/>
        <color rgb="FF0000FF"/>
        <rFont val="Arial"/>
        <family val="2"/>
      </rPr>
      <t xml:space="preserve">DOV#1
</t>
    </r>
    <r>
      <rPr>
        <b/>
        <sz val="8"/>
        <color rgb="FFFF0000"/>
        <rFont val="Arial"/>
        <family val="2"/>
      </rPr>
      <t>Stg Pmt # 7
+ CPI Variations
DUE 15 OCT</t>
    </r>
  </si>
  <si>
    <r>
      <t>IA Carparking Contribution in Lieu</t>
    </r>
    <r>
      <rPr>
        <sz val="8"/>
        <color rgb="FF0000FF"/>
        <rFont val="Arial"/>
        <family val="2"/>
      </rPr>
      <t xml:space="preserve">
</t>
    </r>
    <r>
      <rPr>
        <sz val="8"/>
        <color rgb="FFFF0000"/>
        <rFont val="Arial"/>
        <family val="2"/>
      </rPr>
      <t>Remaining applicable to  Lot 6</t>
    </r>
    <r>
      <rPr>
        <sz val="8"/>
        <color rgb="FF0000FF"/>
        <rFont val="Arial"/>
        <family val="2"/>
      </rPr>
      <t xml:space="preserve">
</t>
    </r>
    <r>
      <rPr>
        <b/>
        <sz val="8"/>
        <color rgb="FFFF0000"/>
        <rFont val="Arial"/>
        <family val="2"/>
      </rPr>
      <t>FINAL 
Staged Payment # 7
Due 15 OCTOBER 2019
PLUS CPI Variations from June 2016</t>
    </r>
  </si>
  <si>
    <r>
      <t xml:space="preserve">Amended to remove Stormwater component per Council Decision OM 20/09/2018 = $5,500.00
Stormwater not applicable for Development outside PIA per LGIP
</t>
    </r>
    <r>
      <rPr>
        <sz val="10"/>
        <color rgb="FFFF0000"/>
        <rFont val="Arial"/>
        <family val="2"/>
      </rPr>
      <t>IA#90 Staged Payment Agreement approved 8/10/2019 including Admin fee</t>
    </r>
  </si>
  <si>
    <t>Amended to remove Stormwater component per Council Decision OM 20/09/2018
Stormwater not applicable for Development outside PIA per LGIP</t>
  </si>
  <si>
    <t>Includeds 30% reduction for Transport &amp; Parks components for Retirement &amp; special needs uses
REV 1 issued to correct the development permit reference to MCU17/0551 (not MCU17/0051) and to correct the indexation to CPI March 2018 (not Planning Reg 2017-2018) 
REV 2 issued on Response to Representation 26/06/2019 changing calc to 10 by 2 bed units</t>
  </si>
  <si>
    <r>
      <t xml:space="preserve">
Final Inspection Cert issued 27/11/2018
STAGED PAYMENT AGREEMENTS DATED 12/03/2019
</t>
    </r>
    <r>
      <rPr>
        <sz val="10"/>
        <color rgb="FFFF0000"/>
        <rFont val="Arial"/>
        <family val="2"/>
      </rPr>
      <t>Stg Pmt 2 underpayment of $1 added to Stg Pmt 3</t>
    </r>
  </si>
  <si>
    <t>Credits based on:
Lot Reconfiguration = 152007.1626.3 = 
- 0.9 Non-Res Lot (transport &amp; Parks)
- Stormwater = NIL
-- Remaining Path offset re lot 14 = $755@ july 2014</t>
  </si>
  <si>
    <r>
      <t xml:space="preserve">Extension to Relevant Period. Charge only applies to  </t>
    </r>
    <r>
      <rPr>
        <b/>
        <sz val="10"/>
        <color rgb="FF0000FF"/>
        <rFont val="Arial"/>
        <family val="2"/>
      </rPr>
      <t xml:space="preserve">Missing Stormwater </t>
    </r>
    <r>
      <rPr>
        <sz val="10"/>
        <color rgb="FF0000FF"/>
        <rFont val="Arial"/>
        <family val="2"/>
      </rPr>
      <t>network 
+ N 1089 Missing Public Transport
+ N 1469 Missing Parks
Other ICP 873 &amp; Pathways contributions already paid on  26/08/2009 &amp; 10/09/09 
Rec: 554912 &amp; 559859
original approval</t>
    </r>
  </si>
  <si>
    <r>
      <t xml:space="preserve">Extension to Relevant Period. Charge only applies to  </t>
    </r>
    <r>
      <rPr>
        <b/>
        <sz val="10"/>
        <color rgb="FF0000FF"/>
        <rFont val="Arial"/>
        <family val="2"/>
      </rPr>
      <t xml:space="preserve">Missing Public Transport </t>
    </r>
    <r>
      <rPr>
        <sz val="10"/>
        <color rgb="FF0000FF"/>
        <rFont val="Arial"/>
        <family val="2"/>
      </rPr>
      <t>network 
+ IA No. 23 missing Stormwater 
+  N 1469 Missing Parks
Other ICP 873 &amp; Pathways contributions already paid on  26/08/2009 &amp; 10/09/09 
Rec: 554912 &amp; 559859
original approval</t>
    </r>
  </si>
  <si>
    <r>
      <t xml:space="preserve">Extension to Relevant Period. Charge only applies to  </t>
    </r>
    <r>
      <rPr>
        <b/>
        <sz val="10"/>
        <color rgb="FF0000FF"/>
        <rFont val="Arial"/>
        <family val="2"/>
      </rPr>
      <t xml:space="preserve">Missing Parks </t>
    </r>
    <r>
      <rPr>
        <sz val="10"/>
        <color rgb="FF0000FF"/>
        <rFont val="Arial"/>
        <family val="2"/>
      </rPr>
      <t>network 
+ IA No. 23 missing Stormwater 
+ N 1089 Missing Public Transport
Other ICP 873 &amp; Pathways contributions already paid on  26/08/2009 &amp; 10/09/09 
Rec: 554912 &amp; 559859
original approval</t>
    </r>
  </si>
  <si>
    <r>
      <rPr>
        <strike/>
        <sz val="10"/>
        <rFont val="Arial"/>
        <family val="2"/>
      </rPr>
      <t>1/10/2019</t>
    </r>
    <r>
      <rPr>
        <sz val="10"/>
        <rFont val="Arial"/>
        <family val="2"/>
      </rPr>
      <t xml:space="preserve">
</t>
    </r>
    <r>
      <rPr>
        <sz val="10"/>
        <color rgb="FF0000FF"/>
        <rFont val="Arial"/>
        <family val="2"/>
      </rPr>
      <t>14/10/2019</t>
    </r>
  </si>
  <si>
    <t>Negotiated due to Representations agreed to Staging</t>
  </si>
  <si>
    <t>1 x industrial lot (Credit only for Parks component paid under 23134 DA)</t>
  </si>
  <si>
    <r>
      <t xml:space="preserve"> </t>
    </r>
    <r>
      <rPr>
        <strike/>
        <sz val="10"/>
        <rFont val="Arial"/>
        <family val="2"/>
      </rPr>
      <t>2</t>
    </r>
    <r>
      <rPr>
        <sz val="10"/>
        <rFont val="Arial"/>
        <family val="2"/>
      </rPr>
      <t xml:space="preserve"> </t>
    </r>
    <r>
      <rPr>
        <b/>
        <sz val="10"/>
        <color rgb="FF0000FF"/>
        <rFont val="Arial"/>
        <family val="2"/>
      </rPr>
      <t>1</t>
    </r>
    <r>
      <rPr>
        <sz val="10"/>
        <rFont val="Arial"/>
        <family val="2"/>
      </rPr>
      <t xml:space="preserve"> x industrial lot (Credit only for Parks component paid under 23134 DA)</t>
    </r>
  </si>
  <si>
    <t>STAGE 2 = 1,633 m2 gfa  +
1258 m2  imp[ervious area</t>
  </si>
  <si>
    <t xml:space="preserve">7/08/2015
</t>
  </si>
  <si>
    <r>
      <rPr>
        <strike/>
        <sz val="10"/>
        <rFont val="Arial"/>
        <family val="2"/>
      </rPr>
      <t>7/08/2019</t>
    </r>
    <r>
      <rPr>
        <sz val="10"/>
        <rFont val="Arial"/>
        <family val="2"/>
      </rPr>
      <t xml:space="preserve">
</t>
    </r>
    <r>
      <rPr>
        <sz val="10"/>
        <color rgb="FF0000FF"/>
        <rFont val="Arial"/>
        <family val="2"/>
      </rPr>
      <t>10/08/2023</t>
    </r>
  </si>
  <si>
    <r>
      <t xml:space="preserve">MCU15/0005
</t>
    </r>
    <r>
      <rPr>
        <sz val="10"/>
        <color rgb="FF0000FF"/>
        <rFont val="Arial"/>
        <family val="2"/>
      </rPr>
      <t>MCU15/0005.01 Extension approved 28/08/2019</t>
    </r>
  </si>
  <si>
    <t>MCU19/0036</t>
  </si>
  <si>
    <t>BuildLand Group Projects Pty Ltd</t>
  </si>
  <si>
    <t>Lot 40 RP 126838</t>
  </si>
  <si>
    <t>4 Sobroan Street
SUNRISE BEACH QLD 4567</t>
  </si>
  <si>
    <t>Multiple Housing Type 2 Duplex = 3 bedroom units x 2</t>
  </si>
  <si>
    <t xml:space="preserve">Paid
</t>
  </si>
  <si>
    <r>
      <t xml:space="preserve">D104712
</t>
    </r>
    <r>
      <rPr>
        <sz val="10"/>
        <color rgb="FF0000FF"/>
        <rFont val="Arial"/>
        <family val="2"/>
      </rPr>
      <t xml:space="preserve">
includes IC647 &amp; Path contrib </t>
    </r>
  </si>
  <si>
    <t>D104712
Includes Adopted ICN.N1090</t>
  </si>
  <si>
    <r>
      <t xml:space="preserve">05/1133 (DA)
</t>
    </r>
    <r>
      <rPr>
        <strike/>
        <sz val="8"/>
        <color rgb="FF0000FF"/>
        <rFont val="Arial"/>
        <family val="2"/>
      </rPr>
      <t xml:space="preserve">132005.1133.3 
132005.1133.4 </t>
    </r>
    <r>
      <rPr>
        <sz val="8"/>
        <color rgb="FF0000FF"/>
        <rFont val="Arial"/>
        <family val="2"/>
      </rPr>
      <t xml:space="preserve">
</t>
    </r>
    <r>
      <rPr>
        <strike/>
        <sz val="8"/>
        <color rgb="FF0000FF"/>
        <rFont val="Arial"/>
        <family val="2"/>
      </rPr>
      <t>132005.1133.5</t>
    </r>
    <r>
      <rPr>
        <sz val="8"/>
        <color rgb="FF0000FF"/>
        <rFont val="Arial"/>
        <family val="2"/>
      </rPr>
      <t xml:space="preserve">
</t>
    </r>
    <r>
      <rPr>
        <strike/>
        <sz val="8"/>
        <color rgb="FF0000FF"/>
        <rFont val="Arial"/>
        <family val="2"/>
      </rPr>
      <t>132005.1133.6</t>
    </r>
    <r>
      <rPr>
        <sz val="8"/>
        <color rgb="FF0000FF"/>
        <rFont val="Arial"/>
        <family val="2"/>
      </rPr>
      <t xml:space="preserve">
</t>
    </r>
    <r>
      <rPr>
        <strike/>
        <sz val="8"/>
        <color rgb="FF0000FF"/>
        <rFont val="Arial"/>
        <family val="2"/>
      </rPr>
      <t>132005.1133.7
132005.1133.8</t>
    </r>
    <r>
      <rPr>
        <sz val="8"/>
        <color rgb="FF0000FF"/>
        <rFont val="Arial"/>
        <family val="2"/>
      </rPr>
      <t xml:space="preserve">
</t>
    </r>
    <r>
      <rPr>
        <strike/>
        <sz val="8"/>
        <color rgb="FF0000FF"/>
        <rFont val="Arial"/>
        <family val="2"/>
      </rPr>
      <t>132005.1133.9</t>
    </r>
    <r>
      <rPr>
        <sz val="8"/>
        <color rgb="FF0000FF"/>
        <rFont val="Arial"/>
        <family val="2"/>
      </rPr>
      <t xml:space="preserve">
132005.1133.10
</t>
    </r>
  </si>
  <si>
    <r>
      <rPr>
        <strike/>
        <sz val="8"/>
        <rFont val="Arial"/>
        <family val="2"/>
      </rPr>
      <t>30/08/2007
01/11/2007</t>
    </r>
    <r>
      <rPr>
        <sz val="8"/>
        <rFont val="Arial"/>
        <family val="2"/>
      </rPr>
      <t xml:space="preserve">
</t>
    </r>
    <r>
      <rPr>
        <strike/>
        <sz val="8"/>
        <color rgb="FF0000FF"/>
        <rFont val="Arial"/>
        <family val="2"/>
      </rPr>
      <t>7 April 2011</t>
    </r>
    <r>
      <rPr>
        <sz val="8"/>
        <rFont val="Arial"/>
        <family val="2"/>
      </rPr>
      <t xml:space="preserve">
</t>
    </r>
    <r>
      <rPr>
        <strike/>
        <sz val="8"/>
        <color rgb="FF0000FF"/>
        <rFont val="Arial"/>
        <family val="2"/>
      </rPr>
      <t>10/09/2015</t>
    </r>
    <r>
      <rPr>
        <sz val="8"/>
        <color rgb="FF0000FF"/>
        <rFont val="Arial"/>
        <family val="2"/>
      </rPr>
      <t xml:space="preserve">
</t>
    </r>
    <r>
      <rPr>
        <strike/>
        <sz val="8"/>
        <color rgb="FF0000FF"/>
        <rFont val="Arial"/>
        <family val="2"/>
      </rPr>
      <t>10/03/2016
15/12/2016</t>
    </r>
    <r>
      <rPr>
        <sz val="8"/>
        <color rgb="FF0000FF"/>
        <rFont val="Arial"/>
        <family val="2"/>
      </rPr>
      <t xml:space="preserve">
</t>
    </r>
    <r>
      <rPr>
        <strike/>
        <sz val="8"/>
        <color rgb="FF0000FF"/>
        <rFont val="Arial"/>
        <family val="2"/>
      </rPr>
      <t>25/01/2018</t>
    </r>
    <r>
      <rPr>
        <sz val="8"/>
        <color rgb="FF0000FF"/>
        <rFont val="Arial"/>
        <family val="2"/>
      </rPr>
      <t xml:space="preserve">
</t>
    </r>
    <r>
      <rPr>
        <strike/>
        <sz val="8"/>
        <color rgb="FF0000FF"/>
        <rFont val="Arial"/>
        <family val="2"/>
      </rPr>
      <t>28/11/2018</t>
    </r>
    <r>
      <rPr>
        <sz val="8"/>
        <color rgb="FF0000FF"/>
        <rFont val="Arial"/>
        <family val="2"/>
      </rPr>
      <t xml:space="preserve">
</t>
    </r>
    <r>
      <rPr>
        <strike/>
        <sz val="8"/>
        <color rgb="FF0000FF"/>
        <rFont val="Arial"/>
        <family val="2"/>
      </rPr>
      <t>17/05/2019</t>
    </r>
    <r>
      <rPr>
        <sz val="8"/>
        <color rgb="FF0000FF"/>
        <rFont val="Arial"/>
        <family val="2"/>
      </rPr>
      <t xml:space="preserve">
18/10/2019</t>
    </r>
  </si>
  <si>
    <r>
      <rPr>
        <b/>
        <i/>
        <sz val="8"/>
        <color rgb="FF0000FF"/>
        <rFont val="Arial"/>
        <family val="2"/>
      </rPr>
      <t>(Resort Facilities)</t>
    </r>
    <r>
      <rPr>
        <sz val="8"/>
        <color rgb="FF0000FF"/>
        <rFont val="Arial"/>
        <family val="2"/>
      </rPr>
      <t xml:space="preserve">
Commercial Business Type 1 Office = </t>
    </r>
    <r>
      <rPr>
        <sz val="8"/>
        <color rgb="FFFF0000"/>
        <rFont val="Arial"/>
        <family val="2"/>
      </rPr>
      <t>103</t>
    </r>
    <r>
      <rPr>
        <sz val="8"/>
        <color rgb="FF0000FF"/>
        <rFont val="Arial"/>
        <family val="2"/>
      </rPr>
      <t xml:space="preserve">m2 gfa
Entertainment &amp; dining business Type 1 Food &amp; Beverages = </t>
    </r>
    <r>
      <rPr>
        <sz val="8"/>
        <color rgb="FFFF0000"/>
        <rFont val="Arial"/>
        <family val="2"/>
      </rPr>
      <t>289</t>
    </r>
    <r>
      <rPr>
        <sz val="8"/>
        <color rgb="FF0000FF"/>
        <rFont val="Arial"/>
        <family val="2"/>
      </rPr>
      <t xml:space="preserve">m2 gfa
Entertainment &amp; dining business Type 2 Recreation, amusement &amp; fitness =  </t>
    </r>
    <r>
      <rPr>
        <sz val="8"/>
        <color rgb="FFFF0000"/>
        <rFont val="Arial"/>
        <family val="2"/>
      </rPr>
      <t>246</t>
    </r>
    <r>
      <rPr>
        <sz val="8"/>
        <color rgb="FF0000FF"/>
        <rFont val="Arial"/>
        <family val="2"/>
      </rPr>
      <t xml:space="preserve">m2 gfa (court area </t>
    </r>
    <r>
      <rPr>
        <sz val="8"/>
        <color rgb="FFFF0000"/>
        <rFont val="Arial"/>
        <family val="2"/>
      </rPr>
      <t>208</t>
    </r>
    <r>
      <rPr>
        <sz val="8"/>
        <color rgb="FF0000FF"/>
        <rFont val="Arial"/>
        <family val="2"/>
      </rPr>
      <t xml:space="preserve">m2 Non-court area </t>
    </r>
    <r>
      <rPr>
        <sz val="8"/>
        <color rgb="FFFF0000"/>
        <rFont val="Arial"/>
        <family val="2"/>
      </rPr>
      <t>38</t>
    </r>
    <r>
      <rPr>
        <sz val="8"/>
        <color rgb="FF0000FF"/>
        <rFont val="Arial"/>
        <family val="2"/>
      </rPr>
      <t xml:space="preserve">m2)
Retail businees Type 2 Shop &amp; salon = </t>
    </r>
    <r>
      <rPr>
        <sz val="8"/>
        <color rgb="FFFF0000"/>
        <rFont val="Arial"/>
        <family val="2"/>
      </rPr>
      <t>21</t>
    </r>
    <r>
      <rPr>
        <sz val="8"/>
        <color rgb="FF0000FF"/>
        <rFont val="Arial"/>
        <family val="2"/>
      </rPr>
      <t xml:space="preserve">m2 gfa
IMPERVIOUS AREA = </t>
    </r>
    <r>
      <rPr>
        <sz val="8"/>
        <color rgb="FFFF0000"/>
        <rFont val="Arial"/>
        <family val="2"/>
      </rPr>
      <t>2209</t>
    </r>
    <r>
      <rPr>
        <sz val="8"/>
        <color rgb="FF0000FF"/>
        <rFont val="Arial"/>
        <family val="2"/>
      </rPr>
      <t>m2</t>
    </r>
  </si>
  <si>
    <r>
      <rPr>
        <b/>
        <i/>
        <sz val="10"/>
        <color rgb="FF0000FF"/>
        <rFont val="Arial"/>
        <family val="2"/>
      </rPr>
      <t>(Resort Facilities)</t>
    </r>
    <r>
      <rPr>
        <sz val="10"/>
        <color rgb="FF0000FF"/>
        <rFont val="Arial"/>
        <family val="2"/>
      </rPr>
      <t xml:space="preserve">
Commercial Business Type 1 Office = </t>
    </r>
    <r>
      <rPr>
        <sz val="10"/>
        <color rgb="FFFF0000"/>
        <rFont val="Arial"/>
        <family val="2"/>
      </rPr>
      <t>103</t>
    </r>
    <r>
      <rPr>
        <sz val="10"/>
        <color rgb="FF0000FF"/>
        <rFont val="Arial"/>
        <family val="2"/>
      </rPr>
      <t xml:space="preserve">m2 gfa
Entertainment &amp; dining business Type 1 Food &amp; Beverages = </t>
    </r>
    <r>
      <rPr>
        <sz val="10"/>
        <color rgb="FFFF0000"/>
        <rFont val="Arial"/>
        <family val="2"/>
      </rPr>
      <t>289</t>
    </r>
    <r>
      <rPr>
        <sz val="10"/>
        <color rgb="FF0000FF"/>
        <rFont val="Arial"/>
        <family val="2"/>
      </rPr>
      <t xml:space="preserve">m2 gfa
Entertainment &amp; dining business Type 2 Recreation, amusement &amp; fitness =  </t>
    </r>
    <r>
      <rPr>
        <sz val="10"/>
        <color rgb="FFFF0000"/>
        <rFont val="Arial"/>
        <family val="2"/>
      </rPr>
      <t>246</t>
    </r>
    <r>
      <rPr>
        <sz val="10"/>
        <color rgb="FF0000FF"/>
        <rFont val="Arial"/>
        <family val="2"/>
      </rPr>
      <t xml:space="preserve">m2 gfa (court area </t>
    </r>
    <r>
      <rPr>
        <sz val="10"/>
        <color rgb="FFFF0000"/>
        <rFont val="Arial"/>
        <family val="2"/>
      </rPr>
      <t>208</t>
    </r>
    <r>
      <rPr>
        <sz val="10"/>
        <color rgb="FF0000FF"/>
        <rFont val="Arial"/>
        <family val="2"/>
      </rPr>
      <t xml:space="preserve">m2 Non-court area </t>
    </r>
    <r>
      <rPr>
        <sz val="10"/>
        <color rgb="FFFF0000"/>
        <rFont val="Arial"/>
        <family val="2"/>
      </rPr>
      <t>38</t>
    </r>
    <r>
      <rPr>
        <sz val="10"/>
        <color rgb="FF0000FF"/>
        <rFont val="Arial"/>
        <family val="2"/>
      </rPr>
      <t xml:space="preserve">m2)
Retail businees Type 2 Shop &amp; salon = </t>
    </r>
    <r>
      <rPr>
        <sz val="10"/>
        <color rgb="FFFF0000"/>
        <rFont val="Arial"/>
        <family val="2"/>
      </rPr>
      <t>21</t>
    </r>
    <r>
      <rPr>
        <sz val="10"/>
        <color rgb="FF0000FF"/>
        <rFont val="Arial"/>
        <family val="2"/>
      </rPr>
      <t xml:space="preserve">m2 gfa
IMPERVIOUS AREA = </t>
    </r>
    <r>
      <rPr>
        <sz val="10"/>
        <color rgb="FFFF0000"/>
        <rFont val="Arial"/>
        <family val="2"/>
      </rPr>
      <t>2209</t>
    </r>
    <r>
      <rPr>
        <sz val="10"/>
        <color rgb="FF0000FF"/>
        <rFont val="Arial"/>
        <family val="2"/>
      </rPr>
      <t>m2</t>
    </r>
  </si>
  <si>
    <r>
      <rPr>
        <strike/>
        <sz val="10"/>
        <rFont val="Arial"/>
        <family val="2"/>
      </rPr>
      <t>14/09/2015</t>
    </r>
    <r>
      <rPr>
        <sz val="10"/>
        <rFont val="Arial"/>
        <family val="2"/>
      </rPr>
      <t xml:space="preserve">
</t>
    </r>
    <r>
      <rPr>
        <strike/>
        <sz val="10"/>
        <color rgb="FF0000FF"/>
        <rFont val="Arial"/>
        <family val="2"/>
      </rPr>
      <t>10/03/2016</t>
    </r>
    <r>
      <rPr>
        <sz val="10"/>
        <color rgb="FF0000FF"/>
        <rFont val="Arial"/>
        <family val="2"/>
      </rPr>
      <t xml:space="preserve">
</t>
    </r>
    <r>
      <rPr>
        <strike/>
        <sz val="10"/>
        <color rgb="FF0000FF"/>
        <rFont val="Arial"/>
        <family val="2"/>
      </rPr>
      <t>19/12/2016
27/09/2017
25/01/2018</t>
    </r>
    <r>
      <rPr>
        <sz val="10"/>
        <color rgb="FF0000FF"/>
        <rFont val="Arial"/>
        <family val="2"/>
      </rPr>
      <t xml:space="preserve">
</t>
    </r>
    <r>
      <rPr>
        <strike/>
        <sz val="10"/>
        <color rgb="FF0000FF"/>
        <rFont val="Arial"/>
        <family val="2"/>
      </rPr>
      <t>28/11/2018</t>
    </r>
    <r>
      <rPr>
        <sz val="10"/>
        <color rgb="FF0000FF"/>
        <rFont val="Arial"/>
        <family val="2"/>
      </rPr>
      <t xml:space="preserve">
</t>
    </r>
    <r>
      <rPr>
        <strike/>
        <sz val="10"/>
        <color rgb="FF0000FF"/>
        <rFont val="Arial"/>
        <family val="2"/>
      </rPr>
      <t>17/05/2019</t>
    </r>
    <r>
      <rPr>
        <sz val="10"/>
        <color rgb="FF0000FF"/>
        <rFont val="Arial"/>
        <family val="2"/>
      </rPr>
      <t xml:space="preserve">
18/10/2019</t>
    </r>
  </si>
  <si>
    <r>
      <rPr>
        <strike/>
        <sz val="10"/>
        <rFont val="Arial"/>
        <family val="2"/>
      </rPr>
      <t>132005.1133.3</t>
    </r>
    <r>
      <rPr>
        <sz val="10"/>
        <rFont val="Arial"/>
        <family val="2"/>
      </rPr>
      <t xml:space="preserve">
</t>
    </r>
    <r>
      <rPr>
        <strike/>
        <sz val="10"/>
        <color rgb="FF0000FF"/>
        <rFont val="Arial"/>
        <family val="2"/>
      </rPr>
      <t>132005.1133.4</t>
    </r>
    <r>
      <rPr>
        <sz val="10"/>
        <color rgb="FF0000FF"/>
        <rFont val="Arial"/>
        <family val="2"/>
      </rPr>
      <t xml:space="preserve">
</t>
    </r>
    <r>
      <rPr>
        <strike/>
        <sz val="10"/>
        <color rgb="FF0000FF"/>
        <rFont val="Arial"/>
        <family val="2"/>
      </rPr>
      <t>132005.1133.5
132005.1133.6</t>
    </r>
    <r>
      <rPr>
        <sz val="10"/>
        <color rgb="FF0000FF"/>
        <rFont val="Arial"/>
        <family val="2"/>
      </rPr>
      <t xml:space="preserve">
</t>
    </r>
    <r>
      <rPr>
        <strike/>
        <sz val="10"/>
        <color rgb="FF0000FF"/>
        <rFont val="Arial"/>
        <family val="2"/>
      </rPr>
      <t>132005.1133.7</t>
    </r>
    <r>
      <rPr>
        <sz val="10"/>
        <color rgb="FF0000FF"/>
        <rFont val="Arial"/>
        <family val="2"/>
      </rPr>
      <t xml:space="preserve">
</t>
    </r>
    <r>
      <rPr>
        <strike/>
        <sz val="10"/>
        <color rgb="FF0000FF"/>
        <rFont val="Arial"/>
        <family val="2"/>
      </rPr>
      <t>132005.1133.8</t>
    </r>
    <r>
      <rPr>
        <sz val="10"/>
        <color rgb="FF0000FF"/>
        <rFont val="Arial"/>
        <family val="2"/>
      </rPr>
      <t xml:space="preserve">
</t>
    </r>
    <r>
      <rPr>
        <strike/>
        <sz val="10"/>
        <color rgb="FF0000FF"/>
        <rFont val="Arial"/>
        <family val="2"/>
      </rPr>
      <t>132005.1133.9</t>
    </r>
    <r>
      <rPr>
        <sz val="10"/>
        <color rgb="FF0000FF"/>
        <rFont val="Arial"/>
        <family val="2"/>
      </rPr>
      <t xml:space="preserve">
132005.1133.10
</t>
    </r>
  </si>
  <si>
    <r>
      <t xml:space="preserve">IC 647
</t>
    </r>
    <r>
      <rPr>
        <b/>
        <sz val="9"/>
        <color rgb="FF0000FF"/>
        <rFont val="Arial"/>
        <family val="2"/>
      </rPr>
      <t>STAGE CTS 100</t>
    </r>
    <r>
      <rPr>
        <b/>
        <sz val="8"/>
        <rFont val="Arial"/>
        <family val="2"/>
      </rPr>
      <t xml:space="preserve">
</t>
    </r>
    <r>
      <rPr>
        <strike/>
        <sz val="8"/>
        <color rgb="FF0000FF"/>
        <rFont val="Arial"/>
        <family val="2"/>
      </rPr>
      <t>(Rev 1)
(Rev 2)
(Rev 3)
(Rev 4)
(Rev 5)</t>
    </r>
    <r>
      <rPr>
        <b/>
        <sz val="8"/>
        <color rgb="FF0000FF"/>
        <rFont val="Arial"/>
        <family val="2"/>
      </rPr>
      <t xml:space="preserve">
</t>
    </r>
    <r>
      <rPr>
        <strike/>
        <sz val="8"/>
        <color rgb="FF0000FF"/>
        <rFont val="Arial"/>
        <family val="2"/>
      </rPr>
      <t>Rev 6</t>
    </r>
    <r>
      <rPr>
        <b/>
        <sz val="8"/>
        <color rgb="FF0000FF"/>
        <rFont val="Arial"/>
        <family val="2"/>
      </rPr>
      <t xml:space="preserve">
Rev 7</t>
    </r>
  </si>
  <si>
    <r>
      <t xml:space="preserve">IC 647
</t>
    </r>
    <r>
      <rPr>
        <b/>
        <sz val="9"/>
        <color rgb="FF0000FF"/>
        <rFont val="Arial"/>
        <family val="2"/>
      </rPr>
      <t>STAGE CTS 400</t>
    </r>
    <r>
      <rPr>
        <b/>
        <sz val="8"/>
        <rFont val="Arial"/>
        <family val="2"/>
      </rPr>
      <t xml:space="preserve">
</t>
    </r>
    <r>
      <rPr>
        <strike/>
        <sz val="8"/>
        <color rgb="FF0000FF"/>
        <rFont val="Arial"/>
        <family val="2"/>
      </rPr>
      <t xml:space="preserve">(Rev 1)
(Rev 2)
(Rev 3)
(Rev 4)
(Rev 5)
Rev 6
</t>
    </r>
    <r>
      <rPr>
        <b/>
        <sz val="8"/>
        <color rgb="FF0000FF"/>
        <rFont val="Arial"/>
        <family val="2"/>
      </rPr>
      <t>Rev 7</t>
    </r>
    <r>
      <rPr>
        <strike/>
        <sz val="8"/>
        <color rgb="FF0000FF"/>
        <rFont val="Arial"/>
        <family val="2"/>
      </rPr>
      <t xml:space="preserve">
</t>
    </r>
  </si>
  <si>
    <r>
      <t xml:space="preserve">IC 647
</t>
    </r>
    <r>
      <rPr>
        <b/>
        <sz val="9"/>
        <color rgb="FF0000FF"/>
        <rFont val="Arial"/>
        <family val="2"/>
      </rPr>
      <t>STAGE CTS 600</t>
    </r>
    <r>
      <rPr>
        <b/>
        <sz val="8"/>
        <rFont val="Arial"/>
        <family val="2"/>
      </rPr>
      <t xml:space="preserve">
</t>
    </r>
    <r>
      <rPr>
        <strike/>
        <sz val="8"/>
        <color rgb="FF0000FF"/>
        <rFont val="Arial"/>
        <family val="2"/>
      </rPr>
      <t xml:space="preserve">(Rev 1)
(Rev 2)
(Rev 3)
(Rev 4)
(Rev 5)
Rev 6
</t>
    </r>
    <r>
      <rPr>
        <b/>
        <sz val="8"/>
        <color rgb="FF0000FF"/>
        <rFont val="Arial"/>
        <family val="2"/>
      </rPr>
      <t>Rev 7</t>
    </r>
  </si>
  <si>
    <r>
      <t xml:space="preserve">IC 647
</t>
    </r>
    <r>
      <rPr>
        <b/>
        <sz val="9"/>
        <color rgb="FF0000FF"/>
        <rFont val="Arial"/>
        <family val="2"/>
      </rPr>
      <t>STAGE CTS 800</t>
    </r>
    <r>
      <rPr>
        <b/>
        <sz val="8"/>
        <rFont val="Arial"/>
        <family val="2"/>
      </rPr>
      <t xml:space="preserve">
</t>
    </r>
    <r>
      <rPr>
        <strike/>
        <sz val="8"/>
        <color rgb="FF0000FF"/>
        <rFont val="Arial"/>
        <family val="2"/>
      </rPr>
      <t xml:space="preserve">(Rev 1)
(Rev 2)
(Rev 3)
(Rev 4)
(Rev 5)
Rev 6
</t>
    </r>
    <r>
      <rPr>
        <b/>
        <sz val="8"/>
        <color rgb="FF0000FF"/>
        <rFont val="Arial"/>
        <family val="2"/>
      </rPr>
      <t>Rev 7</t>
    </r>
  </si>
  <si>
    <r>
      <t xml:space="preserve">IC 647
</t>
    </r>
    <r>
      <rPr>
        <b/>
        <sz val="9"/>
        <color rgb="FF0000FF"/>
        <rFont val="Arial"/>
        <family val="2"/>
      </rPr>
      <t>STAGE CTS 900</t>
    </r>
    <r>
      <rPr>
        <b/>
        <sz val="8"/>
        <rFont val="Arial"/>
        <family val="2"/>
      </rPr>
      <t xml:space="preserve">
</t>
    </r>
    <r>
      <rPr>
        <strike/>
        <sz val="8"/>
        <color rgb="FF0000FF"/>
        <rFont val="Arial"/>
        <family val="2"/>
      </rPr>
      <t>(Rev 1)
(Rev 2)
(Rev 3)
(Rev 4)
(Rev 5)
Rev 6</t>
    </r>
    <r>
      <rPr>
        <b/>
        <sz val="8"/>
        <rFont val="Arial"/>
        <family val="2"/>
      </rPr>
      <t xml:space="preserve">
</t>
    </r>
    <r>
      <rPr>
        <b/>
        <sz val="8"/>
        <color rgb="FF0000FF"/>
        <rFont val="Arial"/>
        <family val="2"/>
      </rPr>
      <t>Rev 7</t>
    </r>
  </si>
  <si>
    <r>
      <rPr>
        <b/>
        <sz val="10"/>
        <color rgb="FF0000FF"/>
        <rFont val="Arial"/>
        <family val="2"/>
      </rPr>
      <t xml:space="preserve">N </t>
    </r>
    <r>
      <rPr>
        <b/>
        <sz val="10"/>
        <rFont val="Arial"/>
        <family val="2"/>
      </rPr>
      <t xml:space="preserve">1275
</t>
    </r>
    <r>
      <rPr>
        <i/>
        <sz val="10"/>
        <color rgb="FFFF0000"/>
        <rFont val="Arial"/>
        <family val="2"/>
      </rPr>
      <t>(PC19/1135 Issued)</t>
    </r>
  </si>
  <si>
    <t>Completed 15/10/2016</t>
  </si>
  <si>
    <r>
      <rPr>
        <b/>
        <sz val="10"/>
        <color rgb="FF0000FF"/>
        <rFont val="Arial"/>
        <family val="2"/>
      </rPr>
      <t xml:space="preserve">N </t>
    </r>
    <r>
      <rPr>
        <b/>
        <sz val="10"/>
        <rFont val="Arial"/>
        <family val="2"/>
      </rPr>
      <t xml:space="preserve">1098
</t>
    </r>
    <r>
      <rPr>
        <sz val="10"/>
        <color rgb="FFFF0000"/>
        <rFont val="Arial"/>
        <family val="2"/>
      </rPr>
      <t xml:space="preserve">
100% REBATE FOR COMMUNITY ORGANISATION</t>
    </r>
  </si>
  <si>
    <r>
      <rPr>
        <b/>
        <sz val="10"/>
        <color rgb="FF0000FF"/>
        <rFont val="Arial"/>
        <family val="2"/>
      </rPr>
      <t xml:space="preserve">N </t>
    </r>
    <r>
      <rPr>
        <b/>
        <sz val="10"/>
        <rFont val="Arial"/>
        <family val="2"/>
      </rPr>
      <t xml:space="preserve">1104
</t>
    </r>
    <r>
      <rPr>
        <sz val="10"/>
        <color rgb="FFFF0000"/>
        <rFont val="Arial"/>
        <family val="2"/>
      </rPr>
      <t>100% REBATE FOR COMMUNITY ORGANISATION</t>
    </r>
  </si>
  <si>
    <r>
      <rPr>
        <b/>
        <sz val="10"/>
        <color rgb="FF0000FF"/>
        <rFont val="Arial"/>
        <family val="2"/>
      </rPr>
      <t xml:space="preserve">N </t>
    </r>
    <r>
      <rPr>
        <b/>
        <sz val="10"/>
        <rFont val="Arial"/>
        <family val="2"/>
      </rPr>
      <t xml:space="preserve">1093
</t>
    </r>
    <r>
      <rPr>
        <sz val="10"/>
        <rFont val="Arial"/>
        <family val="2"/>
      </rPr>
      <t xml:space="preserve">
</t>
    </r>
    <r>
      <rPr>
        <sz val="10"/>
        <color rgb="FFFF0000"/>
        <rFont val="Arial"/>
        <family val="2"/>
      </rPr>
      <t>100% REBATE FOR COMMUNITY ORGANISATION</t>
    </r>
  </si>
  <si>
    <r>
      <rPr>
        <b/>
        <sz val="10"/>
        <color rgb="FF0000FF"/>
        <rFont val="Arial"/>
        <family val="2"/>
      </rPr>
      <t xml:space="preserve">N </t>
    </r>
    <r>
      <rPr>
        <b/>
        <sz val="10"/>
        <rFont val="Arial"/>
        <family val="2"/>
      </rPr>
      <t xml:space="preserve">1045
</t>
    </r>
    <r>
      <rPr>
        <b/>
        <sz val="10"/>
        <color rgb="FFFF0000"/>
        <rFont val="Arial"/>
        <family val="2"/>
      </rPr>
      <t xml:space="preserve">
</t>
    </r>
    <r>
      <rPr>
        <sz val="10"/>
        <color rgb="FFFF0000"/>
        <rFont val="Arial"/>
        <family val="2"/>
      </rPr>
      <t>100% REBATE FOR COMMUNITY ORGANISATION</t>
    </r>
  </si>
  <si>
    <r>
      <rPr>
        <b/>
        <sz val="10"/>
        <color rgb="FF0000FF"/>
        <rFont val="Arial"/>
        <family val="2"/>
      </rPr>
      <t xml:space="preserve">N </t>
    </r>
    <r>
      <rPr>
        <b/>
        <sz val="10"/>
        <rFont val="Arial"/>
        <family val="2"/>
      </rPr>
      <t xml:space="preserve">1033
</t>
    </r>
    <r>
      <rPr>
        <sz val="10"/>
        <color rgb="FFFF0000"/>
        <rFont val="Arial"/>
        <family val="2"/>
      </rPr>
      <t>100% REBATE FOR COMMUNITY ORGANISATION</t>
    </r>
  </si>
  <si>
    <r>
      <rPr>
        <b/>
        <sz val="10"/>
        <color rgb="FF0000FF"/>
        <rFont val="Arial"/>
        <family val="2"/>
      </rPr>
      <t xml:space="preserve">N </t>
    </r>
    <r>
      <rPr>
        <b/>
        <sz val="10"/>
        <rFont val="Arial"/>
        <family val="2"/>
      </rPr>
      <t xml:space="preserve">1042
</t>
    </r>
    <r>
      <rPr>
        <sz val="10"/>
        <color rgb="FFFF0000"/>
        <rFont val="Arial"/>
        <family val="2"/>
      </rPr>
      <t>100% REBATE FOR COMMUNITY ORGANISATION</t>
    </r>
  </si>
  <si>
    <t>COC issued 24/01/2019</t>
  </si>
  <si>
    <r>
      <rPr>
        <b/>
        <sz val="10"/>
        <color rgb="FF0000FF"/>
        <rFont val="Arial"/>
        <family val="2"/>
      </rPr>
      <t xml:space="preserve">N </t>
    </r>
    <r>
      <rPr>
        <b/>
        <sz val="10"/>
        <rFont val="Arial"/>
        <family val="2"/>
      </rPr>
      <t xml:space="preserve">1405
</t>
    </r>
    <r>
      <rPr>
        <sz val="10"/>
        <color rgb="FFFF0000"/>
        <rFont val="Arial"/>
        <family val="2"/>
      </rPr>
      <t>100% REBATE COMMUNITY ORGANISATION</t>
    </r>
  </si>
  <si>
    <r>
      <rPr>
        <b/>
        <sz val="10"/>
        <color rgb="FF0000FF"/>
        <rFont val="Arial"/>
        <family val="2"/>
      </rPr>
      <t xml:space="preserve">N </t>
    </r>
    <r>
      <rPr>
        <b/>
        <sz val="10"/>
        <rFont val="Arial"/>
        <family val="2"/>
      </rPr>
      <t xml:space="preserve">1326
</t>
    </r>
    <r>
      <rPr>
        <sz val="10"/>
        <color rgb="FFFF0000"/>
        <rFont val="Arial"/>
        <family val="2"/>
      </rPr>
      <t>100% REBATE COMMUNITY ORGANISATION</t>
    </r>
  </si>
  <si>
    <t>(Change to existing approval cancels original approval re: stages 1 &amp; 2 proposals)
Original calculation &amp; ICN issued has incorrectly ommitted Impervious area and details that this change fully replaces both original stages 1 &amp; 2 (Note: This has no monetary consequence as the charge is fully rebated)</t>
  </si>
  <si>
    <t>Total
REBATE</t>
  </si>
  <si>
    <t>Total
OFFSET</t>
  </si>
  <si>
    <t>all revised amounts include interest to 31 March 2015
(W&amp;S paid in Full in stg Pmt 1)</t>
  </si>
  <si>
    <t>all revised amounts include interest to 30 June 2015
(W&amp;S paid in Full in stg Pmt 1)</t>
  </si>
  <si>
    <t>all revised amounts include interest to 30 June 2016
(W&amp;S paid in Full in stg Pmt 1)</t>
  </si>
  <si>
    <t>all revised amounts include interest to 31 December 2016
(W&amp;S paid in Full in stg Pmt 1)</t>
  </si>
  <si>
    <r>
      <rPr>
        <sz val="10"/>
        <color rgb="FFFF0000"/>
        <rFont val="Arial"/>
        <family val="2"/>
      </rPr>
      <t>Remaining Pathway Offset credit re 152007.1626.3 = $0.59/m2 lot area @CPI March 2011 = LOT 1 = -$1,261.00 @ 1 July 2014 base date</t>
    </r>
    <r>
      <rPr>
        <sz val="10"/>
        <color rgb="FF0000FF"/>
        <rFont val="Arial"/>
        <family val="2"/>
      </rPr>
      <t xml:space="preserve">
Stormwater reduction re Caretakers Unit being inside Industrial Building = 50m2 x $10 = $500 @ 1 July 2014 base date  (due to Caretakers charge includes Stormwater)</t>
    </r>
  </si>
  <si>
    <r>
      <rPr>
        <sz val="10"/>
        <color rgb="FFFF0000"/>
        <rFont val="Arial"/>
        <family val="2"/>
      </rPr>
      <t>Offset for Elm St Trunk Pathway frontage
+
Park charge component of $147,000 to be Offset for park &amp; embelishment that has been completed under Stage 2 of overall development per IA 50</t>
    </r>
    <r>
      <rPr>
        <sz val="10"/>
        <color rgb="FF0000FF"/>
        <rFont val="Arial"/>
        <family val="2"/>
      </rPr>
      <t xml:space="preserve">
</t>
    </r>
    <r>
      <rPr>
        <u/>
        <sz val="10"/>
        <color rgb="FF0000FF"/>
        <rFont val="Arial"/>
        <family val="2"/>
      </rPr>
      <t/>
    </r>
  </si>
  <si>
    <t>Offset =</t>
  </si>
  <si>
    <t>.= Rebate</t>
  </si>
  <si>
    <r>
      <t xml:space="preserve">Issue details exported from SCRC AICR
</t>
    </r>
    <r>
      <rPr>
        <sz val="10"/>
        <color rgb="FF0000FF"/>
        <rFont val="Arial"/>
        <family val="2"/>
      </rPr>
      <t>Excludes W&amp;S paid directlly to Unitywater</t>
    </r>
  </si>
  <si>
    <t>Council Total</t>
  </si>
  <si>
    <t>Unitywater Total</t>
  </si>
  <si>
    <t>cross-check</t>
  </si>
  <si>
    <t>.</t>
  </si>
  <si>
    <t>cross-check =</t>
  </si>
  <si>
    <t>Calc = total development less existing development with resulting total charge distributed over the 4 x staged duplex sites</t>
  </si>
  <si>
    <t>PC18/0668 - COC issued 24/01/2019</t>
  </si>
  <si>
    <t>PC15/0533 - COC issued 19/10/2015</t>
  </si>
  <si>
    <t>2 Non-res lots paid under REC12/0106</t>
  </si>
  <si>
    <t>Lot 17 RP 76074</t>
  </si>
  <si>
    <t>D105770</t>
  </si>
  <si>
    <t>RAL19/0029</t>
  </si>
  <si>
    <t>John &amp; Susan Rhodes</t>
  </si>
  <si>
    <t>5 Amaroo Place COOROIBAH QLD 4565</t>
  </si>
  <si>
    <t>Lot 51 RP 136456</t>
  </si>
  <si>
    <t>1 x Residential lot</t>
  </si>
  <si>
    <r>
      <rPr>
        <sz val="10"/>
        <color rgb="FF0000FF"/>
        <rFont val="Arial"/>
        <family val="2"/>
      </rPr>
      <t>PART PAID $12,422.00 on 12/7/19 
Receipt D59176</t>
    </r>
    <r>
      <rPr>
        <sz val="10"/>
        <color rgb="FFFF0000"/>
        <rFont val="Arial"/>
        <family val="2"/>
      </rPr>
      <t xml:space="preserve">
BALANCE REMAINING = $15,000 Paid 31/07/2019 </t>
    </r>
  </si>
  <si>
    <r>
      <rPr>
        <sz val="10"/>
        <color rgb="FF0000FF"/>
        <rFont val="Arial"/>
        <family val="2"/>
      </rPr>
      <t xml:space="preserve">N </t>
    </r>
    <r>
      <rPr>
        <sz val="10"/>
        <rFont val="Arial"/>
        <family val="2"/>
      </rPr>
      <t xml:space="preserve">1408
</t>
    </r>
    <r>
      <rPr>
        <sz val="10"/>
        <color rgb="FFFF0000"/>
        <rFont val="Arial"/>
        <family val="2"/>
      </rPr>
      <t xml:space="preserve">
MC site inspection 27/09/2019 = building completed &amp; occupied </t>
    </r>
    <r>
      <rPr>
        <sz val="10"/>
        <rFont val="Arial"/>
        <family val="2"/>
      </rPr>
      <t xml:space="preserve">
</t>
    </r>
    <r>
      <rPr>
        <sz val="10"/>
        <color rgb="FFFF0000"/>
        <rFont val="Arial"/>
        <family val="2"/>
      </rPr>
      <t>DUE 22 NOV 3019</t>
    </r>
  </si>
  <si>
    <t>D106059</t>
  </si>
  <si>
    <t>PC19/1220</t>
  </si>
  <si>
    <t>Lot 524 RP 883848</t>
  </si>
  <si>
    <t>45 Saltwater Avenue NOOSAVILLE QLD 4566</t>
  </si>
  <si>
    <t>Building Work: EarthCert Building Approvals Decision Notice: 190162</t>
  </si>
  <si>
    <t>Collins Building Designs</t>
  </si>
  <si>
    <t>31 The Cockleshell NOOSAVILLE QLD 4566</t>
  </si>
  <si>
    <t xml:space="preserve">PC15/0722 - </t>
  </si>
  <si>
    <t>Constructed 2016</t>
  </si>
  <si>
    <t>PC16/0674 - COC 6/06/2017</t>
  </si>
  <si>
    <t>Completed COC 6/06/2017</t>
  </si>
  <si>
    <t>COC issued 19/10/2015</t>
  </si>
  <si>
    <t>PC15/1070</t>
  </si>
  <si>
    <t>Replaces earlier approval 51988.63.01 &amp; ICN.N1114 
PC17/0070 COC 24/05/2019</t>
  </si>
  <si>
    <t>COC Issued 24/05/2019</t>
  </si>
  <si>
    <t>PC16/0686 COC Issued 8/03/2017</t>
  </si>
  <si>
    <t>COC Issued 8/03/2017</t>
  </si>
  <si>
    <t>Rev 1 issued to correct calculation
PC17/1338 - Constructed 2018</t>
  </si>
  <si>
    <t>PC18/0292 COC issued 9/05/2019</t>
  </si>
  <si>
    <t>COC issued 9/05/2019</t>
  </si>
  <si>
    <t xml:space="preserve"> COC issued 19/10/2015</t>
  </si>
  <si>
    <t>Constructed 31/07/2016 via nearmaps</t>
  </si>
  <si>
    <t>Constructed05/05/2015 via nearmaps</t>
  </si>
  <si>
    <t>Constructed 24/03/2019 via nearmaps</t>
  </si>
  <si>
    <t>Constructed 25/05/2016 per nearmaps</t>
  </si>
  <si>
    <t>MCU19/0053</t>
  </si>
  <si>
    <t xml:space="preserve"> 24/10/2025</t>
  </si>
  <si>
    <t>Dioswell Pty Ltd</t>
  </si>
  <si>
    <t xml:space="preserve">Lot 3 RP 851976 </t>
  </si>
  <si>
    <t xml:space="preserve">328 Upper Pinbarren Ck Rd PINBARREN Qld 4568 </t>
  </si>
  <si>
    <t>N/a - additional only to existing detached house</t>
  </si>
  <si>
    <t>PC19/0772</t>
  </si>
  <si>
    <t>Building Work: GMA Certification Group
Decision Notice: 20192343</t>
  </si>
  <si>
    <t>Lot 6 SP 238001</t>
  </si>
  <si>
    <t>(Lot 6) 278 Lake Cooroibah Road
COOROIBAH QLD 4565</t>
  </si>
  <si>
    <t>PC19/0732</t>
  </si>
  <si>
    <t>Building Work: GMA Certification Group
Decision Notice: 20192349</t>
  </si>
  <si>
    <t>Lot 7 SP 238001</t>
  </si>
  <si>
    <t>(Lot 7) 278 Lake Cooroibah Road
COOROIBAH QLD 4565</t>
  </si>
  <si>
    <t>PC19/0865</t>
  </si>
  <si>
    <t>Building Work: GMA Certification Group
Decision Notice: 20192799</t>
  </si>
  <si>
    <t>Lot 8 SP 238001</t>
  </si>
  <si>
    <t>(Lot 8) 278 Lake Cooroibah Road
COOROIBAH QLD 4565</t>
  </si>
  <si>
    <t>D106629</t>
  </si>
  <si>
    <r>
      <t xml:space="preserve">Paid 
</t>
    </r>
    <r>
      <rPr>
        <sz val="10"/>
        <color rgb="FFFF0000"/>
        <rFont val="Arial"/>
        <family val="2"/>
      </rPr>
      <t>Over paid $360 to transport &amp; require refund</t>
    </r>
  </si>
  <si>
    <t>Refund of Overpayment $360</t>
  </si>
  <si>
    <t>Part refund of earlier full amount paid on original approval due to Change to approval</t>
  </si>
  <si>
    <r>
      <t xml:space="preserve">
</t>
    </r>
    <r>
      <rPr>
        <b/>
        <sz val="10"/>
        <color rgb="FFFF0000"/>
        <rFont val="Arial"/>
        <family val="2"/>
      </rPr>
      <t>OUTSTANDING BALANCE $50,000 PAID by RATES</t>
    </r>
  </si>
  <si>
    <t>COUNCIL FINANCIAL YEAR</t>
  </si>
  <si>
    <t>REFUND</t>
  </si>
  <si>
    <r>
      <t xml:space="preserve">Refer also to AICN.N 1071
for Missing Stormwater
</t>
    </r>
    <r>
      <rPr>
        <b/>
        <sz val="8"/>
        <color rgb="FFFF0000"/>
        <rFont val="Arial"/>
        <family val="2"/>
      </rPr>
      <t xml:space="preserve">REFUNDED 3/10/2018 on Cancellation of OPW17/0195 &amp; Not proceeding with MCU </t>
    </r>
  </si>
  <si>
    <r>
      <rPr>
        <b/>
        <sz val="10"/>
        <color rgb="FF0000FF"/>
        <rFont val="Arial"/>
        <family val="2"/>
      </rPr>
      <t xml:space="preserve">N </t>
    </r>
    <r>
      <rPr>
        <b/>
        <sz val="10"/>
        <rFont val="Arial"/>
        <family val="2"/>
      </rPr>
      <t xml:space="preserve">1238
</t>
    </r>
    <r>
      <rPr>
        <b/>
        <sz val="10"/>
        <color rgb="FF0000FF"/>
        <rFont val="Arial"/>
        <family val="2"/>
      </rPr>
      <t>IA#80</t>
    </r>
    <r>
      <rPr>
        <sz val="10"/>
        <color rgb="FFFF0000"/>
        <rFont val="Arial"/>
        <family val="2"/>
      </rPr>
      <t xml:space="preserve">
</t>
    </r>
    <r>
      <rPr>
        <b/>
        <sz val="10"/>
        <color rgb="FFFF0000"/>
        <rFont val="Arial"/>
        <family val="2"/>
      </rPr>
      <t>Staged Pmt No 3
DUE 20 Dec 2019</t>
    </r>
  </si>
  <si>
    <t>RAL19/0026</t>
  </si>
  <si>
    <t>Hay Holdings No.1 Pty Ltd</t>
  </si>
  <si>
    <t>Lot 195 RP 175927</t>
  </si>
  <si>
    <t>41 Griffith Avenue 
TEWANTIN QLD 4565</t>
  </si>
  <si>
    <t>Reconfiguring A Lot - Residential (1 into 2 lots)</t>
  </si>
  <si>
    <t>4/11/20119</t>
  </si>
  <si>
    <t>MCU19/0075</t>
  </si>
  <si>
    <t>Leo Alley Drove Developments P/L TTE</t>
  </si>
  <si>
    <t>C/- Innovative Planning Solutions
PO Box 1043
MAROOCHYDORE QLD 4558</t>
  </si>
  <si>
    <t>Lot 252 SP 104257</t>
  </si>
  <si>
    <t>11 Leo Alley Road 
NOOSAVILLE QLD 4566</t>
  </si>
  <si>
    <t>Existing landscape supplies - Retail Business Type 5  = 308m2 gfa + 1200m2 impervious from aerials</t>
  </si>
  <si>
    <t>Lauchlan Leishman</t>
  </si>
  <si>
    <t>C/- Allan Van Planning
PO Box 284
TOOWONG DC QLD 4066</t>
  </si>
  <si>
    <t>1 Amaroo Place COOROIBAH QLD 4565</t>
  </si>
  <si>
    <t>Lot 76 RP 136456</t>
  </si>
  <si>
    <t xml:space="preserve">1 vacant residential lot </t>
  </si>
  <si>
    <t>NOVEMBER 2019
Total =</t>
  </si>
  <si>
    <r>
      <rPr>
        <b/>
        <sz val="10"/>
        <color rgb="FF0000FF"/>
        <rFont val="Arial"/>
        <family val="2"/>
      </rPr>
      <t xml:space="preserve">N </t>
    </r>
    <r>
      <rPr>
        <b/>
        <sz val="10"/>
        <rFont val="Arial"/>
        <family val="2"/>
      </rPr>
      <t xml:space="preserve">1359
</t>
    </r>
    <r>
      <rPr>
        <b/>
        <sz val="10"/>
        <color rgb="FF0000FF"/>
        <rFont val="Arial"/>
        <family val="2"/>
      </rPr>
      <t xml:space="preserve">Amended
IA#91
</t>
    </r>
    <r>
      <rPr>
        <b/>
        <sz val="10"/>
        <color rgb="FFFF0000"/>
        <rFont val="Arial"/>
        <family val="2"/>
      </rPr>
      <t>Staged Payment No 1</t>
    </r>
    <r>
      <rPr>
        <b/>
        <sz val="10"/>
        <color rgb="FF0000FF"/>
        <rFont val="Arial"/>
        <family val="2"/>
      </rPr>
      <t xml:space="preserve">
</t>
    </r>
    <r>
      <rPr>
        <b/>
        <sz val="10"/>
        <color rgb="FFFF0000"/>
        <rFont val="Arial"/>
        <family val="2"/>
      </rPr>
      <t>Due 28 OCT 2019</t>
    </r>
  </si>
  <si>
    <t>RAL19/0021</t>
  </si>
  <si>
    <t>Josephson Holdings P/L TTE</t>
  </si>
  <si>
    <t>C/- Natani Design Pty Ltd
PO Box 620
NOOSAVILLE QLD 4566</t>
  </si>
  <si>
    <t>Lot 6 RP 56576</t>
  </si>
  <si>
    <t>8 Memorial Avenue
POMONA QLD 4568</t>
  </si>
  <si>
    <t>Existing lawful use - no approval</t>
  </si>
  <si>
    <t>Additional storage rooms and access way - 19m2 GFA Impervious Area = 115</t>
  </si>
  <si>
    <t>D108659</t>
  </si>
  <si>
    <t>D108895</t>
  </si>
  <si>
    <r>
      <t xml:space="preserve">Offsets apply to Transport:
Condition 6 Bus Stop = $61,038
Condition 11 Pathway = $9,694
</t>
    </r>
    <r>
      <rPr>
        <b/>
        <sz val="10"/>
        <color rgb="FFFF0000"/>
        <rFont val="Arial"/>
        <family val="2"/>
      </rPr>
      <t>AN INFRASTRUCTURE REFUND APPLIES TO THIS DEVELOPMENT</t>
    </r>
  </si>
  <si>
    <t>D109055</t>
  </si>
  <si>
    <r>
      <rPr>
        <b/>
        <sz val="10"/>
        <color rgb="FF0000FF"/>
        <rFont val="Arial"/>
        <family val="2"/>
      </rPr>
      <t xml:space="preserve">N </t>
    </r>
    <r>
      <rPr>
        <b/>
        <sz val="10"/>
        <rFont val="Arial"/>
        <family val="2"/>
      </rPr>
      <t xml:space="preserve">1213
</t>
    </r>
    <r>
      <rPr>
        <sz val="10"/>
        <color rgb="FFFF0000"/>
        <rFont val="Arial"/>
        <family val="2"/>
      </rPr>
      <t xml:space="preserve">Completed advice owner 12/11/2019
</t>
    </r>
    <r>
      <rPr>
        <b/>
        <sz val="10"/>
        <color rgb="FFFF0000"/>
        <rFont val="Arial"/>
        <family val="2"/>
      </rPr>
      <t>DUE 30 Nov 2019</t>
    </r>
  </si>
  <si>
    <t>NOOSA SHIRE COUNCIL INFRASTRUCTURE CHARGES REGISTER</t>
  </si>
  <si>
    <r>
      <t xml:space="preserve">This register details infrastructure contributions and charges issued on development in the Noosa Shire Council area applicable from </t>
    </r>
    <r>
      <rPr>
        <b/>
        <sz val="11"/>
        <rFont val="Arial"/>
        <family val="2"/>
      </rPr>
      <t>1 January 2014</t>
    </r>
    <r>
      <rPr>
        <sz val="11"/>
        <rFont val="Arial"/>
        <family val="2"/>
      </rPr>
      <t xml:space="preserve">. 
This "online" version is updated monthly in accordance with regulatory requirements that commenced on 1 January 2020.  </t>
    </r>
  </si>
  <si>
    <t>GENERAL INFORMATION</t>
  </si>
  <si>
    <t>Infrastructure contributions and charges have been issued in accordance with the legislative regime at the time issued as follows:</t>
  </si>
  <si>
    <r>
      <t xml:space="preserve">Infrastructure contributions and/or charges continue to apply in accordance with the development approval and legislation at the time issued.
These have generally been issued as:
- a condition of the development permit under a </t>
    </r>
    <r>
      <rPr>
        <i/>
        <sz val="10"/>
        <color rgb="FF0000FF"/>
        <rFont val="Arial"/>
        <family val="2"/>
      </rPr>
      <t>Planning Scheme Policy (PSPs)</t>
    </r>
    <r>
      <rPr>
        <sz val="10"/>
        <color rgb="FF0000FF"/>
        <rFont val="Arial"/>
        <family val="2"/>
      </rPr>
      <t xml:space="preserve">; </t>
    </r>
    <r>
      <rPr>
        <u/>
        <sz val="10"/>
        <color rgb="FF0000FF"/>
        <rFont val="Arial"/>
        <family val="2"/>
      </rPr>
      <t xml:space="preserve">or
</t>
    </r>
    <r>
      <rPr>
        <sz val="10"/>
        <color rgb="FF0000FF"/>
        <rFont val="Arial"/>
        <family val="2"/>
      </rPr>
      <t>- a separate Infrastructure Charge Notice under the</t>
    </r>
    <r>
      <rPr>
        <i/>
        <sz val="10"/>
        <color rgb="FF0000FF"/>
        <rFont val="Arial"/>
        <family val="2"/>
      </rPr>
      <t xml:space="preserve"> Coastal Major Road Network Infrastructure Charges Plan (ICP)</t>
    </r>
    <r>
      <rPr>
        <sz val="10"/>
        <color rgb="FF0000FF"/>
        <rFont val="Arial"/>
        <family val="2"/>
      </rPr>
      <t xml:space="preserve">. </t>
    </r>
  </si>
  <si>
    <r>
      <t>Infrastructure Charges issued under Local Government Charges Resolutions in accordance with the </t>
    </r>
    <r>
      <rPr>
        <i/>
        <sz val="10"/>
        <color rgb="FF0000FF"/>
        <rFont val="Arial"/>
        <family val="2"/>
      </rPr>
      <t>Planning Act 2016</t>
    </r>
    <r>
      <rPr>
        <sz val="10"/>
        <color rgb="FF0000FF"/>
        <rFont val="Arial"/>
        <family val="2"/>
      </rPr>
      <t> and the</t>
    </r>
    <r>
      <rPr>
        <i/>
        <sz val="10"/>
        <color rgb="FF0000FF"/>
        <rFont val="Arial"/>
        <family val="2"/>
      </rPr>
      <t> Planning Regulation 2017</t>
    </r>
    <r>
      <rPr>
        <sz val="10"/>
        <color rgb="FF0000FF"/>
        <rFont val="Arial"/>
        <family val="2"/>
      </rPr>
      <t>.</t>
    </r>
  </si>
  <si>
    <t>1) PSP+ICP (Issued)</t>
  </si>
  <si>
    <t>2) AICN (Issued)</t>
  </si>
  <si>
    <r>
      <t xml:space="preserve">Infrastructure Charges issued </t>
    </r>
    <r>
      <rPr>
        <u/>
        <sz val="10"/>
        <color rgb="FF0000FF"/>
        <rFont val="Arial"/>
        <family val="2"/>
      </rPr>
      <t>from</t>
    </r>
    <r>
      <rPr>
        <sz val="10"/>
        <color rgb="FF0000FF"/>
        <rFont val="Arial"/>
        <family val="2"/>
      </rPr>
      <t xml:space="preserve"> 1 July 2011 under Local Government Charges Resolutions under the Adopted Infrastructure Charges Regime remaining applicable &amp;/or issued from 1 January 2014</t>
    </r>
  </si>
  <si>
    <t>3) PSP+ICP (Paid-NSA-2014+)</t>
  </si>
  <si>
    <t>4) AICN (Paid-NSA-2014+)</t>
  </si>
  <si>
    <t>Payment of Adopted Infrastructure Charges receipted by Noosa Council from 1 January 2014</t>
  </si>
  <si>
    <t xml:space="preserve">Should further information be required, please contact Council's Infrastructure Charges Officer directly via: </t>
  </si>
  <si>
    <t>email:</t>
  </si>
  <si>
    <t xml:space="preserve">ic@noosa.qld.gov.au </t>
  </si>
  <si>
    <t>(07) 5329 6211</t>
  </si>
  <si>
    <t>(07) 5329 6449</t>
  </si>
  <si>
    <t>5a) PSP+ICP (Lapsed-Cancelled)</t>
  </si>
  <si>
    <t>5b) AICN (Lapsed-Cancelled)</t>
  </si>
  <si>
    <t>Adopted Infrastructure Charges lapsed or cancelled from 1 January 2014</t>
  </si>
  <si>
    <t>The register is structured into the following worksheets:</t>
  </si>
  <si>
    <r>
      <t xml:space="preserve">Infrastructure Charges issued under Local Government Charges Resolutions in accordance with the </t>
    </r>
    <r>
      <rPr>
        <i/>
        <sz val="10"/>
        <color rgb="FF0000FF"/>
        <rFont val="Arial"/>
        <family val="2"/>
      </rPr>
      <t>Sustainable Planning Act 2009</t>
    </r>
    <r>
      <rPr>
        <sz val="10"/>
        <color rgb="FF0000FF"/>
        <rFont val="Arial"/>
        <family val="2"/>
      </rPr>
      <t xml:space="preserve"> and the </t>
    </r>
    <r>
      <rPr>
        <i/>
        <sz val="10"/>
        <color rgb="FF0000FF"/>
        <rFont val="Arial"/>
        <family val="2"/>
      </rPr>
      <t>State Planning Regulatory Provision Adopted Charges</t>
    </r>
    <r>
      <rPr>
        <sz val="10"/>
        <color rgb="FF0000FF"/>
        <rFont val="Arial"/>
        <family val="2"/>
      </rPr>
      <t>.</t>
    </r>
  </si>
  <si>
    <t>PC19/1121</t>
  </si>
  <si>
    <t xml:space="preserve">Building Work 
</t>
  </si>
  <si>
    <t>100 Sugar Road
MAROOCHYDORE QLD 4558</t>
  </si>
  <si>
    <t>Lot 119 C 5604</t>
  </si>
  <si>
    <t>15 Olivine Street
COOROY QLD 4563</t>
  </si>
  <si>
    <t>(Lot 2) 278 Lake Cooroibah Road
LAKE COOROIBAH QLD 4565</t>
  </si>
  <si>
    <t>D109857</t>
  </si>
  <si>
    <t xml:space="preserve">Version: </t>
  </si>
  <si>
    <t xml:space="preserve">Dated: </t>
  </si>
  <si>
    <t xml:space="preserve">ECM Document ID: </t>
  </si>
  <si>
    <t>D110444</t>
  </si>
  <si>
    <t>C/- Building Approvals United QLD
PO Box 654
BUDDINA QLD 4575</t>
  </si>
  <si>
    <t>182 Uhlmanns Rd Federal Qld 4568</t>
  </si>
  <si>
    <t>Lot 147 M 371248</t>
  </si>
  <si>
    <t>N/a - additional to existing only</t>
  </si>
  <si>
    <t>Stormwater reduction outside PIA</t>
  </si>
  <si>
    <t>PC19/0701</t>
  </si>
  <si>
    <t>Building Work: EarthCert Building Approvals Decision Notice: 190185</t>
  </si>
  <si>
    <t>DW Building &amp; Renovations</t>
  </si>
  <si>
    <t>12 Honey Myrtle Road
NOOSA HEADS QLD 4567</t>
  </si>
  <si>
    <t>Lot 26 RP 142988</t>
  </si>
  <si>
    <t>21 Weyba Park Drive
NOOSA HEADS QLD 4567</t>
  </si>
  <si>
    <t>PC19/0932</t>
  </si>
  <si>
    <t>Building Work: EarthCert Building Approvals Decision Notice: 190277</t>
  </si>
  <si>
    <t xml:space="preserve">DWS Building
</t>
  </si>
  <si>
    <t>PO Box 272
NOOSA HEADS QLD 4567</t>
  </si>
  <si>
    <t>Lot 150 C 852092</t>
  </si>
  <si>
    <t>3 Driftwood Close
CASTAWAYS BEACH QLD 4567</t>
  </si>
  <si>
    <t>PC19/1378</t>
  </si>
  <si>
    <t>Building Work: Fluid Building Approvals Decision Notice: 3013/19</t>
  </si>
  <si>
    <t>LA Dinsey &amp; JE Tunstall The Blue Crane Trust</t>
  </si>
  <si>
    <t>Lot 7 SP 253957</t>
  </si>
  <si>
    <t>16 Yatama Place
COOROIBAH QLD 4565</t>
  </si>
  <si>
    <t>Stormwater Reduction - Outside PIA Area</t>
  </si>
  <si>
    <r>
      <t xml:space="preserve">Development approvals issued </t>
    </r>
    <r>
      <rPr>
        <u/>
        <sz val="11"/>
        <rFont val="Arial"/>
        <family val="2"/>
      </rPr>
      <t>prior</t>
    </r>
    <r>
      <rPr>
        <sz val="11"/>
        <rFont val="Arial"/>
        <family val="2"/>
      </rPr>
      <t xml:space="preserve"> to 1 July 2011:</t>
    </r>
  </si>
  <si>
    <r>
      <t xml:space="preserve">Development approvals issued </t>
    </r>
    <r>
      <rPr>
        <u/>
        <sz val="11"/>
        <rFont val="Arial"/>
        <family val="2"/>
      </rPr>
      <t>from</t>
    </r>
    <r>
      <rPr>
        <sz val="11"/>
        <rFont val="Arial"/>
        <family val="2"/>
      </rPr>
      <t xml:space="preserve"> 1/07/2011:</t>
    </r>
  </si>
  <si>
    <r>
      <t xml:space="preserve">Development approvals issued </t>
    </r>
    <r>
      <rPr>
        <u/>
        <sz val="11"/>
        <rFont val="Arial"/>
        <family val="2"/>
      </rPr>
      <t>from</t>
    </r>
    <r>
      <rPr>
        <sz val="11"/>
        <rFont val="Arial"/>
        <family val="2"/>
      </rPr>
      <t xml:space="preserve"> 3/07/2017:</t>
    </r>
  </si>
  <si>
    <r>
      <t xml:space="preserve">Infrastructure contributions and charges are subject to </t>
    </r>
    <r>
      <rPr>
        <b/>
        <sz val="11"/>
        <color theme="1"/>
        <rFont val="Arial"/>
        <family val="2"/>
      </rPr>
      <t>Automatic Increase Provision (indexation)</t>
    </r>
    <r>
      <rPr>
        <sz val="11"/>
        <color theme="1"/>
        <rFont val="Arial"/>
        <family val="2"/>
      </rPr>
      <t xml:space="preserve"> from when they were issued until time of making payment in accordance with the specific policy, infrastructure charges plan or charges resolution applicable at the time under which they were issued. The indexation method is indicated in the respective worksheets.</t>
    </r>
  </si>
  <si>
    <r>
      <t xml:space="preserve">phone </t>
    </r>
    <r>
      <rPr>
        <i/>
        <sz val="11"/>
        <color theme="1"/>
        <rFont val="Arial"/>
        <family val="2"/>
      </rPr>
      <t>(during office hours)</t>
    </r>
    <r>
      <rPr>
        <sz val="11"/>
        <color theme="1"/>
        <rFont val="Arial"/>
        <family val="2"/>
      </rPr>
      <t>:</t>
    </r>
  </si>
  <si>
    <r>
      <rPr>
        <strike/>
        <sz val="10"/>
        <color rgb="FF0000FF"/>
        <rFont val="Arial"/>
        <family val="2"/>
      </rPr>
      <t>Paid NSA</t>
    </r>
    <r>
      <rPr>
        <sz val="10"/>
        <color rgb="FF0000FF"/>
        <rFont val="Arial"/>
        <family val="2"/>
      </rPr>
      <t xml:space="preserve">
</t>
    </r>
  </si>
  <si>
    <r>
      <rPr>
        <strike/>
        <sz val="10"/>
        <color rgb="FF0000FF"/>
        <rFont val="Arial"/>
        <family val="2"/>
      </rPr>
      <t>7/07/2015</t>
    </r>
    <r>
      <rPr>
        <sz val="10"/>
        <color rgb="FF0000FF"/>
        <rFont val="Arial"/>
        <family val="2"/>
      </rPr>
      <t xml:space="preserve">
</t>
    </r>
    <r>
      <rPr>
        <sz val="10"/>
        <color rgb="FF0000FF"/>
        <rFont val="Arial"/>
        <family val="2"/>
      </rPr>
      <t xml:space="preserve">
</t>
    </r>
  </si>
  <si>
    <r>
      <rPr>
        <strike/>
        <sz val="10"/>
        <color rgb="FF0000FF"/>
        <rFont val="Arial"/>
        <family val="2"/>
      </rPr>
      <t>1167759</t>
    </r>
    <r>
      <rPr>
        <sz val="10"/>
        <color rgb="FF0000FF"/>
        <rFont val="Arial"/>
        <family val="2"/>
      </rPr>
      <t xml:space="preserve">
</t>
    </r>
  </si>
  <si>
    <t>Original Payment made by applicant on wrong approval &amp; requested reversal. Payment Reversed &amp; refunded (less $59 admin fee) on 12/08/2015 Cheque100844</t>
  </si>
  <si>
    <t>MCU19/0049</t>
  </si>
  <si>
    <t>Healthe Care Australia Pty Ltd</t>
  </si>
  <si>
    <t>C/- KDC Pty Ltd
Suite 2B
125 Bull Street
NEWCASTLE NSW 2302</t>
  </si>
  <si>
    <t>46 Maple St COOROY QLD 4563</t>
  </si>
  <si>
    <t>Lot 15 RP 851955</t>
  </si>
  <si>
    <t>Wellbeing type 1 - Health (hospital)  - additional  974m² GFA
+ Additional impervious = 1,063m²</t>
  </si>
  <si>
    <t>D112352</t>
  </si>
  <si>
    <t xml:space="preserve">MCU15/0053
</t>
  </si>
  <si>
    <r>
      <rPr>
        <b/>
        <sz val="10"/>
        <color rgb="FF0000FF"/>
        <rFont val="Arial"/>
        <family val="2"/>
      </rPr>
      <t xml:space="preserve">N </t>
    </r>
    <r>
      <rPr>
        <b/>
        <sz val="10"/>
        <rFont val="Arial"/>
        <family val="2"/>
      </rPr>
      <t xml:space="preserve">1100
</t>
    </r>
    <r>
      <rPr>
        <b/>
        <sz val="10"/>
        <color rgb="FFFF0000"/>
        <rFont val="Arial"/>
        <family val="2"/>
      </rPr>
      <t xml:space="preserve">
LAPSED &amp; REPLACED </t>
    </r>
    <r>
      <rPr>
        <sz val="10"/>
        <color rgb="FFFF0000"/>
        <rFont val="Arial"/>
        <family val="2"/>
      </rPr>
      <t>by alternative approval MCU17/0014 &amp; associated OPW19/0182</t>
    </r>
  </si>
  <si>
    <t>30/12/2019
will not lapse as change to existing</t>
  </si>
  <si>
    <t>12/01/2020
will not lapse as change to existing</t>
  </si>
  <si>
    <t>Change has not yet occurred as at 3/12/2019 per aerials</t>
  </si>
  <si>
    <r>
      <t xml:space="preserve">Infrastructure contributions &amp; charges issued </t>
    </r>
    <r>
      <rPr>
        <u/>
        <sz val="10"/>
        <color rgb="FF0000FF"/>
        <rFont val="Arial"/>
        <family val="2"/>
      </rPr>
      <t>prior</t>
    </r>
    <r>
      <rPr>
        <sz val="10"/>
        <color rgb="FF0000FF"/>
        <rFont val="Arial"/>
        <family val="2"/>
      </rPr>
      <t xml:space="preserve"> to 1 July 2011 under </t>
    </r>
    <r>
      <rPr>
        <i/>
        <sz val="10"/>
        <color rgb="FF0000FF"/>
        <rFont val="Arial"/>
        <family val="2"/>
      </rPr>
      <t>planning scheme policies (PSPs)</t>
    </r>
    <r>
      <rPr>
        <sz val="10"/>
        <color rgb="FF0000FF"/>
        <rFont val="Arial"/>
        <family val="2"/>
      </rPr>
      <t xml:space="preserve"> &amp;/or the </t>
    </r>
    <r>
      <rPr>
        <i/>
        <sz val="10"/>
        <color rgb="FF0000FF"/>
        <rFont val="Arial"/>
        <family val="2"/>
      </rPr>
      <t xml:space="preserve">Coastal Major Road Network Infrastructure Charges Plan (CMRNICP) </t>
    </r>
    <r>
      <rPr>
        <sz val="10"/>
        <color rgb="FF0000FF"/>
        <rFont val="Arial"/>
        <family val="2"/>
      </rPr>
      <t>remaining applicable from 1 January 2014</t>
    </r>
  </si>
  <si>
    <t>Payment of PSP contributions &amp; CMRNICP charges receipted by Noosa Council from 1 January 2014</t>
  </si>
  <si>
    <t>PSP contributions &amp; CMRNICP charges lapsed or cancelled from 1 January 2014</t>
  </si>
  <si>
    <t>D112890</t>
  </si>
  <si>
    <t>DECEMBER 2019
Total =</t>
  </si>
  <si>
    <r>
      <t xml:space="preserve">51991.195.01 (Change to existing approval)
</t>
    </r>
    <r>
      <rPr>
        <sz val="10"/>
        <color rgb="FF0000FF"/>
        <rFont val="Arial"/>
        <family val="2"/>
      </rPr>
      <t>51991.195.02 GIA</t>
    </r>
  </si>
  <si>
    <t>DECEMBER  2019 Total =</t>
  </si>
  <si>
    <t>D113029</t>
  </si>
  <si>
    <r>
      <rPr>
        <b/>
        <sz val="10"/>
        <color rgb="FF0000FF"/>
        <rFont val="Arial"/>
        <family val="2"/>
      </rPr>
      <t xml:space="preserve">N </t>
    </r>
    <r>
      <rPr>
        <b/>
        <sz val="10"/>
        <rFont val="Arial"/>
        <family val="2"/>
      </rPr>
      <t xml:space="preserve">1314
</t>
    </r>
  </si>
  <si>
    <t>D113516</t>
  </si>
  <si>
    <t>PC19/1435</t>
  </si>
  <si>
    <t>Building Work: Fluid Building Approvals Decision Notice: 5235/19</t>
  </si>
  <si>
    <t>Ben &amp; Amanda Broadfoot</t>
  </si>
  <si>
    <t>Lot 141 RP 174104</t>
  </si>
  <si>
    <t>D113852</t>
  </si>
  <si>
    <t>CPI Sep 2019
Indexation not paid</t>
  </si>
  <si>
    <t>D114267</t>
  </si>
  <si>
    <r>
      <t xml:space="preserve">Part Paid $1,218
</t>
    </r>
    <r>
      <rPr>
        <b/>
        <sz val="10"/>
        <color rgb="FFFF0000"/>
        <rFont val="Arial"/>
        <family val="2"/>
      </rPr>
      <t>Indexed amt payable = $1,234
Underpaid $16</t>
    </r>
    <r>
      <rPr>
        <b/>
        <sz val="10"/>
        <color rgb="FF0000FF"/>
        <rFont val="Arial"/>
        <family val="2"/>
      </rPr>
      <t xml:space="preserve">
</t>
    </r>
    <r>
      <rPr>
        <b/>
        <sz val="10"/>
        <color rgb="FFFF0000"/>
        <rFont val="Arial"/>
        <family val="2"/>
      </rPr>
      <t>added to Stg 4</t>
    </r>
  </si>
  <si>
    <r>
      <rPr>
        <b/>
        <sz val="10"/>
        <color rgb="FF0000FF"/>
        <rFont val="Arial"/>
        <family val="2"/>
      </rPr>
      <t xml:space="preserve">Part Paid $600
</t>
    </r>
    <r>
      <rPr>
        <sz val="10"/>
        <color rgb="FFFF0000"/>
        <rFont val="Arial"/>
        <family val="2"/>
      </rPr>
      <t xml:space="preserve">underpayment of $19 added to Stg Pmt </t>
    </r>
    <r>
      <rPr>
        <b/>
        <sz val="10"/>
        <color rgb="FFFF0000"/>
        <rFont val="Arial"/>
        <family val="2"/>
      </rPr>
      <t>4</t>
    </r>
  </si>
  <si>
    <t xml:space="preserve">Final Inspection Cert issued 08/06/2018
Staged Payment Agreement IA#80 dated 26/03/2019
</t>
  </si>
  <si>
    <t>MCU18/0028.01</t>
  </si>
  <si>
    <t xml:space="preserve">9 Ann St Noosaville Qld 4566 
</t>
  </si>
  <si>
    <t xml:space="preserve">Lot 11 RP 69150 
</t>
  </si>
  <si>
    <r>
      <t xml:space="preserve">Paid
</t>
    </r>
    <r>
      <rPr>
        <sz val="10"/>
        <color rgb="FFFF0000"/>
        <rFont val="Arial"/>
        <family val="2"/>
      </rPr>
      <t>Overpaid by $20 &amp; will reduce next Stg Pmt 4</t>
    </r>
  </si>
  <si>
    <r>
      <rPr>
        <sz val="8"/>
        <color rgb="FF0000FF"/>
        <rFont val="Arial"/>
        <family val="2"/>
      </rPr>
      <t>Change to Court Order 4783 of 2011 24/01/2012
Change to Staging</t>
    </r>
    <r>
      <rPr>
        <sz val="8"/>
        <color indexed="10"/>
        <rFont val="Arial"/>
        <family val="2"/>
      </rPr>
      <t xml:space="preserve">
</t>
    </r>
    <r>
      <rPr>
        <sz val="8"/>
        <color rgb="FF0000FF"/>
        <rFont val="Arial"/>
        <family val="2"/>
      </rPr>
      <t xml:space="preserve">(STAGE 2)
</t>
    </r>
    <r>
      <rPr>
        <sz val="8"/>
        <color rgb="FFFF0000"/>
        <rFont val="Arial"/>
        <family val="2"/>
      </rPr>
      <t>132007.1259.05 Extn REFUSED
Under APPEAL Case 1360/1361/2017
DISCONTINIED 2/07/2019 &amp; LAPSED</t>
    </r>
  </si>
  <si>
    <r>
      <rPr>
        <sz val="8"/>
        <color rgb="FF0000FF"/>
        <rFont val="Arial"/>
        <family val="2"/>
      </rPr>
      <t>Change to Court Order 4783 of 2011 24/01/2012
Change to Staging</t>
    </r>
    <r>
      <rPr>
        <sz val="8"/>
        <color indexed="10"/>
        <rFont val="Arial"/>
        <family val="2"/>
      </rPr>
      <t xml:space="preserve">
</t>
    </r>
    <r>
      <rPr>
        <sz val="8"/>
        <color rgb="FF0000FF"/>
        <rFont val="Arial"/>
        <family val="2"/>
      </rPr>
      <t xml:space="preserve">(STAGE 3)
</t>
    </r>
    <r>
      <rPr>
        <sz val="8"/>
        <color rgb="FFFF0000"/>
        <rFont val="Arial"/>
        <family val="2"/>
      </rPr>
      <t>132007.1259.05 Extn REFUSED
Under APPEAL Case 1360/1361/2017
DISCONTINIED 2/07/2019 &amp; LAPSED</t>
    </r>
  </si>
  <si>
    <r>
      <t xml:space="preserve">Refer also to AICN.N 1071
for Missing Stormwater
</t>
    </r>
    <r>
      <rPr>
        <sz val="8"/>
        <color rgb="FFFF0000"/>
        <rFont val="Arial"/>
        <family val="2"/>
      </rPr>
      <t>LAPSED per MC advice 23/07/2019
No extension and no works commenced. Alternative PC for house lodged</t>
    </r>
  </si>
  <si>
    <r>
      <t xml:space="preserve">Extn IA = Missing:
- Stormwater 
- Public Transport
+
AICN.N1129 = Parks
</t>
    </r>
    <r>
      <rPr>
        <sz val="8"/>
        <color rgb="FFFF0000"/>
        <rFont val="Arial"/>
        <family val="2"/>
      </rPr>
      <t>REPLACED BY
alternative MCU16/0143 &amp; ICN.N1222
re PC19/0489 issued for Building Works</t>
    </r>
  </si>
  <si>
    <r>
      <t xml:space="preserve">Extn IA = Missing:
- Stormwater 
- Public Transport
+
AICN.N1130 = Parks
</t>
    </r>
    <r>
      <rPr>
        <sz val="8"/>
        <color rgb="FFFF0000"/>
        <rFont val="Arial"/>
        <family val="2"/>
      </rPr>
      <t>REPLACED BY
alternative MCU16/0143 &amp; ICN.N1222
re PC19/0489 issued for Building Works</t>
    </r>
  </si>
  <si>
    <t>LAPSED
As advised by Michael Cantori per event email dated 9/01/2014</t>
  </si>
  <si>
    <t>112009.544 proceeded as a smaller single story house 
Alternative Dwelling Completed but Not with Additional Unit per MCU
APPLICATION LAPSED</t>
  </si>
  <si>
    <t xml:space="preserve">LAPSED 
As advised by Michael Cantori per event email </t>
  </si>
  <si>
    <t>Lapsed 6/04/2014
Proceeded only with Dwelling House only under PC14/0199</t>
  </si>
  <si>
    <t>Lapsed 20/06/2012 confirmed by DW</t>
  </si>
  <si>
    <t>Change to Existing Approval to Stages 
Balance Stg 2A
Lapsed 15/1/2014
confirmed by DW</t>
  </si>
  <si>
    <t>Change to Existing Approval to Stages 
Balance Stg 2B
Lapsed 15/1/2014
confirmed by DW</t>
  </si>
  <si>
    <t>LAPSED confirmed T1 event ID: 12187088 dated 19/08/2015</t>
  </si>
  <si>
    <t>Construct frontage path or pay in lieu
On 16/10/2015 Glen Conforti confirmed
LAPSED 20/09/2015</t>
  </si>
  <si>
    <t>LAPSED 6/12/2018
Comfirmed MC 4/03/2019</t>
  </si>
  <si>
    <r>
      <t xml:space="preserve">USE COMMENCED
PAID CONTRIBUTIONS IC Outstanding
</t>
    </r>
    <r>
      <rPr>
        <i/>
        <sz val="6"/>
        <color rgb="FF0000FF"/>
        <rFont val="Arial"/>
        <family val="2"/>
      </rPr>
      <t xml:space="preserve">(Building has commenced  - in hand with Planning - confirm in a few months and chase IC 21/7/2010)
IC Information omitted in Rate Certificate issued 26/06/2009 by SCRC to New Owner.
</t>
    </r>
    <r>
      <rPr>
        <i/>
        <sz val="8"/>
        <color rgb="FF0000FF"/>
        <rFont val="Arial"/>
        <family val="2"/>
      </rPr>
      <t>IC Waived 10/03/2014</t>
    </r>
  </si>
  <si>
    <r>
      <t xml:space="preserve">See also 23374DA (Dummy IC 78) Note CMRN paid only for 1 lot whereas 2 lots are vacant - this development has been credited 50% of the previous amount paid
Final Issued 24/08/07 - 
IC Information omitted in Rate Certificate issued 26/06/2009 by SCRC to New Owner.
</t>
    </r>
    <r>
      <rPr>
        <sz val="8"/>
        <color rgb="FF0000FF"/>
        <rFont val="Arial"/>
        <family val="2"/>
      </rPr>
      <t>IC Waived 10/03/2014</t>
    </r>
  </si>
  <si>
    <r>
      <t xml:space="preserve">Noosa Building Certifiers Permit No 20070660
Received 12/09/07
Council BA = 20071547
IC Information omitted in Rate Certificate issued 26/06/2009 by SCRC to New Owner.
</t>
    </r>
    <r>
      <rPr>
        <sz val="8"/>
        <color rgb="FF0000FF"/>
        <rFont val="Arial"/>
        <family val="2"/>
      </rPr>
      <t>IC Waived 10/03/2014</t>
    </r>
  </si>
  <si>
    <r>
      <t xml:space="preserve">Gecon Building Certifiers 
Permit no 0002007273
Received 12/12/2007
IC Information omitted in Rate Certificate issued 26/06/2009 by SCRC to New Owner.
</t>
    </r>
    <r>
      <rPr>
        <sz val="8"/>
        <color rgb="FF0000FF"/>
        <rFont val="Arial"/>
        <family val="2"/>
      </rPr>
      <t>IC Waived 10/03/2014</t>
    </r>
  </si>
  <si>
    <r>
      <t xml:space="preserve">Reissued IC as Rev 1 due to typo error
</t>
    </r>
    <r>
      <rPr>
        <sz val="8"/>
        <color rgb="FFFF0000"/>
        <rFont val="Arial"/>
        <family val="2"/>
      </rPr>
      <t>LAPSED confirmed MC 11/08/2014</t>
    </r>
    <r>
      <rPr>
        <sz val="8"/>
        <rFont val="Arial"/>
        <family val="2"/>
      </rPr>
      <t xml:space="preserve">
</t>
    </r>
  </si>
  <si>
    <r>
      <t xml:space="preserve">Settled as court order 25/05/07.  ICAO not advised therefore IC notice issued late.
</t>
    </r>
    <r>
      <rPr>
        <sz val="8"/>
        <color rgb="FFFF0000"/>
        <rFont val="Arial"/>
        <family val="2"/>
      </rPr>
      <t>Lapsed 31/5/2014</t>
    </r>
  </si>
  <si>
    <r>
      <rPr>
        <sz val="8"/>
        <color rgb="FF0000FF"/>
        <rFont val="Arial"/>
        <family val="2"/>
      </rPr>
      <t xml:space="preserve">Contributions paid </t>
    </r>
    <r>
      <rPr>
        <sz val="8"/>
        <color indexed="10"/>
        <rFont val="Arial"/>
        <family val="2"/>
      </rPr>
      <t xml:space="preserve">
IC remaining
LAPSED 21/09/2014 
Confirmed MC 19/01/2015</t>
    </r>
  </si>
  <si>
    <r>
      <t xml:space="preserve">Bld J on Lot 10
</t>
    </r>
    <r>
      <rPr>
        <sz val="8"/>
        <color rgb="FFFF0000"/>
        <rFont val="Arial"/>
        <family val="2"/>
      </rPr>
      <t>Replaced 7/7/2015 by:</t>
    </r>
    <r>
      <rPr>
        <sz val="8"/>
        <color rgb="FF0000FF"/>
        <rFont val="Arial"/>
        <family val="2"/>
      </rPr>
      <t xml:space="preserve">
New Approval MCU14/0077 &amp; ICN.N1051 issued &amp; replaces IC 986
PC15/0145 - BA dated 16/4/2015 per MCU14/0077 
</t>
    </r>
    <r>
      <rPr>
        <sz val="8"/>
        <color rgb="FFFF0000"/>
        <rFont val="Arial"/>
        <family val="2"/>
      </rPr>
      <t xml:space="preserve">CoC issued - PC15/0145 </t>
    </r>
  </si>
  <si>
    <r>
      <t xml:space="preserve">Living Valley Springs Ltd
Extn IA for Missing:
- Stormwater 
</t>
    </r>
    <r>
      <rPr>
        <sz val="8"/>
        <color rgb="FFFF0000"/>
        <rFont val="Arial"/>
        <family val="2"/>
      </rPr>
      <t>On 4/8/2015 Denis Wallace confirmed 
LAPSED 20/04/2015</t>
    </r>
  </si>
  <si>
    <r>
      <t xml:space="preserve">Decision Made by Noosa Iconic Panel
</t>
    </r>
    <r>
      <rPr>
        <sz val="8"/>
        <color rgb="FFFF0000"/>
        <rFont val="Arial"/>
        <family val="2"/>
      </rPr>
      <t>On 4/8/2015 Denis Wallace confirmed</t>
    </r>
    <r>
      <rPr>
        <sz val="8"/>
        <color rgb="FF0000FF"/>
        <rFont val="Arial"/>
        <family val="2"/>
      </rPr>
      <t xml:space="preserve">
</t>
    </r>
    <r>
      <rPr>
        <sz val="8"/>
        <color rgb="FFFF0000"/>
        <rFont val="Arial"/>
        <family val="2"/>
      </rPr>
      <t xml:space="preserve">LAPSED 11/2/2015 </t>
    </r>
    <r>
      <rPr>
        <sz val="8"/>
        <color rgb="FF0000FF"/>
        <rFont val="Arial"/>
        <family val="2"/>
      </rPr>
      <t xml:space="preserve">
</t>
    </r>
    <r>
      <rPr>
        <sz val="8"/>
        <color rgb="FFFF0000"/>
        <rFont val="Arial"/>
        <family val="2"/>
      </rPr>
      <t>(A</t>
    </r>
    <r>
      <rPr>
        <i/>
        <sz val="8"/>
        <color rgb="FFFF0000"/>
        <rFont val="Arial"/>
        <family val="2"/>
      </rPr>
      <t>pplication did not Proceed)</t>
    </r>
  </si>
  <si>
    <r>
      <t xml:space="preserve">IC paid - 
</t>
    </r>
    <r>
      <rPr>
        <sz val="8"/>
        <color rgb="FFFF0000"/>
        <rFont val="Arial"/>
        <family val="2"/>
      </rPr>
      <t>Contributions Remain</t>
    </r>
    <r>
      <rPr>
        <sz val="8"/>
        <color rgb="FF0000FF"/>
        <rFont val="Arial"/>
        <family val="2"/>
      </rPr>
      <t xml:space="preserve">
Extn granted when resolution applied $50,000 threshold for IC assessment
</t>
    </r>
    <r>
      <rPr>
        <sz val="8"/>
        <color rgb="FFFF0000"/>
        <rFont val="Arial"/>
        <family val="2"/>
      </rPr>
      <t>18/11/2015 MC &amp; JL Confirmed
LAPSED 1/11/2015</t>
    </r>
  </si>
  <si>
    <r>
      <t xml:space="preserve">The development included a related approval (OPW11/0368) which was lodged on the 3/11/2011. 
As this application was lodged within 2 years of the existing approval – the development automatically extends for a further 4 years from the related approval date. Therefore Lapses 3/11/2015.
</t>
    </r>
    <r>
      <rPr>
        <sz val="8"/>
        <color rgb="FFFF0000"/>
        <rFont val="Arial"/>
        <family val="2"/>
      </rPr>
      <t>18/11/2015 MC &amp; JL Confirmed
LAPSED 1/11/2015</t>
    </r>
  </si>
  <si>
    <r>
      <rPr>
        <sz val="8"/>
        <color rgb="FF0000FF"/>
        <rFont val="Arial"/>
        <family val="2"/>
      </rPr>
      <t xml:space="preserve">As a result of Court Appeal - IC 916 has been issued
Change to Court Order 4783 of 2011 24/01/2012
Change to Staging 
+
MCU12/0023 &amp; AICN 256 also applies Stg 1
</t>
    </r>
    <r>
      <rPr>
        <u/>
        <sz val="8"/>
        <color rgb="FFFF0000"/>
        <rFont val="Arial"/>
        <family val="2"/>
      </rPr>
      <t>Now</t>
    </r>
    <r>
      <rPr>
        <sz val="8"/>
        <color rgb="FFFF0000"/>
        <rFont val="Arial"/>
        <family val="2"/>
      </rPr>
      <t xml:space="preserve"> REPLACED BY Alternative Stg 1
RE:  MCU13/0251 ICN.N1017 &amp; 
PC16/0006 issued </t>
    </r>
  </si>
  <si>
    <r>
      <rPr>
        <sz val="8"/>
        <color rgb="FF0000FF"/>
        <rFont val="Arial"/>
        <family val="2"/>
      </rPr>
      <t xml:space="preserve">Appeal lodged 
P&amp;E No.2007of2008 (IC) &amp; 2039 of 2008 (cond 25)
&amp; WITHDRAWN 
</t>
    </r>
    <r>
      <rPr>
        <sz val="8"/>
        <color rgb="FFFF0000"/>
        <rFont val="Arial"/>
        <family val="2"/>
      </rPr>
      <t>LAPSED 6/02/2016</t>
    </r>
    <r>
      <rPr>
        <sz val="8"/>
        <rFont val="Arial"/>
        <family val="2"/>
      </rPr>
      <t xml:space="preserve">
</t>
    </r>
  </si>
  <si>
    <r>
      <rPr>
        <sz val="8"/>
        <color rgb="FF0000FF"/>
        <rFont val="Arial"/>
        <family val="2"/>
      </rPr>
      <t xml:space="preserve">Building Permit PC16/0287  issued on replacement  MCU15/0050
</t>
    </r>
    <r>
      <rPr>
        <sz val="8"/>
        <color rgb="FFFF0000"/>
        <rFont val="Arial"/>
        <family val="2"/>
      </rPr>
      <t xml:space="preserve">
This application has been replaced &amp; lapses on 14/09/2016</t>
    </r>
  </si>
  <si>
    <r>
      <rPr>
        <sz val="8"/>
        <rFont val="Arial"/>
        <family val="2"/>
      </rPr>
      <t>Condition 75 = Contributions to be paid prior to Stage 2</t>
    </r>
    <r>
      <rPr>
        <sz val="8"/>
        <color indexed="10"/>
        <rFont val="Arial"/>
        <family val="2"/>
      </rPr>
      <t xml:space="preserve">
</t>
    </r>
    <r>
      <rPr>
        <sz val="8"/>
        <color rgb="FF0000FF"/>
        <rFont val="Arial"/>
        <family val="2"/>
      </rPr>
      <t xml:space="preserve">Extn IA for Missing:
- Stormwater 
- Public Transport
</t>
    </r>
    <r>
      <rPr>
        <sz val="8"/>
        <color rgb="FFFF0000"/>
        <rFont val="Arial"/>
        <family val="2"/>
      </rPr>
      <t>LAPSED on 20/5/2016 as advised by Trish Sweeney.</t>
    </r>
  </si>
  <si>
    <r>
      <t xml:space="preserve">Extn granted when council resolution applied $50,000 threshold for IC assessment
</t>
    </r>
    <r>
      <rPr>
        <sz val="8"/>
        <color rgb="FFFF0000"/>
        <rFont val="Arial"/>
        <family val="2"/>
      </rPr>
      <t>LAPSED 4/08/2016</t>
    </r>
  </si>
  <si>
    <r>
      <t xml:space="preserve">Extn IA for Missing:
- Stormwater 
- Public Transport
</t>
    </r>
    <r>
      <rPr>
        <sz val="8"/>
        <color rgb="FFFF0000"/>
        <rFont val="Arial"/>
        <family val="2"/>
      </rPr>
      <t>LAPSED 20/05/2016</t>
    </r>
  </si>
  <si>
    <r>
      <t xml:space="preserve">Extn IA for Missing:
- Stormwater 
- Public Transport
</t>
    </r>
    <r>
      <rPr>
        <sz val="8"/>
        <color rgb="FFFF0000"/>
        <rFont val="Arial"/>
        <family val="2"/>
      </rPr>
      <t>LAPSED 19/12/2016
Notified through T1</t>
    </r>
  </si>
  <si>
    <r>
      <rPr>
        <sz val="8"/>
        <rFont val="Arial"/>
        <family val="2"/>
      </rPr>
      <t>Amended per Decision Notice Ministerial call-in dated 06/03/2006</t>
    </r>
    <r>
      <rPr>
        <sz val="8"/>
        <color rgb="FF0000FF"/>
        <rFont val="Arial"/>
        <family val="2"/>
      </rPr>
      <t xml:space="preserve">
</t>
    </r>
    <r>
      <rPr>
        <sz val="8"/>
        <color rgb="FFFF0000"/>
        <rFont val="Arial"/>
        <family val="2"/>
      </rPr>
      <t xml:space="preserve">Extn 132003.221199.3 REFUSED - APPEAL Case 93/14 </t>
    </r>
    <r>
      <rPr>
        <i/>
        <sz val="8"/>
        <color rgb="FFFF0000"/>
        <rFont val="Arial"/>
        <family val="2"/>
      </rPr>
      <t>withdrawn &amp; Dismissed 29/01/2016
Confirmed LAPSED by Kerri Coyle 1/02/2018)</t>
    </r>
  </si>
  <si>
    <r>
      <t xml:space="preserve">Payment made 14/06/2013 for missing Stormwater network to gain approval for Extension to Currency
refer AICN No: 427
</t>
    </r>
    <r>
      <rPr>
        <sz val="8"/>
        <color rgb="FFFF0000"/>
        <rFont val="Arial"/>
        <family val="2"/>
      </rPr>
      <t>Confirmed LAPSED by M Cantori through T1 on 06/04/2018)</t>
    </r>
  </si>
  <si>
    <r>
      <t xml:space="preserve">Extn IA for Missing:
- Stormwater 
- Transport 
</t>
    </r>
    <r>
      <rPr>
        <sz val="8"/>
        <color rgb="FFFF0000"/>
        <rFont val="Arial"/>
        <family val="2"/>
      </rPr>
      <t>LAPSED 03/2018 confirmed MC 2/10/2018</t>
    </r>
  </si>
  <si>
    <r>
      <rPr>
        <u/>
        <sz val="8"/>
        <color rgb="FF0000FF"/>
        <rFont val="Arial"/>
        <family val="2"/>
      </rPr>
      <t>ALSO</t>
    </r>
    <r>
      <rPr>
        <sz val="8"/>
        <color rgb="FF0000FF"/>
        <rFont val="Arial"/>
        <family val="2"/>
      </rPr>
      <t xml:space="preserve"> 
Refer AICN N 1049 for 152009.1586.3
(extention to relevant period) Additional missing networks
</t>
    </r>
    <r>
      <rPr>
        <sz val="8"/>
        <color rgb="FFFF0000"/>
        <rFont val="Arial"/>
        <family val="2"/>
      </rPr>
      <t>Lapsed 28/10/2018 confirmed MC 5/03/2019</t>
    </r>
  </si>
  <si>
    <t>$5,000 Part Pre-Payment 13/12/2019</t>
  </si>
  <si>
    <t>D114413</t>
  </si>
  <si>
    <t>(Stage 1 = 1 additional lot) = $17,002.
(Stage 2 = balance 2 additional lots) = $34,002</t>
  </si>
  <si>
    <t xml:space="preserve">Lot Reconfig = 4 Res Lots (3 additional lots)
</t>
  </si>
  <si>
    <r>
      <rPr>
        <b/>
        <sz val="10"/>
        <color rgb="FF0000FF"/>
        <rFont val="Arial"/>
        <family val="2"/>
      </rPr>
      <t xml:space="preserve">N </t>
    </r>
    <r>
      <rPr>
        <b/>
        <sz val="10"/>
        <rFont val="Arial"/>
        <family val="2"/>
      </rPr>
      <t>1330</t>
    </r>
  </si>
  <si>
    <t xml:space="preserve">RAL17/0511
</t>
  </si>
  <si>
    <t xml:space="preserve"> D114647</t>
  </si>
  <si>
    <t>Part Pmt</t>
  </si>
  <si>
    <t>D114651</t>
  </si>
  <si>
    <t>PC19/1458</t>
  </si>
  <si>
    <t>Building Work: Project B.A. 
Decision Notice: 20192425</t>
  </si>
  <si>
    <t>Milestone Homes QLD</t>
  </si>
  <si>
    <t>31 Tinbeerway Road
TINBEERWAH QLD 4563</t>
  </si>
  <si>
    <t>Lot 12 RP 887980</t>
  </si>
  <si>
    <t>231 Coles Creek Road 
COORAN QLD 4569</t>
  </si>
  <si>
    <t>MCU14/0082.03</t>
  </si>
  <si>
    <t>27/11/2018
Change will not lapse</t>
  </si>
  <si>
    <t>Tod Consulting Pty Ltd</t>
  </si>
  <si>
    <t>PO Box 61
NOOSAVILLE QLD 4566</t>
  </si>
  <si>
    <t>Sewerage Treatment Plant Wallum Lane,
NOOSA HEADS QLD 4567</t>
  </si>
  <si>
    <t>Use by Noosa Mens Shed</t>
  </si>
  <si>
    <t>Wellbeing - Type 2 Social = additional 52 m2 gfa &amp; impervious area</t>
  </si>
  <si>
    <t>100% Rebate under Council Poicy for Community Organisation
Stormwater reduction outside PIA</t>
  </si>
  <si>
    <t>Part Payment 
Balance Payment</t>
  </si>
  <si>
    <t>16/12/2019
17/12/2019</t>
  </si>
  <si>
    <t>D114912
D114944</t>
  </si>
  <si>
    <t>$51,004.- Part Payment 16/12/2019  $1,807.- Balance Payment 17/12/2019</t>
  </si>
  <si>
    <r>
      <t xml:space="preserve">Part Paid $1608
</t>
    </r>
    <r>
      <rPr>
        <b/>
        <sz val="10"/>
        <color rgb="FFFF0000"/>
        <rFont val="Arial"/>
        <family val="2"/>
      </rPr>
      <t>Indexed amt payable = $1,629
Underpaid $20
added to Stg 3</t>
    </r>
  </si>
  <si>
    <t>D115320</t>
  </si>
  <si>
    <t>D115515</t>
  </si>
  <si>
    <t>D115794</t>
  </si>
  <si>
    <t>PC19/1479</t>
  </si>
  <si>
    <t>Building Work: Noosa Building Certifiers
Decision Notice: 20190503</t>
  </si>
  <si>
    <t>Dennis Trupkovic</t>
  </si>
  <si>
    <t>11 Hill Street
SUNSHINE BEACH QLD 4567</t>
  </si>
  <si>
    <t>Lot 50 RP 200340</t>
  </si>
  <si>
    <t>4 Brookland Road
TINBEERWAH QLD 4563</t>
  </si>
  <si>
    <t>MCU19/0119</t>
  </si>
  <si>
    <t>Hunter Hopkins Project 5 Pty Ltd TTE</t>
  </si>
  <si>
    <t>Lot 1 RP 142848</t>
  </si>
  <si>
    <t>2 Nola Street
NOOSAVILLE QLD 4567</t>
  </si>
  <si>
    <t>Duplex = 2 x 3 Bedroom</t>
  </si>
  <si>
    <t>D116098</t>
  </si>
  <si>
    <t>D115871</t>
  </si>
  <si>
    <r>
      <rPr>
        <b/>
        <sz val="10"/>
        <color rgb="FF0000FF"/>
        <rFont val="Arial"/>
        <family val="2"/>
      </rPr>
      <t xml:space="preserve">N </t>
    </r>
    <r>
      <rPr>
        <b/>
        <sz val="10"/>
        <rFont val="Arial"/>
        <family val="2"/>
      </rPr>
      <t xml:space="preserve">1399
</t>
    </r>
    <r>
      <rPr>
        <sz val="10"/>
        <color rgb="FFFF0000"/>
        <rFont val="Arial"/>
        <family val="2"/>
      </rPr>
      <t xml:space="preserve">COMPLETED  - Final Inspection Cetificate 30/07/2019
</t>
    </r>
    <r>
      <rPr>
        <b/>
        <sz val="10"/>
        <color rgb="FFFF0000"/>
        <rFont val="Arial"/>
        <family val="2"/>
      </rPr>
      <t>IA 90-STAGED PAYMENT 2</t>
    </r>
    <r>
      <rPr>
        <sz val="10"/>
        <color rgb="FFFF0000"/>
        <rFont val="Arial"/>
        <family val="2"/>
      </rPr>
      <t xml:space="preserve">
</t>
    </r>
    <r>
      <rPr>
        <b/>
        <sz val="10"/>
        <color rgb="FFFF0000"/>
        <rFont val="Arial"/>
        <family val="2"/>
      </rPr>
      <t>DUE 15 DEC 2019</t>
    </r>
  </si>
  <si>
    <t>Part Paid $1232
Indexed amt payable = $1,249
Underpaid $17
added to Stg 4</t>
  </si>
  <si>
    <r>
      <t>21/12/2019
R</t>
    </r>
    <r>
      <rPr>
        <sz val="10"/>
        <color rgb="FF0000FF"/>
        <rFont val="Arial"/>
        <family val="2"/>
      </rPr>
      <t>eceipted 2/01/2020</t>
    </r>
  </si>
  <si>
    <t>JANUARY 2020
Total =</t>
  </si>
  <si>
    <t>D117029</t>
  </si>
  <si>
    <t>CURRENT AMOUNT PAYABLE</t>
  </si>
  <si>
    <r>
      <t xml:space="preserve">ICN Issued per Planning Regulation Amendments commenced 1 January 2020
</t>
    </r>
    <r>
      <rPr>
        <b/>
        <sz val="10"/>
        <rFont val="Arial"/>
        <family val="2"/>
      </rPr>
      <t/>
    </r>
  </si>
  <si>
    <t>ANDREW BURT</t>
  </si>
  <si>
    <t>2/18 STEVENS STREET, SUNSHINE BEACH, 4567</t>
  </si>
  <si>
    <t>Lot 233 RP 48111</t>
  </si>
  <si>
    <t>9 Dwyer St,
SUNSHINE BEACH</t>
  </si>
  <si>
    <t>Detached House = 
1 x 2 bed dwelling on level 1
+ secondary dwelling underneath on ground level</t>
  </si>
  <si>
    <t>PC19/1164
Issued 16/12/2019 (Received &amp; Registered by NSC 16/12/2019)</t>
  </si>
  <si>
    <r>
      <t xml:space="preserve">Building Work: 
</t>
    </r>
    <r>
      <rPr>
        <i/>
        <sz val="10"/>
        <rFont val="Arial"/>
        <family val="2"/>
      </rPr>
      <t xml:space="preserve">Pacific BCQ - Approval Number: 20190397 </t>
    </r>
  </si>
  <si>
    <r>
      <t xml:space="preserve">Building Work: 
</t>
    </r>
    <r>
      <rPr>
        <i/>
        <sz val="10"/>
        <rFont val="Arial"/>
        <family val="2"/>
      </rPr>
      <t>Coastal Building Certifications - Development Permit No 34484</t>
    </r>
  </si>
  <si>
    <t xml:space="preserve">ST ANDREWS CONSTRUCTIONS PTY LTD </t>
  </si>
  <si>
    <t>PO BOX 2169
NOOSAVILLE QLD 4566</t>
  </si>
  <si>
    <t>45 Sea Eagle Dr
NOOSAVILLE 4566</t>
  </si>
  <si>
    <t xml:space="preserve">Education Type 2 School = 
additional 89m2 gfa + 
additional 49m2 Impervious area
</t>
  </si>
  <si>
    <t>D117318</t>
  </si>
  <si>
    <t>PC20/0002
Issued 20/12/2019 (Received &amp; Registered by NSC 3/01/2020)</t>
  </si>
  <si>
    <r>
      <t xml:space="preserve">Building Work: 
</t>
    </r>
    <r>
      <rPr>
        <i/>
        <sz val="10"/>
        <rFont val="Arial"/>
        <family val="2"/>
      </rPr>
      <t>Pacific BCQ - Approval Number: 20190522</t>
    </r>
  </si>
  <si>
    <t>LYNDA SWADDLING</t>
  </si>
  <si>
    <t>58 DEVONSTONE DRIVE
COOROIBAH QLD 4565</t>
  </si>
  <si>
    <t>Lot 60 SP149475</t>
  </si>
  <si>
    <t xml:space="preserve">1x Secondary dwelling </t>
  </si>
  <si>
    <t>Retrospective approval - Development already completed &amp; in use</t>
  </si>
  <si>
    <t xml:space="preserve">Nil - Conversion of existing shed  additional to existing house </t>
  </si>
  <si>
    <t>Staged Payment No. 3 = $1,782 @CPI Sep18
Staged Payment No. 4 = $1,782 @CPI Sep18
Staged Payment No. 5 = $1,782 @CPI Sep18
IA Breached 20/12/2019 &amp; terminated 6/01/2020
Compound Interest from 30 Jan 2019 &amp; debt transferred to Rates for recovery</t>
  </si>
  <si>
    <t>CPI Sept 2018
+ Compound Interest from 30/01/2018</t>
  </si>
  <si>
    <t>Journal 1711617</t>
  </si>
  <si>
    <t>D118583</t>
  </si>
  <si>
    <t>D119422</t>
  </si>
  <si>
    <t>ALH Group Pty Ltd</t>
  </si>
  <si>
    <t>17-21 Mary Street 
NOOSAVILLE QLD 4566</t>
  </si>
  <si>
    <t>C/- AECOME 
PO Box 1307
FORTITUDE VALLEY 4006</t>
  </si>
  <si>
    <t>D119972</t>
  </si>
  <si>
    <r>
      <t xml:space="preserve">o This infrastructure charge ONLY becomes payable following completion of a future primary “detached house” on the property.     
</t>
    </r>
    <r>
      <rPr>
        <sz val="10"/>
        <color rgb="FFFF0000"/>
        <rFont val="Arial"/>
        <family val="2"/>
      </rPr>
      <t>- PC19/0920 issued for primary dwelling 17/01/2020</t>
    </r>
  </si>
  <si>
    <t>Building Work: 
EarthCert Building Approvals - Decision Notice Approval 180063</t>
  </si>
  <si>
    <t>Black &amp; More</t>
  </si>
  <si>
    <t>334 Cooroy Belli Creek Road,
COOROY QLD 4563</t>
  </si>
  <si>
    <t>Lot 1 SP 226704</t>
  </si>
  <si>
    <t>1 Dwelling House + 1 x Secondary Dwelling</t>
  </si>
  <si>
    <t>D123558</t>
  </si>
  <si>
    <t>Retail business - Type 2 Shop &amp; salon = 24m2 gfa</t>
  </si>
  <si>
    <t>Entertainment &amp; dining business - Type 1 Food &amp; beverages = 80m2 gfa
No change to existing impervious area</t>
  </si>
  <si>
    <t>Lot 1 RP 161212</t>
  </si>
  <si>
    <r>
      <t xml:space="preserve">51987.44.01
</t>
    </r>
    <r>
      <rPr>
        <sz val="8"/>
        <rFont val="Arial"/>
        <family val="2"/>
      </rPr>
      <t>(Change to existing approval)
Issued 23/01/2020</t>
    </r>
  </si>
  <si>
    <t>6 Thomas Street, 
NOOSAVILLE QLD 4566</t>
  </si>
  <si>
    <t xml:space="preserve">Approval </t>
  </si>
  <si>
    <t>FJ BROWN &amp; DA LOCK</t>
  </si>
  <si>
    <t>Dela Coste 1/18 Sunseeker Cl NOOSAVILLE  QLD  4566</t>
  </si>
  <si>
    <t>FJ Brown &amp; DA Lock</t>
  </si>
  <si>
    <t xml:space="preserve">C/- Noosa Town Planning
42 Gympie St
TEWANTIN QLD 4565
</t>
  </si>
  <si>
    <t>51987.44.01
(Change to existing approval Dated 16/01/2020)
Issued 23/01/2020</t>
  </si>
  <si>
    <r>
      <rPr>
        <strike/>
        <sz val="8"/>
        <rFont val="Arial"/>
        <family val="2"/>
      </rPr>
      <t xml:space="preserve">$134,661 Mar-08
</t>
    </r>
    <r>
      <rPr>
        <sz val="8"/>
        <color rgb="FF0000FF"/>
        <rFont val="Arial"/>
        <family val="2"/>
      </rPr>
      <t>$257,626.00
@ Mar-19
Replaced by IA 88</t>
    </r>
  </si>
  <si>
    <r>
      <t>$13,911 Mar-08</t>
    </r>
    <r>
      <rPr>
        <sz val="8"/>
        <color rgb="FF0000FF"/>
        <rFont val="Arial"/>
        <family val="2"/>
      </rPr>
      <t xml:space="preserve">
$26,614.00 
@ Mar-19
Replaced by IA 88</t>
    </r>
  </si>
  <si>
    <t>Subsequent PC19/0999 issued 24/01/2020</t>
  </si>
  <si>
    <t>Subsequent PC19/0993 issued 22/01/2020</t>
  </si>
  <si>
    <t>D125682</t>
  </si>
  <si>
    <t>D127099</t>
  </si>
  <si>
    <t>The developer to upgrade existing trunk footpath along full frontage to adjoining lot driveway = 28m length at 2m wide = 56m2
Offset at Council construction rate construction from LGIP = $95/m2 x 56m2 = $5,320.00</t>
  </si>
  <si>
    <t>Vacant land
S 2346 Lot reconfiguration approval 24 May 1990 conditioned Water, Sewerage, Road, Park &amp; other contributions to be paid on a per additional lot basis &amp; required road &amp; footpath improvements to Mary St.
Therefore 1 Non-res lot credit given in relation to Transport &amp; Parks.</t>
  </si>
  <si>
    <t>D127122</t>
  </si>
  <si>
    <t>10/12/2019
Will not lapse as change to staged dev</t>
  </si>
  <si>
    <r>
      <rPr>
        <b/>
        <sz val="10"/>
        <color rgb="FF0000FF"/>
        <rFont val="Arial"/>
        <family val="2"/>
      </rPr>
      <t xml:space="preserve">N </t>
    </r>
    <r>
      <rPr>
        <b/>
        <sz val="10"/>
        <rFont val="Arial"/>
        <family val="2"/>
      </rPr>
      <t xml:space="preserve">1513
</t>
    </r>
    <r>
      <rPr>
        <sz val="10"/>
        <color rgb="FFFF0000"/>
        <rFont val="Arial"/>
        <family val="2"/>
      </rPr>
      <t xml:space="preserve">
DUE 30 JAN 2020</t>
    </r>
  </si>
  <si>
    <r>
      <rPr>
        <b/>
        <sz val="10"/>
        <color rgb="FF0000FF"/>
        <rFont val="Arial"/>
        <family val="2"/>
      </rPr>
      <t xml:space="preserve">N </t>
    </r>
    <r>
      <rPr>
        <b/>
        <sz val="10"/>
        <rFont val="Arial"/>
        <family val="2"/>
      </rPr>
      <t>1111</t>
    </r>
    <r>
      <rPr>
        <sz val="10"/>
        <rFont val="Arial"/>
        <family val="2"/>
      </rPr>
      <t xml:space="preserve">
</t>
    </r>
    <r>
      <rPr>
        <sz val="10"/>
        <color rgb="FFFF0000"/>
        <rFont val="Arial"/>
        <family val="2"/>
      </rPr>
      <t xml:space="preserve">
MC 3/12/2019 - the change took place on changed building format plans)
DUE 30 JAN 2020</t>
    </r>
  </si>
  <si>
    <r>
      <rPr>
        <b/>
        <sz val="10"/>
        <color rgb="FF0000FF"/>
        <rFont val="Arial"/>
        <family val="2"/>
      </rPr>
      <t xml:space="preserve">N </t>
    </r>
    <r>
      <rPr>
        <b/>
        <sz val="10"/>
        <rFont val="Arial"/>
        <family val="2"/>
      </rPr>
      <t xml:space="preserve">1110
</t>
    </r>
    <r>
      <rPr>
        <sz val="10"/>
        <rFont val="Arial"/>
        <family val="2"/>
      </rPr>
      <t xml:space="preserve">
</t>
    </r>
    <r>
      <rPr>
        <sz val="10"/>
        <color rgb="FFFF0000"/>
        <rFont val="Arial"/>
        <family val="2"/>
      </rPr>
      <t>MC 3/12/2019 Use commenced Village Bicycle re .02 GIA</t>
    </r>
    <r>
      <rPr>
        <b/>
        <sz val="10"/>
        <color rgb="FFFF0000"/>
        <rFont val="Arial"/>
        <family val="2"/>
      </rPr>
      <t xml:space="preserve">
</t>
    </r>
    <r>
      <rPr>
        <sz val="10"/>
        <color rgb="FFFF0000"/>
        <rFont val="Arial"/>
        <family val="2"/>
      </rPr>
      <t>DUE 30 JAN 2020</t>
    </r>
  </si>
  <si>
    <r>
      <rPr>
        <b/>
        <sz val="10"/>
        <color rgb="FF0000FF"/>
        <rFont val="Arial"/>
        <family val="2"/>
      </rPr>
      <t xml:space="preserve">N </t>
    </r>
    <r>
      <rPr>
        <b/>
        <sz val="10"/>
        <rFont val="Arial"/>
        <family val="2"/>
      </rPr>
      <t xml:space="preserve">1369 
</t>
    </r>
    <r>
      <rPr>
        <b/>
        <sz val="10"/>
        <color rgb="FF0000FF"/>
        <rFont val="Arial"/>
        <family val="2"/>
      </rPr>
      <t xml:space="preserve">Amended
</t>
    </r>
    <r>
      <rPr>
        <sz val="10"/>
        <color rgb="FFFF0000"/>
        <rFont val="Arial"/>
        <family val="2"/>
      </rPr>
      <t>PC18/0988 CoC issued 5/12/2019 &amp; drive by inspection 16/12/2019 use commenced 
DUE 30 JAN 2020</t>
    </r>
  </si>
  <si>
    <r>
      <rPr>
        <b/>
        <sz val="10"/>
        <color rgb="FF0000FF"/>
        <rFont val="Arial"/>
        <family val="2"/>
      </rPr>
      <t xml:space="preserve">N </t>
    </r>
    <r>
      <rPr>
        <b/>
        <sz val="10"/>
        <rFont val="Arial"/>
        <family val="2"/>
      </rPr>
      <t xml:space="preserve">1108
</t>
    </r>
    <r>
      <rPr>
        <b/>
        <sz val="10"/>
        <color rgb="FFFF0000"/>
        <rFont val="Arial"/>
        <family val="2"/>
      </rPr>
      <t xml:space="preserve">
</t>
    </r>
    <r>
      <rPr>
        <sz val="10"/>
        <color rgb="FFFF0000"/>
        <rFont val="Arial"/>
        <family val="2"/>
      </rPr>
      <t>PC17/1141 COC issued 14/02/2018 re Gym under existing building &amp; aerials show additional car parks completed.
DUE 30 JAN 2020</t>
    </r>
  </si>
  <si>
    <r>
      <rPr>
        <b/>
        <sz val="10"/>
        <color rgb="FF0000FF"/>
        <rFont val="Arial"/>
        <family val="2"/>
      </rPr>
      <t xml:space="preserve">N </t>
    </r>
    <r>
      <rPr>
        <b/>
        <sz val="10"/>
        <rFont val="Arial"/>
        <family val="2"/>
      </rPr>
      <t xml:space="preserve">1200
</t>
    </r>
    <r>
      <rPr>
        <b/>
        <sz val="10"/>
        <color rgb="FF0000FF"/>
        <rFont val="Arial"/>
        <family val="2"/>
      </rPr>
      <t>(Stage 1)</t>
    </r>
    <r>
      <rPr>
        <b/>
        <sz val="10"/>
        <rFont val="Arial"/>
        <family val="2"/>
      </rPr>
      <t xml:space="preserve">
</t>
    </r>
    <r>
      <rPr>
        <b/>
        <sz val="10"/>
        <color rgb="FFFF0000"/>
        <rFont val="Arial"/>
        <family val="2"/>
      </rPr>
      <t>IA 74 Staged 
Pmts 3, 4 &amp; 5</t>
    </r>
  </si>
  <si>
    <t>D127705</t>
  </si>
  <si>
    <r>
      <rPr>
        <b/>
        <sz val="10"/>
        <color rgb="FF0000FF"/>
        <rFont val="Arial"/>
        <family val="2"/>
      </rPr>
      <t xml:space="preserve">N </t>
    </r>
    <r>
      <rPr>
        <b/>
        <sz val="10"/>
        <rFont val="Arial"/>
        <family val="2"/>
      </rPr>
      <t xml:space="preserve">1249
</t>
    </r>
    <r>
      <rPr>
        <sz val="10"/>
        <color rgb="FFFF0000"/>
        <rFont val="Arial"/>
        <family val="2"/>
      </rPr>
      <t>MC advice completed 30/01/2020
DUE 24 FEB 2020</t>
    </r>
  </si>
  <si>
    <t>D129261
&amp;
D129624</t>
  </si>
  <si>
    <t>FEBRUARY 2020
Total =</t>
  </si>
  <si>
    <t>DBW19/0030
Issued 3/02/2020</t>
  </si>
  <si>
    <t xml:space="preserve">Building Work: </t>
  </si>
  <si>
    <t>JT Scholes</t>
  </si>
  <si>
    <t>C/- Pacific BCQ
PO Box 1901
NOOSAVILLE BC QLD 4566</t>
  </si>
  <si>
    <t xml:space="preserve">Lot 5 BUP 103775 </t>
  </si>
  <si>
    <t>Unit 5 / 6 Project Ave 
NOOSAVILLE QLD 4566</t>
  </si>
  <si>
    <t>Industrial Business - Type 2 = Additional 27m2 gfa</t>
  </si>
  <si>
    <t>Hunter Hopkins Project 5 Pty Ltd</t>
  </si>
  <si>
    <t>Lot 1 RP 164422</t>
  </si>
  <si>
    <t>4 Nola St, 
NOOSAVILLE QLD 4566</t>
  </si>
  <si>
    <t xml:space="preserve"> Multiple Housing - Type 4 Conventional = 4 x 3 or more bedroom units</t>
  </si>
  <si>
    <t>MCU19/0121
Approved 31/01/2020
Issued 3/02/2020</t>
  </si>
  <si>
    <r>
      <rPr>
        <b/>
        <sz val="10"/>
        <color rgb="FF0000FF"/>
        <rFont val="Arial"/>
        <family val="2"/>
      </rPr>
      <t xml:space="preserve">N </t>
    </r>
    <r>
      <rPr>
        <b/>
        <sz val="10"/>
        <rFont val="Arial"/>
        <family val="2"/>
      </rPr>
      <t>1558</t>
    </r>
    <r>
      <rPr>
        <sz val="11"/>
        <color theme="1"/>
        <rFont val="Calibri"/>
        <family val="2"/>
        <scheme val="minor"/>
      </rPr>
      <t/>
    </r>
  </si>
  <si>
    <r>
      <rPr>
        <b/>
        <sz val="10"/>
        <color rgb="FF0000FF"/>
        <rFont val="Arial"/>
        <family val="2"/>
      </rPr>
      <t xml:space="preserve">N </t>
    </r>
    <r>
      <rPr>
        <b/>
        <sz val="10"/>
        <rFont val="Arial"/>
        <family val="2"/>
      </rPr>
      <t>1559</t>
    </r>
    <r>
      <rPr>
        <sz val="11"/>
        <color theme="1"/>
        <rFont val="Calibri"/>
        <family val="2"/>
        <scheme val="minor"/>
      </rPr>
      <t/>
    </r>
  </si>
  <si>
    <r>
      <rPr>
        <b/>
        <sz val="10"/>
        <color rgb="FF0000FF"/>
        <rFont val="Arial"/>
        <family val="2"/>
      </rPr>
      <t xml:space="preserve">N </t>
    </r>
    <r>
      <rPr>
        <b/>
        <sz val="10"/>
        <rFont val="Arial"/>
        <family val="2"/>
      </rPr>
      <t>1560</t>
    </r>
    <r>
      <rPr>
        <sz val="11"/>
        <color theme="1"/>
        <rFont val="Calibri"/>
        <family val="2"/>
        <scheme val="minor"/>
      </rPr>
      <t/>
    </r>
  </si>
  <si>
    <r>
      <rPr>
        <b/>
        <sz val="10"/>
        <color rgb="FF0000FF"/>
        <rFont val="Arial"/>
        <family val="2"/>
      </rPr>
      <t xml:space="preserve">N </t>
    </r>
    <r>
      <rPr>
        <b/>
        <sz val="10"/>
        <rFont val="Arial"/>
        <family val="2"/>
      </rPr>
      <t>1561</t>
    </r>
    <r>
      <rPr>
        <sz val="11"/>
        <color theme="1"/>
        <rFont val="Calibri"/>
        <family val="2"/>
        <scheme val="minor"/>
      </rPr>
      <t/>
    </r>
  </si>
  <si>
    <r>
      <rPr>
        <b/>
        <sz val="10"/>
        <color rgb="FF0000FF"/>
        <rFont val="Arial"/>
        <family val="2"/>
      </rPr>
      <t xml:space="preserve">N </t>
    </r>
    <r>
      <rPr>
        <b/>
        <sz val="10"/>
        <rFont val="Arial"/>
        <family val="2"/>
      </rPr>
      <t>1564</t>
    </r>
    <r>
      <rPr>
        <sz val="11"/>
        <color theme="1"/>
        <rFont val="Calibri"/>
        <family val="2"/>
        <scheme val="minor"/>
      </rPr>
      <t/>
    </r>
  </si>
  <si>
    <r>
      <rPr>
        <b/>
        <sz val="10"/>
        <color rgb="FF0000FF"/>
        <rFont val="Arial"/>
        <family val="2"/>
      </rPr>
      <t xml:space="preserve">N </t>
    </r>
    <r>
      <rPr>
        <b/>
        <sz val="10"/>
        <rFont val="Arial"/>
        <family val="2"/>
      </rPr>
      <t>1569</t>
    </r>
    <r>
      <rPr>
        <sz val="11"/>
        <color theme="1"/>
        <rFont val="Calibri"/>
        <family val="2"/>
        <scheme val="minor"/>
      </rPr>
      <t/>
    </r>
  </si>
  <si>
    <r>
      <rPr>
        <b/>
        <sz val="10"/>
        <color rgb="FF0000FF"/>
        <rFont val="Arial"/>
        <family val="2"/>
      </rPr>
      <t xml:space="preserve">N </t>
    </r>
    <r>
      <rPr>
        <b/>
        <sz val="10"/>
        <rFont val="Arial"/>
        <family val="2"/>
      </rPr>
      <t>1571</t>
    </r>
    <r>
      <rPr>
        <sz val="11"/>
        <color theme="1"/>
        <rFont val="Calibri"/>
        <family val="2"/>
        <scheme val="minor"/>
      </rPr>
      <t/>
    </r>
  </si>
  <si>
    <r>
      <rPr>
        <b/>
        <sz val="10"/>
        <color rgb="FF0000FF"/>
        <rFont val="Arial"/>
        <family val="2"/>
      </rPr>
      <t xml:space="preserve">N </t>
    </r>
    <r>
      <rPr>
        <b/>
        <sz val="10"/>
        <rFont val="Arial"/>
        <family val="2"/>
      </rPr>
      <t>1572</t>
    </r>
    <r>
      <rPr>
        <sz val="11"/>
        <color theme="1"/>
        <rFont val="Calibri"/>
        <family val="2"/>
        <scheme val="minor"/>
      </rPr>
      <t/>
    </r>
  </si>
  <si>
    <r>
      <rPr>
        <b/>
        <sz val="10"/>
        <color rgb="FF0000FF"/>
        <rFont val="Arial"/>
        <family val="2"/>
      </rPr>
      <t xml:space="preserve">N </t>
    </r>
    <r>
      <rPr>
        <b/>
        <sz val="10"/>
        <rFont val="Arial"/>
        <family val="2"/>
      </rPr>
      <t>1573</t>
    </r>
    <r>
      <rPr>
        <sz val="11"/>
        <color theme="1"/>
        <rFont val="Calibri"/>
        <family val="2"/>
        <scheme val="minor"/>
      </rPr>
      <t/>
    </r>
  </si>
  <si>
    <r>
      <rPr>
        <b/>
        <sz val="10"/>
        <color rgb="FF0000FF"/>
        <rFont val="Arial"/>
        <family val="2"/>
      </rPr>
      <t xml:space="preserve">N </t>
    </r>
    <r>
      <rPr>
        <b/>
        <sz val="10"/>
        <rFont val="Arial"/>
        <family val="2"/>
      </rPr>
      <t>1578</t>
    </r>
    <r>
      <rPr>
        <sz val="11"/>
        <color theme="1"/>
        <rFont val="Calibri"/>
        <family val="2"/>
        <scheme val="minor"/>
      </rPr>
      <t/>
    </r>
  </si>
  <si>
    <r>
      <rPr>
        <b/>
        <sz val="10"/>
        <color rgb="FF0000FF"/>
        <rFont val="Arial"/>
        <family val="2"/>
      </rPr>
      <t xml:space="preserve">N </t>
    </r>
    <r>
      <rPr>
        <b/>
        <sz val="10"/>
        <rFont val="Arial"/>
        <family val="2"/>
      </rPr>
      <t>1579</t>
    </r>
    <r>
      <rPr>
        <sz val="11"/>
        <color theme="1"/>
        <rFont val="Calibri"/>
        <family val="2"/>
        <scheme val="minor"/>
      </rPr>
      <t/>
    </r>
  </si>
  <si>
    <r>
      <rPr>
        <b/>
        <sz val="10"/>
        <color rgb="FF0000FF"/>
        <rFont val="Arial"/>
        <family val="2"/>
      </rPr>
      <t xml:space="preserve">N </t>
    </r>
    <r>
      <rPr>
        <b/>
        <sz val="10"/>
        <rFont val="Arial"/>
        <family val="2"/>
      </rPr>
      <t>1586</t>
    </r>
    <r>
      <rPr>
        <sz val="11"/>
        <color theme="1"/>
        <rFont val="Calibri"/>
        <family val="2"/>
        <scheme val="minor"/>
      </rPr>
      <t/>
    </r>
  </si>
  <si>
    <r>
      <rPr>
        <b/>
        <sz val="10"/>
        <color rgb="FF0000FF"/>
        <rFont val="Arial"/>
        <family val="2"/>
      </rPr>
      <t xml:space="preserve">N </t>
    </r>
    <r>
      <rPr>
        <b/>
        <sz val="10"/>
        <rFont val="Arial"/>
        <family val="2"/>
      </rPr>
      <t>1588</t>
    </r>
    <r>
      <rPr>
        <sz val="11"/>
        <color theme="1"/>
        <rFont val="Calibri"/>
        <family val="2"/>
        <scheme val="minor"/>
      </rPr>
      <t/>
    </r>
  </si>
  <si>
    <r>
      <rPr>
        <b/>
        <sz val="10"/>
        <color rgb="FF0000FF"/>
        <rFont val="Arial"/>
        <family val="2"/>
      </rPr>
      <t xml:space="preserve">N </t>
    </r>
    <r>
      <rPr>
        <b/>
        <sz val="10"/>
        <rFont val="Arial"/>
        <family val="2"/>
      </rPr>
      <t>1589</t>
    </r>
    <r>
      <rPr>
        <sz val="11"/>
        <color theme="1"/>
        <rFont val="Calibri"/>
        <family val="2"/>
        <scheme val="minor"/>
      </rPr>
      <t/>
    </r>
  </si>
  <si>
    <r>
      <rPr>
        <b/>
        <sz val="10"/>
        <color rgb="FF0000FF"/>
        <rFont val="Arial"/>
        <family val="2"/>
      </rPr>
      <t xml:space="preserve">N </t>
    </r>
    <r>
      <rPr>
        <b/>
        <sz val="10"/>
        <rFont val="Arial"/>
        <family val="2"/>
      </rPr>
      <t>1590</t>
    </r>
    <r>
      <rPr>
        <sz val="11"/>
        <color theme="1"/>
        <rFont val="Calibri"/>
        <family val="2"/>
        <scheme val="minor"/>
      </rPr>
      <t/>
    </r>
  </si>
  <si>
    <r>
      <rPr>
        <b/>
        <sz val="10"/>
        <color rgb="FF0000FF"/>
        <rFont val="Arial"/>
        <family val="2"/>
      </rPr>
      <t xml:space="preserve">N </t>
    </r>
    <r>
      <rPr>
        <b/>
        <sz val="10"/>
        <rFont val="Arial"/>
        <family val="2"/>
      </rPr>
      <t>1592</t>
    </r>
    <r>
      <rPr>
        <sz val="11"/>
        <color theme="1"/>
        <rFont val="Calibri"/>
        <family val="2"/>
        <scheme val="minor"/>
      </rPr>
      <t/>
    </r>
  </si>
  <si>
    <r>
      <rPr>
        <b/>
        <sz val="10"/>
        <color rgb="FF0000FF"/>
        <rFont val="Arial"/>
        <family val="2"/>
      </rPr>
      <t xml:space="preserve">N </t>
    </r>
    <r>
      <rPr>
        <b/>
        <sz val="10"/>
        <rFont val="Arial"/>
        <family val="2"/>
      </rPr>
      <t>1595</t>
    </r>
    <r>
      <rPr>
        <sz val="11"/>
        <color theme="1"/>
        <rFont val="Calibri"/>
        <family val="2"/>
        <scheme val="minor"/>
      </rPr>
      <t/>
    </r>
  </si>
  <si>
    <r>
      <rPr>
        <b/>
        <sz val="10"/>
        <color rgb="FF0000FF"/>
        <rFont val="Arial"/>
        <family val="2"/>
      </rPr>
      <t xml:space="preserve">N </t>
    </r>
    <r>
      <rPr>
        <b/>
        <sz val="10"/>
        <rFont val="Arial"/>
        <family val="2"/>
      </rPr>
      <t>1600</t>
    </r>
    <r>
      <rPr>
        <sz val="11"/>
        <color theme="1"/>
        <rFont val="Calibri"/>
        <family val="2"/>
        <scheme val="minor"/>
      </rPr>
      <t/>
    </r>
  </si>
  <si>
    <t>D132024</t>
  </si>
  <si>
    <t>MCU19/0089
Approved &amp; Issued 19/12/2019</t>
  </si>
  <si>
    <t>Wessel Petroleum Pty Ltd</t>
  </si>
  <si>
    <t>C/- Insite SJC
PO Box 1688
BUNDABERG QLD 4670</t>
  </si>
  <si>
    <t>Lot 21 RP 72829 &amp; Lot 1 RP 131598</t>
  </si>
  <si>
    <t>52 &amp; 54 Mary St 
NOOSAVILLE QLD 4562</t>
  </si>
  <si>
    <t>Retail Business Type 5 b) Service Station = 270 m2 gfa 
+ 2,042 m2 impervious area</t>
  </si>
  <si>
    <t>IC Issued only to detail &amp; formalise calculation credits</t>
  </si>
  <si>
    <t>February 2020 Total =</t>
  </si>
  <si>
    <r>
      <t xml:space="preserve">Condition 22 - frontage works = 44m x 2m trunk pathway upgrade (excluding driveways)
</t>
    </r>
    <r>
      <rPr>
        <b/>
        <sz val="10"/>
        <color rgb="FFFF0000"/>
        <rFont val="Arial"/>
        <family val="2"/>
      </rPr>
      <t>AN INFRASTRUCTURE REFUND APPLIES TO THIS DEVELOPMENT</t>
    </r>
  </si>
  <si>
    <t>IC Resolution Clause 12.3 Payment of Refund = in the December quarter in the financial year following completion of the works &amp; Off-maintenance handover of infrastructure to Council</t>
  </si>
  <si>
    <r>
      <t xml:space="preserve">MCU18/0202
</t>
    </r>
    <r>
      <rPr>
        <i/>
        <sz val="10"/>
        <color rgb="FF0000FF"/>
        <rFont val="Arial"/>
        <family val="2"/>
      </rPr>
      <t>(PC18/034 - Final inspection 5/03/2019)</t>
    </r>
    <r>
      <rPr>
        <sz val="10"/>
        <rFont val="Arial"/>
        <family val="2"/>
      </rPr>
      <t xml:space="preserve">
</t>
    </r>
  </si>
  <si>
    <t>Building Work: 
EarthCert Building Approvals - Decision Notice Approval 190434</t>
  </si>
  <si>
    <t>Christopher &amp; Laura Palmer</t>
  </si>
  <si>
    <t>12 Agathis Place 
NOOSAVILLE QLD 4566</t>
  </si>
  <si>
    <t>Lot 81 SP 216088</t>
  </si>
  <si>
    <t xml:space="preserve">219 Ferrells Road
COOROY QLD 4563
</t>
  </si>
  <si>
    <t>D134030</t>
  </si>
  <si>
    <t>D135156</t>
  </si>
  <si>
    <r>
      <t>Material Change of Use
(Change to Existing Approval -</t>
    </r>
    <r>
      <rPr>
        <sz val="10"/>
        <color rgb="FF0000FF"/>
        <rFont val="Arial"/>
        <family val="2"/>
      </rPr>
      <t xml:space="preserve"> Extension to Relevant Period)</t>
    </r>
  </si>
  <si>
    <r>
      <rPr>
        <sz val="8"/>
        <color rgb="FF0000FF"/>
        <rFont val="Arial"/>
        <family val="2"/>
      </rPr>
      <t>132007.742.05
(Extension)
132007.742.06</t>
    </r>
    <r>
      <rPr>
        <b/>
        <sz val="8"/>
        <rFont val="Arial"/>
        <family val="2"/>
      </rPr>
      <t xml:space="preserve">
</t>
    </r>
  </si>
  <si>
    <r>
      <t xml:space="preserve">07/0742 (DA)
</t>
    </r>
    <r>
      <rPr>
        <strike/>
        <sz val="8"/>
        <color rgb="FF0000FF"/>
        <rFont val="Arial"/>
        <family val="2"/>
      </rPr>
      <t>132007.742.04</t>
    </r>
    <r>
      <rPr>
        <sz val="8"/>
        <color rgb="FF0000FF"/>
        <rFont val="Arial"/>
        <family val="2"/>
      </rPr>
      <t xml:space="preserve">
132007.742.05
132007.742.06
(Extension)</t>
    </r>
    <r>
      <rPr>
        <b/>
        <sz val="8"/>
        <rFont val="Arial"/>
        <family val="2"/>
      </rPr>
      <t xml:space="preserve">
</t>
    </r>
  </si>
  <si>
    <r>
      <rPr>
        <strike/>
        <sz val="8"/>
        <rFont val="Arial"/>
        <family val="2"/>
      </rPr>
      <t>22/11/2007</t>
    </r>
    <r>
      <rPr>
        <sz val="8"/>
        <rFont val="Arial"/>
        <family val="2"/>
      </rPr>
      <t xml:space="preserve">
</t>
    </r>
    <r>
      <rPr>
        <strike/>
        <sz val="8"/>
        <color rgb="FF0000FF"/>
        <rFont val="Arial"/>
        <family val="2"/>
      </rPr>
      <t>13/12/2015</t>
    </r>
    <r>
      <rPr>
        <sz val="8"/>
        <color rgb="FF0000FF"/>
        <rFont val="Arial"/>
        <family val="2"/>
      </rPr>
      <t xml:space="preserve">
</t>
    </r>
    <r>
      <rPr>
        <strike/>
        <sz val="8"/>
        <color rgb="FF0000FF"/>
        <rFont val="Arial"/>
        <family val="2"/>
      </rPr>
      <t>13/12/2019</t>
    </r>
    <r>
      <rPr>
        <sz val="8"/>
        <color rgb="FF0000FF"/>
        <rFont val="Arial"/>
        <family val="2"/>
      </rPr>
      <t xml:space="preserve">
13/12/2023</t>
    </r>
  </si>
  <si>
    <r>
      <rPr>
        <strike/>
        <sz val="8"/>
        <color rgb="FF0000FF"/>
        <rFont val="Arial"/>
        <family val="2"/>
      </rPr>
      <t>13/12/2019</t>
    </r>
    <r>
      <rPr>
        <sz val="8"/>
        <color rgb="FF0000FF"/>
        <rFont val="Arial"/>
        <family val="2"/>
      </rPr>
      <t xml:space="preserve">
13/12/2023</t>
    </r>
  </si>
  <si>
    <t>MCU18/0113</t>
  </si>
  <si>
    <t>Residential lots = 16</t>
  </si>
  <si>
    <t>Teatree Property Pty Ltd TTE</t>
  </si>
  <si>
    <t>125 Lake Macdonald Drive
LAKE MACDONALD QLD 4563</t>
  </si>
  <si>
    <t>101SP142407, 140MCH978, 3RP137375, 2RP852009, 8RP160703</t>
  </si>
  <si>
    <t>RAL19/0018
Approved 7/2/2020
Issued 11/02/2020</t>
  </si>
  <si>
    <t>D139148</t>
  </si>
  <si>
    <t>D139360</t>
  </si>
  <si>
    <r>
      <rPr>
        <strike/>
        <sz val="8"/>
        <rFont val="Arial"/>
        <family val="2"/>
      </rPr>
      <t>13/12/2007</t>
    </r>
    <r>
      <rPr>
        <sz val="8"/>
        <rFont val="Arial"/>
        <family val="2"/>
      </rPr>
      <t xml:space="preserve">
</t>
    </r>
    <r>
      <rPr>
        <strike/>
        <sz val="8"/>
        <color rgb="FF0000FF"/>
        <rFont val="Arial"/>
        <family val="2"/>
      </rPr>
      <t>19/01/2012</t>
    </r>
    <r>
      <rPr>
        <sz val="8"/>
        <color rgb="FF0000FF"/>
        <rFont val="Arial"/>
        <family val="2"/>
      </rPr>
      <t xml:space="preserve">
</t>
    </r>
    <r>
      <rPr>
        <strike/>
        <sz val="8"/>
        <color rgb="FF0000FF"/>
        <rFont val="Arial"/>
        <family val="2"/>
      </rPr>
      <t>24/09/2015</t>
    </r>
    <r>
      <rPr>
        <sz val="8"/>
        <color rgb="FF0000FF"/>
        <rFont val="Arial"/>
        <family val="2"/>
      </rPr>
      <t xml:space="preserve">
12/02/2020</t>
    </r>
  </si>
  <si>
    <r>
      <rPr>
        <strike/>
        <sz val="8"/>
        <color rgb="FF0000FF"/>
        <rFont val="Arial"/>
        <family val="2"/>
      </rPr>
      <t>24/09/2015</t>
    </r>
    <r>
      <rPr>
        <sz val="8"/>
        <color rgb="FF0000FF"/>
        <rFont val="Arial"/>
        <family val="2"/>
      </rPr>
      <t xml:space="preserve">
12/02/2020</t>
    </r>
  </si>
  <si>
    <r>
      <t xml:space="preserve">132007.742.05
Change 
</t>
    </r>
    <r>
      <rPr>
        <sz val="10"/>
        <color rgb="FF0000FF"/>
        <rFont val="Arial"/>
        <family val="2"/>
      </rPr>
      <t>132007.742.06 (Extension) Issued 12/02/2020</t>
    </r>
  </si>
  <si>
    <t>Marie Lambrechts</t>
  </si>
  <si>
    <t>12 Resolute Street
SUNRISE BEACH QLD 4567</t>
  </si>
  <si>
    <t>Lot 12 RP 845994</t>
  </si>
  <si>
    <t>Converting existing garage of detached house to secondary dwelling</t>
  </si>
  <si>
    <t>Existing Detached house</t>
  </si>
  <si>
    <t>D148129</t>
  </si>
  <si>
    <t>Will not lapse</t>
  </si>
  <si>
    <t>Billy Lids Australia P/L TTE</t>
  </si>
  <si>
    <t>Lots 1 to 8 SP 307690
(Formerly Lot 10 SP 216079)</t>
  </si>
  <si>
    <t>Industrial Business Type 2 = Additional 33m2 gfa
No change to impervious area</t>
  </si>
  <si>
    <t>As the change has happened with the development constructed, the charge is due immediately.</t>
  </si>
  <si>
    <t>MCU17/0560.01
(Change to Existing)
Approved 14/02/2020
Issued 20/02/2020</t>
  </si>
  <si>
    <r>
      <rPr>
        <b/>
        <sz val="10"/>
        <color rgb="FF0000FF"/>
        <rFont val="Arial"/>
        <family val="2"/>
      </rPr>
      <t xml:space="preserve">N </t>
    </r>
    <r>
      <rPr>
        <b/>
        <sz val="10"/>
        <rFont val="Arial"/>
        <family val="2"/>
      </rPr>
      <t xml:space="preserve">1244
</t>
    </r>
    <r>
      <rPr>
        <sz val="10"/>
        <color rgb="FFFF0000"/>
        <rFont val="Arial"/>
        <family val="2"/>
      </rPr>
      <t xml:space="preserve">
PC17/0329 CoC issued 15/11/2019
</t>
    </r>
    <r>
      <rPr>
        <b/>
        <sz val="10"/>
        <color rgb="FFFF0000"/>
        <rFont val="Arial"/>
        <family val="2"/>
      </rPr>
      <t>DUE 28 FEB 2020</t>
    </r>
  </si>
  <si>
    <r>
      <rPr>
        <b/>
        <sz val="10"/>
        <color rgb="FF0000FF"/>
        <rFont val="Arial"/>
        <family val="2"/>
      </rPr>
      <t xml:space="preserve">N </t>
    </r>
    <r>
      <rPr>
        <b/>
        <sz val="10"/>
        <rFont val="Arial"/>
        <family val="2"/>
      </rPr>
      <t xml:space="preserve">1321
</t>
    </r>
    <r>
      <rPr>
        <sz val="10"/>
        <color rgb="FFFF0000"/>
        <rFont val="Arial"/>
        <family val="2"/>
      </rPr>
      <t xml:space="preserve">
MC advice completed 30/01/2020
</t>
    </r>
    <r>
      <rPr>
        <b/>
        <sz val="10"/>
        <color rgb="FFFF0000"/>
        <rFont val="Arial"/>
        <family val="2"/>
      </rPr>
      <t>DUE 24 FEB 2020</t>
    </r>
  </si>
  <si>
    <r>
      <rPr>
        <b/>
        <sz val="10"/>
        <color rgb="FF0000FF"/>
        <rFont val="Arial"/>
        <family val="2"/>
      </rPr>
      <t xml:space="preserve">N </t>
    </r>
    <r>
      <rPr>
        <b/>
        <sz val="10"/>
        <rFont val="Arial"/>
        <family val="2"/>
      </rPr>
      <t xml:space="preserve">1196
</t>
    </r>
    <r>
      <rPr>
        <sz val="10"/>
        <color rgb="FFFF0000"/>
        <rFont val="Arial"/>
        <family val="2"/>
      </rPr>
      <t xml:space="preserve">MC driveby 11/02/2019 occupied
RM2019/15999 additional waste service bins 4/11/2019  
</t>
    </r>
    <r>
      <rPr>
        <b/>
        <sz val="10"/>
        <color rgb="FFFF0000"/>
        <rFont val="Arial"/>
        <family val="2"/>
      </rPr>
      <t>DUE 28 FEB 2020</t>
    </r>
  </si>
  <si>
    <t>D148841</t>
  </si>
  <si>
    <t>132004.5633.02</t>
  </si>
  <si>
    <t xml:space="preserve">Education Type 2 - School (Education) = Additional 147 m2 gfa
No change to Impervious area
</t>
  </si>
  <si>
    <t>MCU19/0124
Approved 20/02/2020
Issued 25/02/2020</t>
  </si>
  <si>
    <t>SECU Pty Ltd TTE</t>
  </si>
  <si>
    <t>Lot 10 RP 883226</t>
  </si>
  <si>
    <t>15 Jarrah Street
COOROY QLD 4563</t>
  </si>
  <si>
    <t xml:space="preserve">Industrial Business Type 1 Warehouse (Self Storage Units) = 2,000 m2 gfa
+
Impervious area = Site Area 2,315 - landscaping 150m2 as measuerd from plans = 2165
</t>
  </si>
  <si>
    <t xml:space="preserve">Industrial Business Type 1 Warehouse (Self Storage Units) = 950 m2 gfa
+
Impervious area = Site Area 2,315 - existing landscaping 90m2 = 2225
</t>
  </si>
  <si>
    <t>Building Work:
EarthCert Building Approvals
Approval No: 160043</t>
  </si>
  <si>
    <t>Gregory Harvey</t>
  </si>
  <si>
    <t>C/-103 Werin Street
TEWANTIN QLD 4565</t>
  </si>
  <si>
    <t>Lot 12 Sp 236303</t>
  </si>
  <si>
    <t>12 Pheasant Lane
DOONAN QLD 4562</t>
  </si>
  <si>
    <t>PC20/0179
Approved 25/02/2020
(Received &amp; Registered by NSC 2/3/2020)</t>
  </si>
  <si>
    <t>Building Work: 
Noosa Building Certifiers
Approval No. 20190375</t>
  </si>
  <si>
    <t>Aaron &amp; Kasey Paterson</t>
  </si>
  <si>
    <t>1 Carter Court 
TEWANTIN QLD 4565</t>
  </si>
  <si>
    <t>Lot 149 RP 220669</t>
  </si>
  <si>
    <r>
      <rPr>
        <b/>
        <sz val="10"/>
        <color rgb="FF0000FF"/>
        <rFont val="Arial"/>
        <family val="2"/>
      </rPr>
      <t xml:space="preserve">N </t>
    </r>
    <r>
      <rPr>
        <b/>
        <sz val="10"/>
        <rFont val="Arial"/>
        <family val="2"/>
      </rPr>
      <t xml:space="preserve">1090
</t>
    </r>
    <r>
      <rPr>
        <b/>
        <sz val="10"/>
        <color rgb="FF0000FF"/>
        <rFont val="Arial"/>
        <family val="2"/>
      </rPr>
      <t>STAGE CTS 600</t>
    </r>
    <r>
      <rPr>
        <b/>
        <sz val="10"/>
        <rFont val="Arial"/>
        <family val="2"/>
      </rPr>
      <t xml:space="preserve">
</t>
    </r>
    <r>
      <rPr>
        <sz val="10"/>
        <color rgb="FF0000FF"/>
        <rFont val="Arial"/>
        <family val="2"/>
      </rPr>
      <t xml:space="preserve">+
05/1133 Contributions &amp; IC 647 in PSP+ICP spreadsheet. 
+ 
N 1147 re MCU15/0109.03 </t>
    </r>
  </si>
  <si>
    <r>
      <rPr>
        <strike/>
        <sz val="10"/>
        <rFont val="Arial"/>
        <family val="2"/>
      </rPr>
      <t>AICS 2016</t>
    </r>
    <r>
      <rPr>
        <sz val="10"/>
        <rFont val="Arial"/>
        <family val="2"/>
      </rPr>
      <t xml:space="preserve">
Planning Reg </t>
    </r>
    <r>
      <rPr>
        <strike/>
        <sz val="10"/>
        <rFont val="Arial"/>
        <family val="2"/>
      </rPr>
      <t>2017-2018</t>
    </r>
    <r>
      <rPr>
        <sz val="10"/>
        <rFont val="Arial"/>
        <family val="2"/>
      </rPr>
      <t xml:space="preserve">
</t>
    </r>
    <r>
      <rPr>
        <sz val="10"/>
        <color rgb="FF0000FF"/>
        <rFont val="Arial"/>
        <family val="2"/>
      </rPr>
      <t>2018-2019</t>
    </r>
  </si>
  <si>
    <r>
      <rPr>
        <b/>
        <sz val="10"/>
        <color rgb="FF0000FF"/>
        <rFont val="Arial"/>
        <family val="2"/>
      </rPr>
      <t xml:space="preserve">N </t>
    </r>
    <r>
      <rPr>
        <b/>
        <sz val="10"/>
        <rFont val="Arial"/>
        <family val="2"/>
      </rPr>
      <t xml:space="preserve">1147
</t>
    </r>
    <r>
      <rPr>
        <b/>
        <sz val="10"/>
        <color rgb="FF0000FF"/>
        <rFont val="Arial"/>
        <family val="2"/>
      </rPr>
      <t xml:space="preserve">(Stage CTS 600 Balance)
</t>
    </r>
    <r>
      <rPr>
        <sz val="10"/>
        <color rgb="FF0000FF"/>
        <rFont val="Arial"/>
        <family val="2"/>
      </rPr>
      <t xml:space="preserve">+
N1090 + 05/1133 Contributions &amp; IC 647 in PSP+ICP spreadsheet. </t>
    </r>
    <r>
      <rPr>
        <b/>
        <sz val="10"/>
        <rFont val="Arial"/>
        <family val="2"/>
      </rPr>
      <t xml:space="preserve">
</t>
    </r>
    <r>
      <rPr>
        <b/>
        <sz val="10"/>
        <color rgb="FF0000FF"/>
        <rFont val="Arial"/>
        <family val="2"/>
      </rPr>
      <t/>
    </r>
  </si>
  <si>
    <r>
      <rPr>
        <b/>
        <sz val="10"/>
        <color rgb="FF0000FF"/>
        <rFont val="Arial"/>
        <family val="2"/>
      </rPr>
      <t xml:space="preserve">N </t>
    </r>
    <r>
      <rPr>
        <b/>
        <sz val="10"/>
        <rFont val="Arial"/>
        <family val="2"/>
      </rPr>
      <t xml:space="preserve">1523
</t>
    </r>
    <r>
      <rPr>
        <sz val="10"/>
        <rFont val="Arial"/>
        <family val="2"/>
      </rPr>
      <t xml:space="preserve">
</t>
    </r>
    <r>
      <rPr>
        <sz val="10"/>
        <color rgb="FFFF0000"/>
        <rFont val="Arial"/>
        <family val="2"/>
      </rPr>
      <t>DUE 20 MARCH 2020</t>
    </r>
  </si>
  <si>
    <t>MARCH 2020
Total =</t>
  </si>
  <si>
    <t>D151104</t>
  </si>
  <si>
    <t xml:space="preserve">PC16/0310
Change Issued: 26/02/2020 Final Inspection Cert 27/04/2018
</t>
  </si>
  <si>
    <r>
      <rPr>
        <b/>
        <sz val="10"/>
        <color rgb="FF0000FF"/>
        <rFont val="Arial"/>
        <family val="2"/>
      </rPr>
      <t xml:space="preserve">N </t>
    </r>
    <r>
      <rPr>
        <b/>
        <sz val="10"/>
        <rFont val="Arial"/>
        <family val="2"/>
      </rPr>
      <t xml:space="preserve">1129
</t>
    </r>
    <r>
      <rPr>
        <b/>
        <sz val="10"/>
        <color rgb="FF0000FF"/>
        <rFont val="Arial"/>
        <family val="2"/>
      </rPr>
      <t>+
 23120 DA PSP+ICP 
&amp; IA 25</t>
    </r>
    <r>
      <rPr>
        <sz val="10"/>
        <color rgb="FF0000FF"/>
        <rFont val="Arial"/>
        <family val="2"/>
      </rPr>
      <t xml:space="preserve"> (Stormwater &amp; PT)</t>
    </r>
    <r>
      <rPr>
        <b/>
        <sz val="10"/>
        <color rgb="FF0000FF"/>
        <rFont val="Arial"/>
        <family val="2"/>
      </rPr>
      <t xml:space="preserve">
</t>
    </r>
    <r>
      <rPr>
        <b/>
        <sz val="10"/>
        <color rgb="FFFF0000"/>
        <rFont val="Arial"/>
        <family val="2"/>
      </rPr>
      <t>REPLACED BY</t>
    </r>
    <r>
      <rPr>
        <sz val="10"/>
        <color rgb="FFFF0000"/>
        <rFont val="Arial"/>
        <family val="2"/>
      </rPr>
      <t xml:space="preserve">
</t>
    </r>
    <r>
      <rPr>
        <b/>
        <sz val="10"/>
        <color rgb="FFFF0000"/>
        <rFont val="Arial"/>
        <family val="2"/>
      </rPr>
      <t xml:space="preserve">alternative MCU16/0143 &amp; ICN.N1222
</t>
    </r>
    <r>
      <rPr>
        <sz val="10"/>
        <color rgb="FFFF0000"/>
        <rFont val="Arial"/>
        <family val="2"/>
      </rPr>
      <t>re PC19/0489 issued for Building Works</t>
    </r>
  </si>
  <si>
    <r>
      <rPr>
        <b/>
        <sz val="10"/>
        <color rgb="FF0000FF"/>
        <rFont val="Arial"/>
        <family val="2"/>
      </rPr>
      <t xml:space="preserve">N </t>
    </r>
    <r>
      <rPr>
        <b/>
        <sz val="10"/>
        <rFont val="Arial"/>
        <family val="2"/>
      </rPr>
      <t xml:space="preserve">1130
</t>
    </r>
    <r>
      <rPr>
        <b/>
        <sz val="10"/>
        <color rgb="FF0000FF"/>
        <rFont val="Arial"/>
        <family val="2"/>
      </rPr>
      <t xml:space="preserve">+
23176 DA PSP+ICP 
&amp; IA 24 </t>
    </r>
    <r>
      <rPr>
        <sz val="10"/>
        <color rgb="FF0000FF"/>
        <rFont val="Arial"/>
        <family val="2"/>
      </rPr>
      <t>(Stormwater &amp; PT)</t>
    </r>
    <r>
      <rPr>
        <b/>
        <sz val="10"/>
        <color rgb="FF0000FF"/>
        <rFont val="Arial"/>
        <family val="2"/>
      </rPr>
      <t xml:space="preserve">
</t>
    </r>
    <r>
      <rPr>
        <b/>
        <sz val="10"/>
        <color rgb="FFFF0000"/>
        <rFont val="Arial"/>
        <family val="2"/>
      </rPr>
      <t xml:space="preserve">REPLACED BY
alternative MCU16/0143 &amp; ICN.N1222
</t>
    </r>
    <r>
      <rPr>
        <sz val="10"/>
        <color rgb="FFFF0000"/>
        <rFont val="Arial"/>
        <family val="2"/>
      </rPr>
      <t>re PC19/0489 issued for Building Works</t>
    </r>
  </si>
  <si>
    <r>
      <t xml:space="preserve">132003.220653.7 
(23176 DA Extn)
</t>
    </r>
    <r>
      <rPr>
        <sz val="10"/>
        <color rgb="FFFF0000"/>
        <rFont val="Arial"/>
        <family val="2"/>
      </rPr>
      <t>REPLACED BY
alternative MCU16/0143 &amp; ICN.N1222
re PC19/0489 issued for Building Works</t>
    </r>
  </si>
  <si>
    <r>
      <t xml:space="preserve">132002.220611.5 
(23120 DA Extn)
</t>
    </r>
    <r>
      <rPr>
        <sz val="10"/>
        <color rgb="FFFF0000"/>
        <rFont val="Arial"/>
        <family val="2"/>
      </rPr>
      <t>REPLACED BY
alternative MCU16/0143 &amp; ICN.N1222
re PC19/0489 issued for Building Works</t>
    </r>
  </si>
  <si>
    <t>This Infrastructure Charge relates to the Public Parks &amp; Land for Community Facilities network that was previously incorrectly credited for the transfer of Public Esplanade &amp; Conservation Land donated without consideration under the "Deed in Respect of Conservation Land and Public Esplanade dated 16th August 2004" and "Deed of Novation dated 19th October 2005"</t>
  </si>
  <si>
    <r>
      <t xml:space="preserve">AIC for Missing Stormwater Network
</t>
    </r>
    <r>
      <rPr>
        <sz val="10"/>
        <color rgb="FFFF0000"/>
        <rFont val="Arial"/>
        <family val="2"/>
      </rPr>
      <t xml:space="preserve">
</t>
    </r>
    <r>
      <rPr>
        <b/>
        <sz val="10"/>
        <color rgb="FFFF0000"/>
        <rFont val="Arial"/>
        <family val="2"/>
      </rPr>
      <t>Originally Paid 6/12/2017 Rec: 1201086
REFUNDED 3/10/2018: Cheque: 042577 on Cancellation of OPW17/0195</t>
    </r>
  </si>
  <si>
    <r>
      <rPr>
        <b/>
        <sz val="10"/>
        <color rgb="FF0000FF"/>
        <rFont val="Arial"/>
        <family val="2"/>
      </rPr>
      <t xml:space="preserve">N </t>
    </r>
    <r>
      <rPr>
        <b/>
        <sz val="10"/>
        <rFont val="Arial"/>
        <family val="2"/>
      </rPr>
      <t xml:space="preserve">1071
</t>
    </r>
    <r>
      <rPr>
        <sz val="10"/>
        <rFont val="Arial"/>
        <family val="2"/>
      </rPr>
      <t xml:space="preserve">+
</t>
    </r>
    <r>
      <rPr>
        <sz val="10"/>
        <color rgb="FF0000FF"/>
        <rFont val="Arial"/>
        <family val="2"/>
      </rPr>
      <t xml:space="preserve"> ICP &amp; PSPs in original approval 06/2361
</t>
    </r>
    <r>
      <rPr>
        <b/>
        <sz val="10"/>
        <color rgb="FFFF0000"/>
        <rFont val="Arial"/>
        <family val="2"/>
      </rPr>
      <t xml:space="preserve">LAPSED per MC advice 23/07/2019
</t>
    </r>
    <r>
      <rPr>
        <sz val="10"/>
        <color rgb="FFFF0000"/>
        <rFont val="Arial"/>
        <family val="2"/>
      </rPr>
      <t>No extension and no works commenced. Alternative PC for house lodged</t>
    </r>
  </si>
  <si>
    <r>
      <rPr>
        <b/>
        <sz val="10"/>
        <color rgb="FF0000FF"/>
        <rFont val="Arial"/>
        <family val="2"/>
      </rPr>
      <t xml:space="preserve">N </t>
    </r>
    <r>
      <rPr>
        <b/>
        <sz val="10"/>
        <rFont val="Arial"/>
        <family val="2"/>
      </rPr>
      <t xml:space="preserve">1061
</t>
    </r>
    <r>
      <rPr>
        <b/>
        <sz val="10"/>
        <color rgb="FFFF0000"/>
        <rFont val="Arial"/>
        <family val="2"/>
      </rPr>
      <t xml:space="preserve">LAPSED per MC advice 23/07/2019
</t>
    </r>
    <r>
      <rPr>
        <sz val="10"/>
        <color rgb="FFFF0000"/>
        <rFont val="Arial"/>
        <family val="2"/>
      </rPr>
      <t>No extension and no works commenced</t>
    </r>
  </si>
  <si>
    <r>
      <t xml:space="preserve">321
</t>
    </r>
    <r>
      <rPr>
        <i/>
        <sz val="10"/>
        <color rgb="FFFF0000"/>
        <rFont val="Arial"/>
        <family val="2"/>
      </rPr>
      <t xml:space="preserve">MCAdvice 10/10/16 that approval will laspe as  not proceeding with duplex approval but building a house instead.
</t>
    </r>
    <r>
      <rPr>
        <sz val="10"/>
        <color rgb="FFFF0000"/>
        <rFont val="Arial"/>
        <family val="2"/>
      </rPr>
      <t xml:space="preserve">
</t>
    </r>
    <r>
      <rPr>
        <b/>
        <sz val="10"/>
        <color rgb="FFFF0000"/>
        <rFont val="Arial"/>
        <family val="2"/>
      </rPr>
      <t xml:space="preserve">LAPSED 10/10/2016 
</t>
    </r>
    <r>
      <rPr>
        <sz val="10"/>
        <color rgb="FFFF0000"/>
        <rFont val="Arial"/>
        <family val="2"/>
      </rPr>
      <t>Did not go ahead with Duplex (checked Mapping and there is a House over both lots.</t>
    </r>
  </si>
  <si>
    <t>SCIC Developments</t>
  </si>
  <si>
    <t xml:space="preserve">Lot 671 RP 225123 </t>
  </si>
  <si>
    <t>75 Southern Cross Parade
SUNRISE BEACH QLD 4567</t>
  </si>
  <si>
    <r>
      <rPr>
        <b/>
        <sz val="10"/>
        <color rgb="FF0000FF"/>
        <rFont val="Arial"/>
        <family val="2"/>
      </rPr>
      <t xml:space="preserve">N </t>
    </r>
    <r>
      <rPr>
        <b/>
        <sz val="10"/>
        <rFont val="Arial"/>
        <family val="2"/>
      </rPr>
      <t xml:space="preserve">1322
</t>
    </r>
    <r>
      <rPr>
        <sz val="10"/>
        <color rgb="FFFF0000"/>
        <rFont val="Arial"/>
        <family val="2"/>
      </rPr>
      <t xml:space="preserve">
PC19/0902 issued
CoC issued 19/12/2019
DUE 30 MARCH</t>
    </r>
  </si>
  <si>
    <t>D000152560</t>
  </si>
  <si>
    <t>D152797</t>
  </si>
  <si>
    <t>Multiple housing Type 2 Duplex - 2 x 3 bedroom units</t>
  </si>
  <si>
    <t>Will not lapse for change to existing</t>
  </si>
  <si>
    <t>51991.652.03
Approved 17/03/2020
Issued 18/03/2020</t>
  </si>
  <si>
    <t>Hotel Laguna 180/6 Hastings Street, 
NOOSA HEADS QLD 4567</t>
  </si>
  <si>
    <t>51991.652.02 - ICN.N1377 Paid on 5/10/2018 Receipt: 1211934
Option A = Entertainment and Dining Business Type 1 - Food and Beverages = 90m² gfa
+ Multiple housing type 4 = 1 x 1 bedroom unit</t>
  </si>
  <si>
    <t>Denise Burkitt</t>
  </si>
  <si>
    <t>PO Box 368
COOROY QLD 4563</t>
  </si>
  <si>
    <t>Lot 1 RP 169766</t>
  </si>
  <si>
    <t>111 Jorgensen Road
RIDGEWOOD QLD 4563</t>
  </si>
  <si>
    <r>
      <rPr>
        <b/>
        <sz val="10"/>
        <color rgb="FF0000FF"/>
        <rFont val="Arial"/>
        <family val="2"/>
      </rPr>
      <t xml:space="preserve">N </t>
    </r>
    <r>
      <rPr>
        <b/>
        <sz val="10"/>
        <rFont val="Arial"/>
        <family val="2"/>
      </rPr>
      <t xml:space="preserve">1484
</t>
    </r>
    <r>
      <rPr>
        <sz val="10"/>
        <color rgb="FFFF0000"/>
        <rFont val="Arial"/>
        <family val="2"/>
      </rPr>
      <t>Final Inspection issued 20/02/2020
DUE 30 MARCH</t>
    </r>
  </si>
  <si>
    <t>$2,000 Part Pmt</t>
  </si>
  <si>
    <t>$2,000 Part Pre-Payment 13/12/2019</t>
  </si>
  <si>
    <t>MARCH 2020 Total =</t>
  </si>
  <si>
    <t xml:space="preserve">Dec </t>
  </si>
  <si>
    <t>51901.3604.02</t>
  </si>
  <si>
    <t>JDBA Certifiers</t>
  </si>
  <si>
    <t>PO Box 1365
MOOLOOLABA QLD 4557</t>
  </si>
  <si>
    <t>Lot 0 BUP 4076</t>
  </si>
  <si>
    <t>Culgoa Point 5 Quamby Place,
NOOSA HEADS QLD 4567</t>
  </si>
  <si>
    <t>Commercial business• Type 1 Office = 110m² gfa
No change to the existing impervious area</t>
  </si>
  <si>
    <t>Commercial business• Type 1 Office = 83m² gfa</t>
  </si>
  <si>
    <r>
      <rPr>
        <b/>
        <sz val="10"/>
        <color rgb="FF0000FF"/>
        <rFont val="Arial"/>
        <family val="2"/>
      </rPr>
      <t xml:space="preserve">N </t>
    </r>
    <r>
      <rPr>
        <b/>
        <sz val="10"/>
        <rFont val="Arial"/>
        <family val="2"/>
      </rPr>
      <t xml:space="preserve">1372
</t>
    </r>
    <r>
      <rPr>
        <sz val="10"/>
        <color rgb="FFFF0000"/>
        <rFont val="Arial"/>
        <family val="2"/>
      </rPr>
      <t xml:space="preserve">
Final Inspection Certificate issued 29/10/2019
DUE 30 MARCH</t>
    </r>
  </si>
  <si>
    <t>D155883</t>
  </si>
  <si>
    <t>D155886</t>
  </si>
  <si>
    <t>D155884</t>
  </si>
  <si>
    <t>ICN Total = $6,249.00 @ Planning Reg 2019-2020
In accordance with Council’s Organisational Policy “Delayed Staged Payments of Infrastructure Charges” (amended due to COVID-19 Business Support Initiatives dated 26 March 2020)</t>
  </si>
  <si>
    <t>ICN Total = $6,221.00 @ Planning Reg 2019-2020
In accordance with Council’s Organisational Policy “Delayed Staged Payments of Infrastructure Charges” (amended due to COVID-19 Business Support Initiatives dated 26 March 2020)</t>
  </si>
  <si>
    <r>
      <t xml:space="preserve">RAB17/0093
</t>
    </r>
    <r>
      <rPr>
        <sz val="10"/>
        <color rgb="FFFF5050"/>
        <rFont val="Arial"/>
        <family val="2"/>
      </rPr>
      <t>ICN Total = $6,221.00 @ Planning Reg 2019-2020
In accordance with Council’s Organisational Policy “Delayed Staged Payments of Infrastructure Charges” (amended due to COVID-19 Business Support Initiatives dated 26 March 2020)</t>
    </r>
  </si>
  <si>
    <t>CPI Dec 2019
(Amended COVID-19)</t>
  </si>
  <si>
    <t xml:space="preserve">Staged Payment No 5
With Property Owner
</t>
  </si>
  <si>
    <t>In accordance with Council’s COVID-19 Business Support Initiatives dated 26 March 2020 to defer infrastructure charges until July 2021, with no interest payments applied.</t>
  </si>
  <si>
    <r>
      <t xml:space="preserve">Amended to remove Stormwater component per Council Decision OM 20/09/2018 = $5,500.00
Stormwater not applicable for Development outside PIA per LGIP
</t>
    </r>
    <r>
      <rPr>
        <sz val="10"/>
        <color rgb="FFFF0000"/>
        <rFont val="Arial"/>
        <family val="2"/>
      </rPr>
      <t>IA#90 Staged Payment Agreement approved 8/10/2019 including Admin fee
(amended due to COVID-19 Business Support Initiatives dated 26 March 2020)</t>
    </r>
  </si>
  <si>
    <r>
      <t xml:space="preserve">Staged Payment Agreement IA 90 incl 5% admin fee
Approved 30 August 2019
</t>
    </r>
    <r>
      <rPr>
        <sz val="10"/>
        <color rgb="FFFF0000"/>
        <rFont val="Arial"/>
        <family val="2"/>
      </rPr>
      <t>(amended due to COVID-19 Business Support Initiatives dated 26 March 2020)</t>
    </r>
  </si>
  <si>
    <t>D156599</t>
  </si>
  <si>
    <t>APRIL 2020
Total =</t>
  </si>
  <si>
    <r>
      <rPr>
        <strike/>
        <sz val="10"/>
        <rFont val="Arial"/>
        <family val="2"/>
      </rPr>
      <t>C/- Pacific BCQ
PO Box 1901
NOOSAVILLE BC  QLD  4566</t>
    </r>
    <r>
      <rPr>
        <sz val="10"/>
        <rFont val="Arial"/>
        <family val="2"/>
      </rPr>
      <t xml:space="preserve">
</t>
    </r>
    <r>
      <rPr>
        <sz val="10"/>
        <color rgb="FFFF0000"/>
        <rFont val="Arial"/>
        <family val="2"/>
      </rPr>
      <t>35 Outlook Dr 
TEWANTIN QLD 4565</t>
    </r>
  </si>
  <si>
    <r>
      <rPr>
        <strike/>
        <sz val="10"/>
        <rFont val="Arial"/>
        <family val="2"/>
      </rPr>
      <t>KA &amp; SG Gifford-Huckstep</t>
    </r>
    <r>
      <rPr>
        <sz val="10"/>
        <rFont val="Arial"/>
        <family val="2"/>
      </rPr>
      <t xml:space="preserve">
</t>
    </r>
    <r>
      <rPr>
        <sz val="10"/>
        <color rgb="FFFF0000"/>
        <rFont val="Arial"/>
        <family val="2"/>
      </rPr>
      <t>NEW PROPERTY OWNER
JA Palmer-Gabe &amp; MWV Gabe 
35 Outlook Dr 
TEWANTIN QLD 4565</t>
    </r>
  </si>
  <si>
    <r>
      <t xml:space="preserve">Final Inspection Cert issued 18/04/2018
STAGED PAYMENT AGREEMENTS DATED 12/03/2019
</t>
    </r>
    <r>
      <rPr>
        <sz val="10"/>
        <color rgb="FFFF0000"/>
        <rFont val="Arial"/>
        <family val="2"/>
      </rPr>
      <t>(Amended due to COVID-19 Business Support Initiative dated 26 March 2020)</t>
    </r>
  </si>
  <si>
    <r>
      <t xml:space="preserve">29 Tait St (Lot 3 RP 149498) only relates to a stormwater easement &amp; is therefore not included in the calculation.
</t>
    </r>
    <r>
      <rPr>
        <b/>
        <sz val="10"/>
        <color rgb="FF0000FF"/>
        <rFont val="Arial"/>
        <family val="2"/>
      </rPr>
      <t>NEGOTIATED CHARGE</t>
    </r>
    <r>
      <rPr>
        <sz val="10"/>
        <color rgb="FF0000FF"/>
        <rFont val="Arial"/>
        <family val="2"/>
      </rPr>
      <t xml:space="preserve"> payable per revised Staging Plan (Stage 1A = Nil, Stage 1B = 50% Stage 2 = 50%)
Amended by Court Judgment 19/07/2019 - Reduced by $150,000 in settlement of appeal</t>
    </r>
  </si>
  <si>
    <r>
      <t xml:space="preserve">29 Tait St (Lot 3 RP 149498) only relates to a stormwater easement &amp; is therefore not included in the calculation.
</t>
    </r>
    <r>
      <rPr>
        <b/>
        <sz val="10"/>
        <color rgb="FF0000FF"/>
        <rFont val="Arial"/>
        <family val="2"/>
      </rPr>
      <t xml:space="preserve">NEGOTIATED CHARGE </t>
    </r>
    <r>
      <rPr>
        <sz val="10"/>
        <color rgb="FF0000FF"/>
        <rFont val="Arial"/>
        <family val="2"/>
      </rPr>
      <t>payable per revised Staging Plan (Stage 1A = Nil, Stage 1B = 50% Stage 2 = 50%)
Amended by Court Judgment 19/07/2019 - Reduced by $150,000 in settlement of appeal</t>
    </r>
  </si>
  <si>
    <r>
      <t xml:space="preserve">Final Inspection Cert issued 18/01/2018
Staged Payment Agreement #78 dated 22/03/2019
</t>
    </r>
    <r>
      <rPr>
        <sz val="10"/>
        <color rgb="FFFF0000"/>
        <rFont val="Arial"/>
        <family val="2"/>
      </rPr>
      <t>(amended due to COVID-19 Business Support Initiatives dated 26 March 2020)</t>
    </r>
  </si>
  <si>
    <r>
      <t xml:space="preserve">Final Inspection Cert issued 21/06/2018
STAGED PAYMENT AGREEMENTS DATED 25/03/2019
</t>
    </r>
    <r>
      <rPr>
        <sz val="10"/>
        <color rgb="FFFF0000"/>
        <rFont val="Arial"/>
        <family val="2"/>
      </rPr>
      <t>(Amended due to COVID-19 Business Support Initiative dated 26 March 2020)</t>
    </r>
  </si>
  <si>
    <r>
      <t xml:space="preserve">Final Inspection Cert issued 08/06/2018
Staged Payment Agreement IA#80 dated 26/03/2019
</t>
    </r>
    <r>
      <rPr>
        <sz val="10"/>
        <color rgb="FFFF0000"/>
        <rFont val="Arial"/>
        <family val="2"/>
      </rPr>
      <t>Underpayments 2 &amp; 3 addted to Stg Pmt 4
 (amended due to COVID-19 Business Support Initiatives dated 26 March 2020)</t>
    </r>
  </si>
  <si>
    <r>
      <t xml:space="preserve">Final Inspection Cert issued 08/06/2018
Staged Payment Agreement IA#80 dated 26/03/2019 
</t>
    </r>
    <r>
      <rPr>
        <sz val="10"/>
        <color rgb="FFFF0000"/>
        <rFont val="Arial"/>
        <family val="2"/>
      </rPr>
      <t>(amended due to COVID-19 Business Support Initiatives dated 26 March 2020)</t>
    </r>
  </si>
  <si>
    <r>
      <t xml:space="preserve">Final Inspection Cert issued 18/05/2018
Staged Payment Agreement #81 dated 28/03/2019
</t>
    </r>
    <r>
      <rPr>
        <sz val="10"/>
        <color rgb="FFFF0000"/>
        <rFont val="Arial"/>
        <family val="2"/>
      </rPr>
      <t>(amended due to COVID-19 Business Support Initiatives dated 26 March 2020)</t>
    </r>
  </si>
  <si>
    <t>(Amended due to COVID-19 Business Support Initiative dated 26 March 2020)</t>
  </si>
  <si>
    <r>
      <t xml:space="preserve">$2 overpayment stge pmt 1 now deducted from final stg pmt 4 = $1 deducted from transport &amp; parks 
</t>
    </r>
    <r>
      <rPr>
        <sz val="10"/>
        <color rgb="FFFF0000"/>
        <rFont val="Arial"/>
        <family val="2"/>
      </rPr>
      <t>(Amended due to COVID-19 Business Support Initiative dated 26 March 2020)</t>
    </r>
  </si>
  <si>
    <r>
      <t xml:space="preserve">Final Inspection Cert issued 14/12/2018
STAGED PAYMENT AGREEMENT DATED 30/04/2019
</t>
    </r>
    <r>
      <rPr>
        <sz val="10"/>
        <color rgb="FFFF0000"/>
        <rFont val="Arial"/>
        <family val="2"/>
      </rPr>
      <t>(Amended due to COVID-19 Business Support Initiative dated 26 March 2020)</t>
    </r>
  </si>
  <si>
    <r>
      <t xml:space="preserve">Staged Payment Agreement dated 21 May 2019
</t>
    </r>
    <r>
      <rPr>
        <sz val="10"/>
        <color rgb="FFFF0000"/>
        <rFont val="Arial"/>
        <family val="2"/>
      </rPr>
      <t>(Amended due to COVID-19 Business Support Initiative dated 26 March 2020)</t>
    </r>
  </si>
  <si>
    <r>
      <t xml:space="preserve">Staged Payment Agreement dated 21 May 2019
</t>
    </r>
    <r>
      <rPr>
        <sz val="10"/>
        <color rgb="FFFF0000"/>
        <rFont val="Arial"/>
        <family val="2"/>
      </rPr>
      <t>Underpayment from Stg Pmt 2 = $20 included pmt 3</t>
    </r>
    <r>
      <rPr>
        <sz val="10"/>
        <color rgb="FF0000FF"/>
        <rFont val="Arial"/>
        <family val="2"/>
      </rPr>
      <t xml:space="preserve">
</t>
    </r>
    <r>
      <rPr>
        <sz val="10"/>
        <color rgb="FFFF0000"/>
        <rFont val="Arial"/>
        <family val="2"/>
      </rPr>
      <t>(Amended due to COVID-19 Business Support Initiative dated 26 March 2020)</t>
    </r>
  </si>
  <si>
    <r>
      <t xml:space="preserve">MCU17/0028
</t>
    </r>
    <r>
      <rPr>
        <sz val="10"/>
        <color rgb="FFFF0000"/>
        <rFont val="Arial"/>
        <family val="2"/>
      </rPr>
      <t>(PC19/0636 issued)</t>
    </r>
  </si>
  <si>
    <r>
      <t xml:space="preserve">MCU16/0117
</t>
    </r>
    <r>
      <rPr>
        <sz val="10"/>
        <color rgb="FFFF0000"/>
        <rFont val="Arial"/>
        <family val="2"/>
      </rPr>
      <t>(PC19/0048 issued)</t>
    </r>
  </si>
  <si>
    <r>
      <t xml:space="preserve">The Infrastructure Charge has been calculated and based ONLY on the ADDITIONAL Development to that lawfully existing on site.
</t>
    </r>
    <r>
      <rPr>
        <sz val="10"/>
        <color rgb="FFFF0000"/>
        <rFont val="Arial"/>
        <family val="2"/>
      </rPr>
      <t>In accordance with Council’s COVID-19 Business Support Initiatives dated 26 March 2020 to defer infrastructure charges until July 2021, with no interest payments applied.</t>
    </r>
  </si>
  <si>
    <t>part Paid $412.00 6/04/2020 receipt D157280</t>
  </si>
  <si>
    <t>D157280</t>
  </si>
  <si>
    <t xml:space="preserve">
Includes $20 deduction from Stg Pmt 3 overpayment </t>
  </si>
  <si>
    <r>
      <rPr>
        <b/>
        <sz val="10"/>
        <color rgb="FF0000FF"/>
        <rFont val="Arial"/>
        <family val="2"/>
      </rPr>
      <t xml:space="preserve">N </t>
    </r>
    <r>
      <rPr>
        <b/>
        <sz val="10"/>
        <rFont val="Arial"/>
        <family val="2"/>
      </rPr>
      <t>1211
IA#81</t>
    </r>
    <r>
      <rPr>
        <sz val="10"/>
        <color rgb="FFFF0000"/>
        <rFont val="Arial"/>
        <family val="2"/>
      </rPr>
      <t xml:space="preserve">
</t>
    </r>
    <r>
      <rPr>
        <b/>
        <sz val="10"/>
        <color rgb="FFFF0000"/>
        <rFont val="Arial"/>
        <family val="2"/>
      </rPr>
      <t xml:space="preserve">Staged Pmt No 4
DUE 15 JUNE 2021
</t>
    </r>
    <r>
      <rPr>
        <sz val="10"/>
        <color rgb="FFFF0000"/>
        <rFont val="Arial"/>
        <family val="2"/>
      </rPr>
      <t xml:space="preserve"> but prior to any sale of property</t>
    </r>
  </si>
  <si>
    <r>
      <rPr>
        <b/>
        <sz val="10"/>
        <color rgb="FF0000FF"/>
        <rFont val="Arial"/>
        <family val="2"/>
      </rPr>
      <t xml:space="preserve">N </t>
    </r>
    <r>
      <rPr>
        <b/>
        <sz val="10"/>
        <rFont val="Arial"/>
        <family val="2"/>
      </rPr>
      <t xml:space="preserve">1194
</t>
    </r>
    <r>
      <rPr>
        <i/>
        <sz val="10"/>
        <color rgb="FF0000FF"/>
        <rFont val="Arial"/>
        <family val="2"/>
      </rPr>
      <t>PC20/0307</t>
    </r>
  </si>
  <si>
    <r>
      <rPr>
        <b/>
        <sz val="10"/>
        <color rgb="FF0000FF"/>
        <rFont val="Arial"/>
        <family val="2"/>
      </rPr>
      <t xml:space="preserve">N </t>
    </r>
    <r>
      <rPr>
        <b/>
        <sz val="10"/>
        <rFont val="Arial"/>
        <family val="2"/>
      </rPr>
      <t xml:space="preserve">1388
</t>
    </r>
    <r>
      <rPr>
        <i/>
        <sz val="10"/>
        <color rgb="FFFF0000"/>
        <rFont val="Arial"/>
        <family val="2"/>
      </rPr>
      <t>(PC19/1424 Issued)</t>
    </r>
  </si>
  <si>
    <r>
      <rPr>
        <strike/>
        <sz val="10"/>
        <rFont val="Arial"/>
        <family val="2"/>
      </rPr>
      <t>10/02/2018</t>
    </r>
    <r>
      <rPr>
        <sz val="10"/>
        <rFont val="Arial"/>
        <family val="2"/>
      </rPr>
      <t xml:space="preserve">
</t>
    </r>
    <r>
      <rPr>
        <sz val="10"/>
        <color rgb="FF0000FF"/>
        <rFont val="Arial"/>
        <family val="2"/>
      </rPr>
      <t>12/02/2020
will not lapse due to 
stage 1 completion</t>
    </r>
  </si>
  <si>
    <r>
      <t>23/03/2006</t>
    </r>
    <r>
      <rPr>
        <sz val="8"/>
        <rFont val="Arial"/>
        <family val="2"/>
      </rPr>
      <t xml:space="preserve">
</t>
    </r>
    <r>
      <rPr>
        <strike/>
        <sz val="8"/>
        <rFont val="Arial"/>
        <family val="2"/>
      </rPr>
      <t>21/4/2010</t>
    </r>
    <r>
      <rPr>
        <sz val="8"/>
        <rFont val="Arial"/>
        <family val="2"/>
      </rPr>
      <t xml:space="preserve">
</t>
    </r>
    <r>
      <rPr>
        <strike/>
        <sz val="8"/>
        <color rgb="FF0000FF"/>
        <rFont val="Arial"/>
        <family val="2"/>
      </rPr>
      <t>30/05/2014</t>
    </r>
    <r>
      <rPr>
        <sz val="8"/>
        <color rgb="FF0000FF"/>
        <rFont val="Arial"/>
        <family val="2"/>
      </rPr>
      <t xml:space="preserve">
</t>
    </r>
    <r>
      <rPr>
        <strike/>
        <sz val="8"/>
        <color rgb="FF0000FF"/>
        <rFont val="Arial"/>
        <family val="2"/>
      </rPr>
      <t>04/02/2016</t>
    </r>
    <r>
      <rPr>
        <sz val="8"/>
        <color rgb="FF0000FF"/>
        <rFont val="Arial"/>
        <family val="2"/>
      </rPr>
      <t xml:space="preserve">
19/03/2018</t>
    </r>
    <r>
      <rPr>
        <sz val="8"/>
        <rFont val="Arial"/>
        <family val="2"/>
      </rPr>
      <t xml:space="preserve">
</t>
    </r>
  </si>
  <si>
    <r>
      <t>23/03/2010</t>
    </r>
    <r>
      <rPr>
        <sz val="8"/>
        <rFont val="Arial"/>
        <family val="2"/>
      </rPr>
      <t xml:space="preserve">
</t>
    </r>
    <r>
      <rPr>
        <strike/>
        <sz val="8"/>
        <rFont val="Arial"/>
        <family val="2"/>
      </rPr>
      <t>23/3/2012</t>
    </r>
    <r>
      <rPr>
        <sz val="8"/>
        <rFont val="Arial"/>
        <family val="2"/>
      </rPr>
      <t xml:space="preserve">
</t>
    </r>
    <r>
      <rPr>
        <strike/>
        <sz val="8"/>
        <color rgb="FF0000FF"/>
        <rFont val="Arial"/>
        <family val="2"/>
      </rPr>
      <t>13/10/2012</t>
    </r>
    <r>
      <rPr>
        <sz val="8"/>
        <color rgb="FF0000FF"/>
        <rFont val="Arial"/>
        <family val="2"/>
      </rPr>
      <t xml:space="preserve">
</t>
    </r>
    <r>
      <rPr>
        <strike/>
        <sz val="8"/>
        <color rgb="FF0000FF"/>
        <rFont val="Arial"/>
        <family val="2"/>
      </rPr>
      <t>23/03/2014</t>
    </r>
    <r>
      <rPr>
        <sz val="8"/>
        <color rgb="FF0000FF"/>
        <rFont val="Arial"/>
        <family val="2"/>
      </rPr>
      <t xml:space="preserve">
</t>
    </r>
    <r>
      <rPr>
        <strike/>
        <sz val="8"/>
        <color rgb="FF0000FF"/>
        <rFont val="Arial"/>
        <family val="2"/>
      </rPr>
      <t>23/03/2016</t>
    </r>
    <r>
      <rPr>
        <sz val="8"/>
        <color rgb="FF0000FF"/>
        <rFont val="Arial"/>
        <family val="2"/>
      </rPr>
      <t xml:space="preserve">
</t>
    </r>
    <r>
      <rPr>
        <strike/>
        <sz val="8"/>
        <color rgb="FF0000FF"/>
        <rFont val="Arial"/>
        <family val="2"/>
      </rPr>
      <t>23/03/2018</t>
    </r>
    <r>
      <rPr>
        <sz val="8"/>
        <color rgb="FF0000FF"/>
        <rFont val="Arial"/>
        <family val="2"/>
      </rPr>
      <t xml:space="preserve">
23/03/2020</t>
    </r>
  </si>
  <si>
    <r>
      <t xml:space="preserve">148
</t>
    </r>
    <r>
      <rPr>
        <sz val="10"/>
        <color rgb="FFFF0000"/>
        <rFont val="Arial"/>
        <family val="2"/>
      </rPr>
      <t>Lapsed on 22/02/2020 per MC advice 14/04/2020</t>
    </r>
  </si>
  <si>
    <r>
      <t xml:space="preserve">Extn IA for Missing:
- Stormwater 
- Public Transport
</t>
    </r>
    <r>
      <rPr>
        <sz val="8"/>
        <color rgb="FFFF0000"/>
        <rFont val="Arial"/>
        <family val="2"/>
      </rPr>
      <t>LAPSED 23/03/2020 per MC &amp; Ant advice 14/04/2020</t>
    </r>
  </si>
  <si>
    <r>
      <t xml:space="preserve">Stormwater not applicable for Development outside PIA per LGIP
</t>
    </r>
    <r>
      <rPr>
        <sz val="10"/>
        <color rgb="FFFF0000"/>
        <rFont val="Arial"/>
        <family val="2"/>
      </rPr>
      <t>In accordance with Council’s COVID-19 Business Support Initiatives dated 26 March 2020 to defer infrastructure charges until July 2021, with no interest payments applied.</t>
    </r>
  </si>
  <si>
    <t>Less equiv credit paid under PSP &amp; ICP</t>
  </si>
  <si>
    <t>COUNCIL / Financial Year</t>
  </si>
  <si>
    <t>Unitywater 
Total</t>
  </si>
  <si>
    <t>Rebates</t>
  </si>
  <si>
    <t>Refunds</t>
  </si>
  <si>
    <t>OFFSET / Financial
Year</t>
  </si>
  <si>
    <t>REBATE / Financial
Year</t>
  </si>
  <si>
    <t>REFUND /
Financial
Year</t>
  </si>
  <si>
    <t>Council 
Total =</t>
  </si>
  <si>
    <t>Planning Regulation 2017-2018
11% COMPOUND INTEREST applied from 1/02/2018 to 21/05/2018</t>
  </si>
  <si>
    <t>Industrial Type 2 = 723 m2 gfa
+ Entertainment and dining business type (restaurant ) = 15 m2 gfa 
+ Ancillary dwelling unit = 1 x 1 bedroom
+ Impervious area = 1,357m2</t>
  </si>
  <si>
    <t>Exisiting Residential lots = 5</t>
  </si>
  <si>
    <t>Green Earth Homes</t>
  </si>
  <si>
    <t>C/- Emerge Planning &amp; Development
PO Box 830
MOFFAT BEACH QLD 4551</t>
  </si>
  <si>
    <t>Lot 114 RP 132135</t>
  </si>
  <si>
    <t>5 Ventura St 
SUNRISE BEACH QLD 4567</t>
  </si>
  <si>
    <t>RAL19/0030
Approved 14/04/2020
Issued 17/04/2021</t>
  </si>
  <si>
    <t>Mr PA Starkey</t>
  </si>
  <si>
    <t>212/61 Noosa Springs Dr
NOOSA HEADS QLD 4567</t>
  </si>
  <si>
    <t>Lot 4 on GTP 107028</t>
  </si>
  <si>
    <t xml:space="preserve">The Palms 
704/61 Noosa Springs Drive, Noosa Heads Qld 4567 </t>
  </si>
  <si>
    <t>Residential lots = 2</t>
  </si>
  <si>
    <t>Exisiting Residential lots = 1</t>
  </si>
  <si>
    <t>RAL19/0031
Approved 14/04/2020
Issued 20/04/2021</t>
  </si>
  <si>
    <t>DR Stuart &amp; M Page</t>
  </si>
  <si>
    <t>26 Jirrima Crescent, COOROIBAH QLD 4565</t>
  </si>
  <si>
    <t>Lot 78 RP 136461</t>
  </si>
  <si>
    <t>Building Work: 
Noosa Building Certifiers
Approval No. 20205087</t>
  </si>
  <si>
    <t>Kerrin Chapman</t>
  </si>
  <si>
    <t>133 Butler Street
TEWANTIN QLD 4565</t>
  </si>
  <si>
    <t>Lot 3 RP 887625</t>
  </si>
  <si>
    <t>PC20/0246
Approved 03/04/2020
(Received &amp; Registered by NSC 20/04/2020)</t>
  </si>
  <si>
    <t>Building Work: 
Coastal Building Certifications
Approval No. 3463734607</t>
  </si>
  <si>
    <t>Building Work: 
Coastal Building Certifications
Approval No. 34515</t>
  </si>
  <si>
    <t>Ole Sandvand</t>
  </si>
  <si>
    <t>28 Parakeet Crescent PEREGIAN BEACH QLD 4573</t>
  </si>
  <si>
    <t>Lot 275 P 93136</t>
  </si>
  <si>
    <t>Request 17/04/2020
ICN Total = $6,249.00 @ Planning Reg 2019-2020
In accordance with Council’s Organisational Policy “Delayed Staged Payments of Infrastructure Charges” (amended due to COVID-19 Business Support Initiatives dated 26 March 2020)</t>
  </si>
  <si>
    <t>Request 17/04/2020ICN Total = $6,249.00 @ Planning Reg 2019-2020
In accordance with Council’s Organisational Policy “Delayed Staged Payments of Infrastructure Charges” (amended due to COVID-19 Business Support Initiatives dated 26 March 2020)</t>
  </si>
  <si>
    <t>MCU19/0072
Approved 12/04/2020
Issued 20/04/2020</t>
  </si>
  <si>
    <t>S Willis &amp; I Willis</t>
  </si>
  <si>
    <t xml:space="preserve">C/- RG Strategic
PO Box 1818
NOOSA HEADS QLD 4567
</t>
  </si>
  <si>
    <t>Railway Rd 
POMONA QLD 4568</t>
  </si>
  <si>
    <t>Lot 1 SP 263777</t>
  </si>
  <si>
    <t>1 Dwelling House + 1 x 2 bed Ancillary Dwelling</t>
  </si>
  <si>
    <r>
      <rPr>
        <strike/>
        <sz val="10"/>
        <rFont val="Arial"/>
        <family val="2"/>
      </rPr>
      <t>20/12/2018</t>
    </r>
    <r>
      <rPr>
        <sz val="10"/>
        <rFont val="Arial"/>
        <family val="2"/>
      </rPr>
      <t xml:space="preserve">
</t>
    </r>
    <r>
      <rPr>
        <sz val="10"/>
        <color rgb="FF0000FF"/>
        <rFont val="Arial"/>
        <family val="2"/>
      </rPr>
      <t>19/03/2022</t>
    </r>
  </si>
  <si>
    <r>
      <t>1/09/2016</t>
    </r>
    <r>
      <rPr>
        <sz val="10"/>
        <rFont val="Arial"/>
        <family val="2"/>
      </rPr>
      <t xml:space="preserve">
</t>
    </r>
  </si>
  <si>
    <r>
      <t xml:space="preserve">REC16/0022
</t>
    </r>
    <r>
      <rPr>
        <sz val="10"/>
        <color rgb="FF0000FF"/>
        <rFont val="Arial"/>
        <family val="2"/>
      </rPr>
      <t xml:space="preserve">Extension to currency REC16/0022.01 </t>
    </r>
    <r>
      <rPr>
        <b/>
        <sz val="10"/>
        <color rgb="FF0000FF"/>
        <rFont val="Arial"/>
        <family val="2"/>
      </rPr>
      <t>issued 21/04/2020</t>
    </r>
  </si>
  <si>
    <t>132008.478.01 
Change 
Approved 20/04/2020
Issued 22/04/2020</t>
  </si>
  <si>
    <t>St Teresa's Catholic College
45 Sea Eagle Drive, NOOSAVILLE QLD 4565</t>
  </si>
  <si>
    <t>Education - 586 m2 additional gfa
+ 657 m2 additional impervious area</t>
  </si>
  <si>
    <t>n/a - additional to existing</t>
  </si>
  <si>
    <t>Lot 1 RP 155843</t>
  </si>
  <si>
    <t xml:space="preserve">48 Elm Street, 
COOROY QLD 4563 
</t>
  </si>
  <si>
    <t>Commercial Business Type 2 - medical = 270 m2 gfa
+ 575 m2 existing Impervious area</t>
  </si>
  <si>
    <r>
      <rPr>
        <b/>
        <sz val="10"/>
        <color rgb="FF0000FF"/>
        <rFont val="Arial"/>
        <family val="2"/>
      </rPr>
      <t xml:space="preserve">N </t>
    </r>
    <r>
      <rPr>
        <b/>
        <sz val="10"/>
        <rFont val="Arial"/>
        <family val="2"/>
      </rPr>
      <t xml:space="preserve">1373
</t>
    </r>
    <r>
      <rPr>
        <sz val="10"/>
        <color rgb="FFFF0000"/>
        <rFont val="Arial"/>
        <family val="2"/>
      </rPr>
      <t>Coc issued 09/03/2020
DUE 1 July 2021 
but prior to any sale of property</t>
    </r>
  </si>
  <si>
    <t>D159924</t>
  </si>
  <si>
    <t>MCU20/0003
Approved 23/04/2020
Issued 24/04/2020</t>
  </si>
  <si>
    <t xml:space="preserve">Brimstone Park Pty Ltd </t>
  </si>
  <si>
    <t>C/- Building Suncoast Green
6 Lorraine Ave
MARCOOLA QLD 4564</t>
  </si>
  <si>
    <t xml:space="preserve">Lot 46 RP 175113 </t>
  </si>
  <si>
    <t xml:space="preserve">48 Rene Street, 
NOOSAVILLE QLD 4566 
</t>
  </si>
  <si>
    <t xml:space="preserve">Industrial Business Type 2 Production = 484 m2 additional gfa
+
422m2 additional Impervious area </t>
  </si>
  <si>
    <r>
      <rPr>
        <b/>
        <sz val="10"/>
        <color rgb="FF0000FF"/>
        <rFont val="Arial"/>
        <family val="2"/>
      </rPr>
      <t xml:space="preserve">N </t>
    </r>
    <r>
      <rPr>
        <b/>
        <sz val="10"/>
        <rFont val="Arial"/>
        <family val="2"/>
      </rPr>
      <t>1532</t>
    </r>
    <r>
      <rPr>
        <b/>
        <sz val="10"/>
        <color rgb="FFFF0000"/>
        <rFont val="Arial"/>
        <family val="2"/>
      </rPr>
      <t xml:space="preserve">
</t>
    </r>
    <r>
      <rPr>
        <i/>
        <sz val="10"/>
        <color rgb="FFFF0000"/>
        <rFont val="Arial"/>
        <family val="2"/>
      </rPr>
      <t>(PC20/0112 Issued)</t>
    </r>
  </si>
  <si>
    <r>
      <rPr>
        <strike/>
        <sz val="8"/>
        <rFont val="Arial"/>
        <family val="2"/>
      </rPr>
      <t>21/06/2019</t>
    </r>
    <r>
      <rPr>
        <sz val="8"/>
        <rFont val="Arial"/>
        <family val="2"/>
      </rPr>
      <t xml:space="preserve">
12/08/2019</t>
    </r>
  </si>
  <si>
    <r>
      <rPr>
        <strike/>
        <sz val="8"/>
        <rFont val="Arial"/>
        <family val="2"/>
      </rPr>
      <t xml:space="preserve">Preliminary Approval </t>
    </r>
    <r>
      <rPr>
        <sz val="8"/>
        <rFont val="Arial"/>
        <family val="2"/>
      </rPr>
      <t xml:space="preserve">
Decision Notice</t>
    </r>
  </si>
  <si>
    <t>D160920</t>
  </si>
  <si>
    <t>MAY 2020
Total =</t>
  </si>
  <si>
    <r>
      <t xml:space="preserve">22/07/2020
</t>
    </r>
    <r>
      <rPr>
        <sz val="10"/>
        <color rgb="FF0000FF"/>
        <rFont val="Arial"/>
        <family val="2"/>
      </rPr>
      <t>will not lapse due to completion of Stage 1</t>
    </r>
  </si>
  <si>
    <r>
      <t xml:space="preserve">22/03/2020
</t>
    </r>
    <r>
      <rPr>
        <sz val="10"/>
        <color rgb="FF0000FF"/>
        <rFont val="Arial"/>
        <family val="2"/>
      </rPr>
      <t>will not lapse due to change to existing</t>
    </r>
  </si>
  <si>
    <t>MCU20/0002
Approved 30/04/2020
Issued 6/05/2020</t>
  </si>
  <si>
    <t>Davidson Property Trust No. 1 and No. 2</t>
  </si>
  <si>
    <t>Seven Flags 195 Weyba Rd NOOSAVILLE QLD 4566</t>
  </si>
  <si>
    <t>Lots 0, 1 &amp; 2 BUP 102401</t>
  </si>
  <si>
    <t>Commercial Business Type 1 Office = 340m2 gfa
+
Impervious area = 423 m2</t>
  </si>
  <si>
    <t>Existing Ground Level = 100m2 (Shop) 
+ Existing Upper Level = 161m2 (Restaurant) 
+
Existing Impervious area = 393 m2</t>
  </si>
  <si>
    <t>D161835</t>
  </si>
  <si>
    <t>MCU20/0033
Approved 6/05/2020
Issued 11/05/2020</t>
  </si>
  <si>
    <t>Mr KB Christensen Tte &amp; Mrs S Christensen Tte</t>
  </si>
  <si>
    <t>C/- EarthCert Pty Ltd
PO BOX 432
POMONA QLD 4568</t>
  </si>
  <si>
    <t xml:space="preserve">Lot 4 C 5605 </t>
  </si>
  <si>
    <t>Secondary dwelling (additional to existing house)</t>
  </si>
  <si>
    <r>
      <t>MCU18/0127
(</t>
    </r>
    <r>
      <rPr>
        <sz val="10"/>
        <color rgb="FF0000FF"/>
        <rFont val="Arial"/>
        <family val="2"/>
      </rPr>
      <t>PC19/1079 issued)</t>
    </r>
  </si>
  <si>
    <r>
      <t xml:space="preserve">MCU18/0137
</t>
    </r>
    <r>
      <rPr>
        <sz val="10"/>
        <color rgb="FF0000FF"/>
        <rFont val="Arial"/>
        <family val="2"/>
      </rPr>
      <t>(PC19/0250 issued)</t>
    </r>
  </si>
  <si>
    <r>
      <t xml:space="preserve">MCU19/0039
</t>
    </r>
    <r>
      <rPr>
        <sz val="10"/>
        <color rgb="FF0000FF"/>
        <rFont val="Arial"/>
        <family val="2"/>
      </rPr>
      <t>(PC19/1077 issued)</t>
    </r>
  </si>
  <si>
    <r>
      <t xml:space="preserve">DBW19/0023
</t>
    </r>
    <r>
      <rPr>
        <sz val="10"/>
        <color rgb="FF0000FF"/>
        <rFont val="Arial"/>
        <family val="2"/>
      </rPr>
      <t>(PC19/0904 issued)</t>
    </r>
  </si>
  <si>
    <r>
      <rPr>
        <b/>
        <sz val="10"/>
        <color rgb="FF0000FF"/>
        <rFont val="Arial"/>
        <family val="2"/>
      </rPr>
      <t xml:space="preserve">N </t>
    </r>
    <r>
      <rPr>
        <b/>
        <sz val="10"/>
        <rFont val="Arial"/>
        <family val="2"/>
      </rPr>
      <t xml:space="preserve">1400
</t>
    </r>
  </si>
  <si>
    <r>
      <t xml:space="preserve">MCU18/0120
</t>
    </r>
    <r>
      <rPr>
        <sz val="10"/>
        <color rgb="FF0000FF"/>
        <rFont val="Arial"/>
        <family val="2"/>
      </rPr>
      <t>(PC18/0443 issued)</t>
    </r>
  </si>
  <si>
    <r>
      <t xml:space="preserve">MCU17/0071
</t>
    </r>
    <r>
      <rPr>
        <sz val="10"/>
        <color rgb="FFFF0000"/>
        <rFont val="Arial"/>
        <family val="2"/>
      </rPr>
      <t>(PC19/1135 Issued)</t>
    </r>
  </si>
  <si>
    <r>
      <rPr>
        <b/>
        <sz val="10"/>
        <color rgb="FF0000FF"/>
        <rFont val="Arial"/>
        <family val="2"/>
      </rPr>
      <t xml:space="preserve">N </t>
    </r>
    <r>
      <rPr>
        <b/>
        <sz val="10"/>
        <rFont val="Arial"/>
        <family val="2"/>
      </rPr>
      <t xml:space="preserve">1275
</t>
    </r>
    <r>
      <rPr>
        <i/>
        <sz val="10"/>
        <color rgb="FFFF0000"/>
        <rFont val="Arial"/>
        <family val="2"/>
      </rPr>
      <t xml:space="preserve">CoC Issued 19/03/2020
</t>
    </r>
    <r>
      <rPr>
        <b/>
        <sz val="12"/>
        <color rgb="FFFF0000"/>
        <rFont val="Arial"/>
        <family val="2"/>
      </rPr>
      <t xml:space="preserve">DUE 1 July 2021 </t>
    </r>
    <r>
      <rPr>
        <sz val="10"/>
        <color rgb="FFFF0000"/>
        <rFont val="Arial"/>
        <family val="2"/>
      </rPr>
      <t xml:space="preserve">
but prior to any sale of property </t>
    </r>
  </si>
  <si>
    <r>
      <t xml:space="preserve">6/100 Rene Street
NOOSAVILLE QLD 4566
</t>
    </r>
    <r>
      <rPr>
        <sz val="10"/>
        <color rgb="FFFF0000"/>
        <rFont val="Arial"/>
        <family val="2"/>
      </rPr>
      <t>(Now applicable to unit 6A)</t>
    </r>
  </si>
  <si>
    <r>
      <t xml:space="preserve">05/1067 (DA)
132005.1067
</t>
    </r>
    <r>
      <rPr>
        <sz val="8"/>
        <color rgb="FF0000FF"/>
        <rFont val="Arial"/>
        <family val="2"/>
      </rPr>
      <t xml:space="preserve">(Extn: 132005.1067.04)
</t>
    </r>
    <r>
      <rPr>
        <sz val="8"/>
        <color rgb="FFFF0000"/>
        <rFont val="Arial"/>
        <family val="2"/>
      </rPr>
      <t>PC19/0030 - COC issued 9/04/2020</t>
    </r>
  </si>
  <si>
    <r>
      <t xml:space="preserve">Nil, However:
</t>
    </r>
    <r>
      <rPr>
        <sz val="10"/>
        <color rgb="FFFF0000"/>
        <rFont val="Arial"/>
        <family val="2"/>
      </rPr>
      <t xml:space="preserve">Paid contributions under original approval for ICP Roads, Pathways &amp; Parks &amp; Water Supply &amp; Sewerage.
</t>
    </r>
    <r>
      <rPr>
        <b/>
        <sz val="10"/>
        <color rgb="FFFF0000"/>
        <rFont val="Arial"/>
        <family val="2"/>
      </rPr>
      <t xml:space="preserve">But MISSING </t>
    </r>
    <r>
      <rPr>
        <sz val="10"/>
        <color rgb="FFFF0000"/>
        <rFont val="Arial"/>
        <family val="2"/>
      </rPr>
      <t>Transport (4% Public Transport) &amp; 100% Stormwater
42 x 1 bedroom dwellings + 25 x 2 bedroom dwellings</t>
    </r>
  </si>
  <si>
    <r>
      <t xml:space="preserve">IC 384
</t>
    </r>
    <r>
      <rPr>
        <sz val="8"/>
        <color rgb="FF0000FF"/>
        <rFont val="Arial"/>
        <family val="2"/>
      </rPr>
      <t>+
IA 15
    13/08/2013
+
ICN.N1259</t>
    </r>
  </si>
  <si>
    <t>Planning Reg 2019-2020 &amp; CPI Dec 19</t>
  </si>
  <si>
    <r>
      <t xml:space="preserve">132005.1067.04
</t>
    </r>
    <r>
      <rPr>
        <sz val="10"/>
        <color rgb="FFFF0000"/>
        <rFont val="Arial"/>
        <family val="2"/>
      </rPr>
      <t>(PC19/0030 issued)</t>
    </r>
  </si>
  <si>
    <t>Request dated 14/02/2020 to allow ICN part payment to be made via Security Bond Release.</t>
  </si>
  <si>
    <r>
      <rPr>
        <b/>
        <sz val="10"/>
        <color rgb="FF0000FF"/>
        <rFont val="Arial"/>
        <family val="2"/>
      </rPr>
      <t xml:space="preserve">N </t>
    </r>
    <r>
      <rPr>
        <b/>
        <sz val="10"/>
        <rFont val="Arial"/>
        <family val="2"/>
      </rPr>
      <t xml:space="preserve">1191
</t>
    </r>
    <r>
      <rPr>
        <sz val="10"/>
        <color rgb="FFFF0000"/>
        <rFont val="Arial"/>
        <family val="2"/>
      </rPr>
      <t xml:space="preserve">Completed per MC inspection advice 3/04/2020
</t>
    </r>
    <r>
      <rPr>
        <b/>
        <sz val="10"/>
        <color rgb="FFFF0000"/>
        <rFont val="Arial"/>
        <family val="2"/>
      </rPr>
      <t>PART PAYMENT</t>
    </r>
  </si>
  <si>
    <r>
      <t xml:space="preserve">Part Payment </t>
    </r>
    <r>
      <rPr>
        <i/>
        <sz val="10"/>
        <color rgb="FF0000FF"/>
        <rFont val="Arial"/>
        <family val="2"/>
      </rPr>
      <t>$18,500.00 via Bond Release BAGS006742 on 21/05/2020</t>
    </r>
  </si>
  <si>
    <r>
      <rPr>
        <b/>
        <sz val="10"/>
        <color rgb="FF0000FF"/>
        <rFont val="Arial"/>
        <family val="2"/>
      </rPr>
      <t xml:space="preserve">N </t>
    </r>
    <r>
      <rPr>
        <b/>
        <sz val="10"/>
        <rFont val="Arial"/>
        <family val="2"/>
      </rPr>
      <t xml:space="preserve">1191
</t>
    </r>
    <r>
      <rPr>
        <sz val="10"/>
        <color rgb="FFFF0000"/>
        <rFont val="Arial"/>
        <family val="2"/>
      </rPr>
      <t xml:space="preserve">Completed per MC inspection advice 3/04/2020 
</t>
    </r>
    <r>
      <rPr>
        <b/>
        <sz val="10"/>
        <color rgb="FFFF0000"/>
        <rFont val="Arial"/>
        <family val="2"/>
      </rPr>
      <t>BALANCE PAYMENT</t>
    </r>
  </si>
  <si>
    <t xml:space="preserve">BALANCE PAID 
</t>
  </si>
  <si>
    <r>
      <t xml:space="preserve">Request dated 14/02/2020 to allow ICN part payment to be made via $20,000 Security Bond Release when finalised.
</t>
    </r>
    <r>
      <rPr>
        <sz val="10"/>
        <color rgb="FF0000FF"/>
        <rFont val="Arial"/>
        <family val="2"/>
      </rPr>
      <t>Part Payment $18,500.00 via Bond Release BAGS006742 on 21/05/2020 receipt D000163561</t>
    </r>
  </si>
  <si>
    <t>D164173</t>
  </si>
  <si>
    <t>D163561</t>
  </si>
  <si>
    <r>
      <t xml:space="preserve">05/1062 (DA)
132005.1062
</t>
    </r>
    <r>
      <rPr>
        <sz val="8"/>
        <color rgb="FF0000FF"/>
        <rFont val="Arial"/>
        <family val="2"/>
      </rPr>
      <t>(Ext:</t>
    </r>
    <r>
      <rPr>
        <b/>
        <sz val="8"/>
        <rFont val="Arial"/>
        <family val="2"/>
      </rPr>
      <t xml:space="preserve"> </t>
    </r>
    <r>
      <rPr>
        <sz val="8"/>
        <color rgb="FF0000FF"/>
        <rFont val="Arial"/>
        <family val="2"/>
      </rPr>
      <t xml:space="preserve">132005.1062.04)
(Ext: 132005.1062.06)
</t>
    </r>
    <r>
      <rPr>
        <sz val="8"/>
        <color rgb="FFFF0000"/>
        <rFont val="Arial"/>
        <family val="2"/>
      </rPr>
      <t>(Ext: 132005.1062.07 Refused)</t>
    </r>
  </si>
  <si>
    <r>
      <rPr>
        <b/>
        <sz val="10"/>
        <color rgb="FF0000FF"/>
        <rFont val="Arial"/>
        <family val="2"/>
      </rPr>
      <t xml:space="preserve">N </t>
    </r>
    <r>
      <rPr>
        <b/>
        <sz val="10"/>
        <rFont val="Arial"/>
        <family val="2"/>
      </rPr>
      <t xml:space="preserve">1120
</t>
    </r>
    <r>
      <rPr>
        <b/>
        <sz val="10"/>
        <color rgb="FFFF0000"/>
        <rFont val="Arial"/>
        <family val="2"/>
      </rPr>
      <t>CONFIRMED LAPSED 27/05/2020</t>
    </r>
    <r>
      <rPr>
        <b/>
        <sz val="10"/>
        <rFont val="Arial"/>
        <family val="2"/>
      </rPr>
      <t xml:space="preserve">
</t>
    </r>
  </si>
  <si>
    <t>51987.2949.4 
Approved 21/05/2020
Issued 28/05/2020</t>
  </si>
  <si>
    <t>Change to existing will not lapse</t>
  </si>
  <si>
    <t>Nc Oliver Wholesalers Pty Ltd</t>
  </si>
  <si>
    <t>Lot 2 BUP 9411</t>
  </si>
  <si>
    <t>Unit 2 / 1 Morwong Drive NOOSA HEADS QLD 4567</t>
  </si>
  <si>
    <t>Multiple housing Type 4 Conventional =
 2 x 1 bedroom units</t>
  </si>
  <si>
    <t>Multiple housing Type 4 Conventional =
1 x 2 bedroom unit</t>
  </si>
  <si>
    <t>Retrospective approval for construction works undertaken in 2007/2008</t>
  </si>
  <si>
    <t>D164496</t>
  </si>
  <si>
    <t>MCU15/0085.01
Approved 01/06/2020
Issued 5/06/2020</t>
  </si>
  <si>
    <t>Laguna Property Corp Pty Ltd tte</t>
  </si>
  <si>
    <t xml:space="preserve">44 Nandroya Rd 
COOROYQLD 4563 </t>
  </si>
  <si>
    <t xml:space="preserve">Lot 2 RP 193949 </t>
  </si>
  <si>
    <t>Transport Type 3 - Depot = 
102m2 gfa additional
+ 138m2 impervious additional</t>
  </si>
  <si>
    <t>Part Paid 50% - 
Unit 2</t>
  </si>
  <si>
    <t>D16657
eProperty Payment Ref 95248</t>
  </si>
  <si>
    <t>JUNE 2020 Total =</t>
  </si>
  <si>
    <r>
      <rPr>
        <sz val="8"/>
        <color rgb="FF0000FF"/>
        <rFont val="Arial"/>
        <family val="2"/>
      </rPr>
      <t>Contributions Paid 30/05/2007 Receipts: 290997 &amp; 290998</t>
    </r>
    <r>
      <rPr>
        <b/>
        <sz val="8"/>
        <color rgb="FF0000FF"/>
        <rFont val="Arial"/>
        <family val="2"/>
      </rPr>
      <t xml:space="preserve">
</t>
    </r>
    <r>
      <rPr>
        <b/>
        <sz val="8"/>
        <color rgb="FFFF0000"/>
        <rFont val="Arial"/>
        <family val="2"/>
      </rPr>
      <t xml:space="preserve">ICP &amp; IA Remain  </t>
    </r>
    <r>
      <rPr>
        <b/>
        <sz val="8"/>
        <color rgb="FF0000FF"/>
        <rFont val="Arial"/>
        <family val="2"/>
      </rPr>
      <t xml:space="preserve">
</t>
    </r>
    <r>
      <rPr>
        <sz val="8"/>
        <color rgb="FF0000FF"/>
        <rFont val="Arial"/>
        <family val="2"/>
      </rPr>
      <t>+ Extn IA for Missing:
- Stormwater  
+ ICN.N1259 for missing Public Transport</t>
    </r>
    <r>
      <rPr>
        <b/>
        <sz val="8"/>
        <color rgb="FF0000FF"/>
        <rFont val="Arial"/>
        <family val="2"/>
      </rPr>
      <t xml:space="preserve">
</t>
    </r>
    <r>
      <rPr>
        <sz val="8"/>
        <color rgb="FFFF0000"/>
        <rFont val="Arial"/>
        <family val="2"/>
      </rPr>
      <t>PC19/0030 CoC issued 9/04/2020</t>
    </r>
    <r>
      <rPr>
        <b/>
        <sz val="10"/>
        <color rgb="FFFF0000"/>
        <rFont val="Arial Black"/>
        <family val="2"/>
      </rPr>
      <t/>
    </r>
  </si>
  <si>
    <r>
      <rPr>
        <sz val="8"/>
        <color rgb="FF0000FF"/>
        <rFont val="Arial"/>
        <family val="2"/>
      </rPr>
      <t>Contributions Paid 30/05/2007 Receipts: 290997 &amp; 290998</t>
    </r>
    <r>
      <rPr>
        <b/>
        <sz val="8"/>
        <color rgb="FF0000FF"/>
        <rFont val="Arial"/>
        <family val="2"/>
      </rPr>
      <t xml:space="preserve">
</t>
    </r>
    <r>
      <rPr>
        <b/>
        <sz val="8"/>
        <color rgb="FFFF0000"/>
        <rFont val="Arial"/>
        <family val="2"/>
      </rPr>
      <t xml:space="preserve">ICP &amp; IA Remain  </t>
    </r>
    <r>
      <rPr>
        <b/>
        <sz val="8"/>
        <color rgb="FF0000FF"/>
        <rFont val="Arial"/>
        <family val="2"/>
      </rPr>
      <t xml:space="preserve">
</t>
    </r>
    <r>
      <rPr>
        <sz val="8"/>
        <color rgb="FF0000FF"/>
        <rFont val="Arial"/>
        <family val="2"/>
      </rPr>
      <t>+ Extn IA for Missing:
- Stormwater  
+ ICN.N1259 for missing Public Transport</t>
    </r>
    <r>
      <rPr>
        <b/>
        <sz val="8"/>
        <color rgb="FF0000FF"/>
        <rFont val="Arial"/>
        <family val="2"/>
      </rPr>
      <t xml:space="preserve">
</t>
    </r>
    <r>
      <rPr>
        <sz val="8"/>
        <color rgb="FFFF0000"/>
        <rFont val="Arial"/>
        <family val="2"/>
      </rPr>
      <t>PC19/0030 CoC issued 9/04/2020</t>
    </r>
  </si>
  <si>
    <t>Balance Paid 50% - 
Unit 1</t>
  </si>
  <si>
    <r>
      <rPr>
        <b/>
        <sz val="10"/>
        <color rgb="FF0000FF"/>
        <rFont val="Arial"/>
        <family val="2"/>
      </rPr>
      <t xml:space="preserve">N </t>
    </r>
    <r>
      <rPr>
        <b/>
        <sz val="10"/>
        <rFont val="Arial"/>
        <family val="2"/>
      </rPr>
      <t xml:space="preserve">1259
</t>
    </r>
    <r>
      <rPr>
        <b/>
        <sz val="10"/>
        <color rgb="FF0000FF"/>
        <rFont val="Arial"/>
        <family val="2"/>
      </rPr>
      <t xml:space="preserve">+ &amp; IA 15 </t>
    </r>
    <r>
      <rPr>
        <sz val="10"/>
        <color rgb="FF0000FF"/>
        <rFont val="Arial"/>
        <family val="2"/>
      </rPr>
      <t xml:space="preserve">(Stormwater)
+ IC 384 (CMRNICP)
</t>
    </r>
    <r>
      <rPr>
        <sz val="10"/>
        <color rgb="FFFF0000"/>
        <rFont val="Arial"/>
        <family val="2"/>
      </rPr>
      <t xml:space="preserve">CoC issued 9/04/2020
</t>
    </r>
    <r>
      <rPr>
        <b/>
        <sz val="12"/>
        <color rgb="FFFF0000"/>
        <rFont val="Arial"/>
        <family val="2"/>
      </rPr>
      <t/>
    </r>
  </si>
  <si>
    <t>$162.00 Charge applies for Public Transport network missing from earlier approvals.
+IA15 Missing Stormwater = $956.00 at CPI Mar 13</t>
  </si>
  <si>
    <t>Balance Paid Unit 1</t>
  </si>
  <si>
    <t>Part Paid 
Unit 2</t>
  </si>
  <si>
    <t>JUNE 2020
Total =</t>
  </si>
  <si>
    <r>
      <t xml:space="preserve">Lot 108 on C5604
</t>
    </r>
    <r>
      <rPr>
        <b/>
        <sz val="10"/>
        <color rgb="FFFF0000"/>
        <rFont val="Arial"/>
        <family val="2"/>
      </rPr>
      <t xml:space="preserve">Plan Seal Now = Lot 1&amp;2 SP 316890
</t>
    </r>
  </si>
  <si>
    <r>
      <t xml:space="preserve">35 Tewantin Road, COOROY QLD 4563
</t>
    </r>
    <r>
      <rPr>
        <b/>
        <sz val="10"/>
        <color rgb="FFFF0000"/>
        <rFont val="Arial"/>
        <family val="2"/>
      </rPr>
      <t>Plan Seal Now also = 
14 Olivine Lane COOROY</t>
    </r>
  </si>
  <si>
    <t>Palm Lake Works Pty Ltd</t>
  </si>
  <si>
    <r>
      <t xml:space="preserve">Multiple Housing Type 3 Retirement &amp; Special needs = </t>
    </r>
    <r>
      <rPr>
        <strike/>
        <sz val="10"/>
        <rFont val="Arial"/>
        <family val="2"/>
      </rPr>
      <t xml:space="preserve">10 x equiv 3 bedroom units </t>
    </r>
    <r>
      <rPr>
        <sz val="10"/>
        <color rgb="FF0000FF"/>
        <rFont val="Arial"/>
        <family val="2"/>
      </rPr>
      <t>10 x 2 bedroom units</t>
    </r>
    <r>
      <rPr>
        <sz val="10"/>
        <rFont val="Arial"/>
        <family val="2"/>
      </rPr>
      <t xml:space="preserve">  </t>
    </r>
  </si>
  <si>
    <r>
      <rPr>
        <b/>
        <sz val="10"/>
        <color rgb="FF0000FF"/>
        <rFont val="Arial"/>
        <family val="2"/>
      </rPr>
      <t xml:space="preserve">N </t>
    </r>
    <r>
      <rPr>
        <b/>
        <sz val="10"/>
        <rFont val="Arial"/>
        <family val="2"/>
      </rPr>
      <t xml:space="preserve">1543
</t>
    </r>
    <r>
      <rPr>
        <b/>
        <sz val="10"/>
        <color rgb="FFFF0000"/>
        <rFont val="Arial"/>
        <family val="2"/>
      </rPr>
      <t xml:space="preserve">Development already completed  
</t>
    </r>
    <r>
      <rPr>
        <sz val="10"/>
        <color rgb="FFFF0000"/>
        <rFont val="Arial"/>
        <family val="2"/>
      </rPr>
      <t>Due 25 June 2020</t>
    </r>
  </si>
  <si>
    <t>D166803</t>
  </si>
  <si>
    <t>D166804</t>
  </si>
  <si>
    <r>
      <rPr>
        <b/>
        <sz val="10"/>
        <color rgb="FF0000FF"/>
        <rFont val="Arial"/>
        <family val="2"/>
      </rPr>
      <t xml:space="preserve">N </t>
    </r>
    <r>
      <rPr>
        <b/>
        <sz val="10"/>
        <rFont val="Arial"/>
        <family val="2"/>
      </rPr>
      <t xml:space="preserve">1457
</t>
    </r>
    <r>
      <rPr>
        <sz val="10"/>
        <color rgb="FFFF0000"/>
        <rFont val="Arial"/>
        <family val="2"/>
      </rPr>
      <t xml:space="preserve">
CoC issued 26/05/2020
DUE 26 JUNE</t>
    </r>
  </si>
  <si>
    <t>D167044</t>
  </si>
  <si>
    <r>
      <rPr>
        <b/>
        <sz val="10"/>
        <color rgb="FF0000FF"/>
        <rFont val="Arial"/>
        <family val="2"/>
      </rPr>
      <t xml:space="preserve">N </t>
    </r>
    <r>
      <rPr>
        <b/>
        <sz val="10"/>
        <rFont val="Arial"/>
        <family val="2"/>
      </rPr>
      <t xml:space="preserve">1116
</t>
    </r>
    <r>
      <rPr>
        <sz val="10"/>
        <color rgb="FFFF0000"/>
        <rFont val="Arial"/>
        <family val="2"/>
      </rPr>
      <t xml:space="preserve">(Plan Seal PS20/0022 Lodged)
</t>
    </r>
    <r>
      <rPr>
        <b/>
        <sz val="12"/>
        <color rgb="FFFF0000"/>
        <rFont val="Arial"/>
        <family val="2"/>
      </rPr>
      <t/>
    </r>
  </si>
  <si>
    <t>D167502</t>
  </si>
  <si>
    <r>
      <rPr>
        <b/>
        <sz val="10"/>
        <color rgb="FF0000FF"/>
        <rFont val="Arial"/>
        <family val="2"/>
      </rPr>
      <t xml:space="preserve">N </t>
    </r>
    <r>
      <rPr>
        <b/>
        <sz val="10"/>
        <rFont val="Arial"/>
        <family val="2"/>
      </rPr>
      <t>1246</t>
    </r>
    <r>
      <rPr>
        <sz val="10"/>
        <rFont val="Arial"/>
        <family val="2"/>
      </rPr>
      <t xml:space="preserve">
</t>
    </r>
    <r>
      <rPr>
        <sz val="10"/>
        <color rgb="FFFF0000"/>
        <rFont val="Arial"/>
        <family val="2"/>
      </rPr>
      <t>Final Inspeciton Cert 30/01/2020</t>
    </r>
    <r>
      <rPr>
        <sz val="10"/>
        <rFont val="Arial"/>
        <family val="2"/>
      </rPr>
      <t xml:space="preserve">
</t>
    </r>
    <r>
      <rPr>
        <sz val="10"/>
        <color rgb="FFFF0000"/>
        <rFont val="Arial"/>
        <family val="2"/>
      </rPr>
      <t xml:space="preserve">DUE 1 July 2021 
but prior to any sale of property </t>
    </r>
  </si>
  <si>
    <r>
      <t xml:space="preserve">Lot 102 C 5604
</t>
    </r>
    <r>
      <rPr>
        <sz val="10"/>
        <color rgb="FFFF0000"/>
        <rFont val="Arial"/>
        <family val="2"/>
      </rPr>
      <t xml:space="preserve">Plan Seal Now = </t>
    </r>
    <r>
      <rPr>
        <sz val="10"/>
        <rFont val="Arial"/>
        <family val="2"/>
      </rPr>
      <t xml:space="preserve">
</t>
    </r>
    <r>
      <rPr>
        <sz val="10"/>
        <color rgb="FFFF0000"/>
        <rFont val="Arial"/>
        <family val="2"/>
      </rPr>
      <t>Lot 1&amp;2 SP 313919</t>
    </r>
  </si>
  <si>
    <r>
      <t xml:space="preserve">23 Tewantin Road 
COOROY QLD 4563
</t>
    </r>
    <r>
      <rPr>
        <sz val="10"/>
        <color rgb="FFFF0000"/>
        <rFont val="Arial"/>
        <family val="2"/>
      </rPr>
      <t>Plan Seal Now also = 
2 Olivine Lane COOROY</t>
    </r>
  </si>
  <si>
    <r>
      <rPr>
        <b/>
        <sz val="10"/>
        <color rgb="FF0000FF"/>
        <rFont val="Arial"/>
        <family val="2"/>
      </rPr>
      <t xml:space="preserve">N </t>
    </r>
    <r>
      <rPr>
        <b/>
        <sz val="10"/>
        <rFont val="Arial"/>
        <family val="2"/>
      </rPr>
      <t xml:space="preserve">1197
</t>
    </r>
    <r>
      <rPr>
        <sz val="10"/>
        <color rgb="FF0000FF"/>
        <rFont val="Arial"/>
        <family val="2"/>
      </rPr>
      <t>IA 75 Breached</t>
    </r>
    <r>
      <rPr>
        <b/>
        <sz val="10"/>
        <color rgb="FFFF0000"/>
        <rFont val="Arial"/>
        <family val="2"/>
      </rPr>
      <t xml:space="preserve">
</t>
    </r>
    <r>
      <rPr>
        <sz val="10"/>
        <color rgb="FFFF0000"/>
        <rFont val="Arial"/>
        <family val="2"/>
      </rPr>
      <t>OVERDUE REMAINING
STAGED PAYMENT 4&amp;5
DUE 1 JULY 2021 
but prior to any sale of property</t>
    </r>
  </si>
  <si>
    <r>
      <t xml:space="preserve">Final Inspection Cert issued 26/03/2018
STAGED PAYMENT AGREEMENT DATED 12/03/2019
</t>
    </r>
    <r>
      <rPr>
        <sz val="10"/>
        <color rgb="FFFF0000"/>
        <rFont val="Arial"/>
        <family val="2"/>
      </rPr>
      <t>New property owned dated 2/12/2019 but remaining balances not paid on settlement of sale</t>
    </r>
    <r>
      <rPr>
        <sz val="10"/>
        <color rgb="FF0000FF"/>
        <rFont val="Arial"/>
        <family val="2"/>
      </rPr>
      <t xml:space="preserve">
</t>
    </r>
    <r>
      <rPr>
        <sz val="10"/>
        <color rgb="FFFF0000"/>
        <rFont val="Arial"/>
        <family val="2"/>
      </rPr>
      <t xml:space="preserve">(Amended due to COVID-19 Business Support Initiative dated 26 March 2020) </t>
    </r>
    <r>
      <rPr>
        <sz val="10"/>
        <color rgb="FF0000FF"/>
        <rFont val="Arial"/>
        <family val="2"/>
      </rPr>
      <t>Paid on 23/06/2020 by original property owner</t>
    </r>
  </si>
  <si>
    <t>D168572</t>
  </si>
  <si>
    <t>D168574</t>
  </si>
  <si>
    <t>MCU16/0084.04 
Approved 18/06/2020
Issued 23/06/2020</t>
  </si>
  <si>
    <t xml:space="preserve">Denmac Nominees Pty Ltd
</t>
  </si>
  <si>
    <t>Lot 2 on RP173876</t>
  </si>
  <si>
    <t>140-142 Eumundi Noosa Road,
NOOSAVILLE QLD 4566</t>
  </si>
  <si>
    <t>Entertainement &amp; Dining Business - Type 1 Food &amp; beverages = 17 m2 gfa (additional)
+ no change to existing impervious area</t>
  </si>
  <si>
    <r>
      <t xml:space="preserve">Stormwater reduction outside PIA
</t>
    </r>
    <r>
      <rPr>
        <sz val="10"/>
        <color rgb="FFFF0000"/>
        <rFont val="Arial"/>
        <family val="2"/>
      </rPr>
      <t>In accordance with Council’s COVID-19 Business Support Initiatives dated 26 March 2020 to defer infrastructure charges until July 2021, with no interest payments applied.</t>
    </r>
  </si>
  <si>
    <r>
      <rPr>
        <b/>
        <sz val="10"/>
        <color rgb="FF0000FF"/>
        <rFont val="Arial"/>
        <family val="2"/>
      </rPr>
      <t xml:space="preserve">N </t>
    </r>
    <r>
      <rPr>
        <b/>
        <sz val="10"/>
        <rFont val="Arial"/>
        <family val="2"/>
      </rPr>
      <t xml:space="preserve">1527
</t>
    </r>
    <r>
      <rPr>
        <sz val="10"/>
        <color rgb="FFFF0000"/>
        <rFont val="Arial"/>
        <family val="2"/>
      </rPr>
      <t>Final Inspection Certificate issued 11 June 2020
DUE 1 JULY 2021 but prior to any sale of property</t>
    </r>
  </si>
  <si>
    <t>D169367</t>
  </si>
  <si>
    <r>
      <rPr>
        <strike/>
        <sz val="10"/>
        <rFont val="Arial"/>
        <family val="2"/>
      </rPr>
      <t>30/05/2016</t>
    </r>
    <r>
      <rPr>
        <sz val="10"/>
        <rFont val="Arial"/>
        <family val="2"/>
      </rPr>
      <t xml:space="preserve">
</t>
    </r>
    <r>
      <rPr>
        <sz val="10"/>
        <color rgb="FF0000FF"/>
        <rFont val="Arial"/>
        <family val="2"/>
      </rPr>
      <t xml:space="preserve">30/05/2020
</t>
    </r>
    <r>
      <rPr>
        <sz val="10"/>
        <color rgb="FFFF0000"/>
        <rFont val="Arial"/>
        <family val="2"/>
      </rPr>
      <t>Extn TBA</t>
    </r>
  </si>
  <si>
    <r>
      <t xml:space="preserve">Extn IA for Missing:
- Stormwater 
- Public Transport
</t>
    </r>
    <r>
      <rPr>
        <b/>
        <sz val="8"/>
        <color rgb="FFFF0000"/>
        <rFont val="Arial"/>
        <family val="2"/>
      </rPr>
      <t>Extn application .07 REFUSED 21/05/2020 &amp;
Lapsed 17/06/2020</t>
    </r>
  </si>
  <si>
    <t xml:space="preserve">Change approval to Mulitple housing type 2 - duplex = 
2 x 3 bedroom units             </t>
  </si>
  <si>
    <t xml:space="preserve">Original approval paid for:
Mulitple housing type 2 - duplex = 
1 x 3 bedroom unit                                               + 1 x 2 bedroom unit                                    </t>
  </si>
  <si>
    <t>SARA MARIE TRITTON &amp;
PETER JOHN CAMERON LOXTON</t>
  </si>
  <si>
    <t>GPO Box 1040 
BRISBANE  QLD  4000</t>
  </si>
  <si>
    <t xml:space="preserve">Lot 2 RP 173874
</t>
  </si>
  <si>
    <t xml:space="preserve">20 Mitti St 
NOOSA HEADS  QLD  4567 </t>
  </si>
  <si>
    <t>Residential lots x = 2</t>
  </si>
  <si>
    <t>Exisiting Residential lots x 1</t>
  </si>
  <si>
    <t>JULY 2020
Total =</t>
  </si>
  <si>
    <t>D169986</t>
  </si>
  <si>
    <r>
      <rPr>
        <strike/>
        <sz val="10"/>
        <rFont val="Arial"/>
        <family val="2"/>
      </rPr>
      <t>15/01/2020</t>
    </r>
    <r>
      <rPr>
        <sz val="10"/>
        <rFont val="Arial"/>
        <family val="2"/>
      </rPr>
      <t xml:space="preserve">
</t>
    </r>
    <r>
      <rPr>
        <sz val="10"/>
        <color rgb="FF0000FF"/>
        <rFont val="Arial"/>
        <family val="2"/>
      </rPr>
      <t>3/07/2020</t>
    </r>
  </si>
  <si>
    <r>
      <t xml:space="preserve"> Retail Business - Type 2 Shop &amp; Salon = additional 362m2 </t>
    </r>
    <r>
      <rPr>
        <sz val="10"/>
        <color rgb="FF0000FF"/>
        <rFont val="Arial"/>
        <family val="2"/>
      </rPr>
      <t>+ 11m2 = 373 m2 gfa</t>
    </r>
    <r>
      <rPr>
        <sz val="10"/>
        <rFont val="Arial"/>
        <family val="2"/>
      </rPr>
      <t xml:space="preserve">
No change to existing impervious area</t>
    </r>
  </si>
  <si>
    <t>Minor Change adding a further 11m2 to mezzanine</t>
  </si>
  <si>
    <r>
      <t>MCU19/0088</t>
    </r>
    <r>
      <rPr>
        <sz val="10"/>
        <color rgb="FF0000FF"/>
        <rFont val="Arial"/>
        <family val="2"/>
      </rPr>
      <t>.01</t>
    </r>
    <r>
      <rPr>
        <sz val="10"/>
        <rFont val="Arial"/>
        <family val="2"/>
      </rPr>
      <t xml:space="preserve">
Approved &amp; Issued </t>
    </r>
    <r>
      <rPr>
        <strike/>
        <sz val="10"/>
        <rFont val="Arial"/>
        <family val="2"/>
      </rPr>
      <t>10/01/2020</t>
    </r>
    <r>
      <rPr>
        <sz val="10"/>
        <color rgb="FF0000FF"/>
        <rFont val="Arial"/>
        <family val="2"/>
      </rPr>
      <t xml:space="preserve"> 1&amp;3/07/2020</t>
    </r>
  </si>
  <si>
    <t>Building Work: 
Project B.A.
Approval No. 20201933</t>
  </si>
  <si>
    <t>Danielle Drake</t>
  </si>
  <si>
    <t>210 Edwards Street
SUNSHINE BEACH QLD 4567</t>
  </si>
  <si>
    <t>Lot 277 RP 160523</t>
  </si>
  <si>
    <t>54 Solway Drive
SUNSHINE BEACH QLD 4567</t>
  </si>
  <si>
    <t>Planning Reg 2020-2021</t>
  </si>
  <si>
    <t>Building Work: 
Coastal Building Certifications
Approval No. 35469</t>
  </si>
  <si>
    <t>Duane Potter</t>
  </si>
  <si>
    <t>PO Box 196
NOOSAVILLE QLD 4566</t>
  </si>
  <si>
    <t>Lot 5 SP 282921</t>
  </si>
  <si>
    <t>122 Cooroy Mountain Road
COOROY QLD 4563</t>
  </si>
  <si>
    <t xml:space="preserve">Detached House = 1 x existing Detached House + additional 1 x Community Residence Building (capable of being 3 or more bedroom) 
</t>
  </si>
  <si>
    <r>
      <rPr>
        <b/>
        <sz val="10"/>
        <color rgb="FF0000FF"/>
        <rFont val="Arial"/>
        <family val="2"/>
      </rPr>
      <t xml:space="preserve">N </t>
    </r>
    <r>
      <rPr>
        <b/>
        <sz val="10"/>
        <rFont val="Arial"/>
        <family val="2"/>
      </rPr>
      <t xml:space="preserve">1238
</t>
    </r>
    <r>
      <rPr>
        <b/>
        <sz val="10"/>
        <color rgb="FF0000FF"/>
        <rFont val="Arial"/>
        <family val="2"/>
      </rPr>
      <t>IA#80</t>
    </r>
    <r>
      <rPr>
        <sz val="10"/>
        <color rgb="FFFF0000"/>
        <rFont val="Arial"/>
        <family val="2"/>
      </rPr>
      <t xml:space="preserve">
</t>
    </r>
    <r>
      <rPr>
        <b/>
        <sz val="10"/>
        <color rgb="FFFF0000"/>
        <rFont val="Arial"/>
        <family val="2"/>
      </rPr>
      <t xml:space="preserve">Staged Pmt No 4
</t>
    </r>
    <r>
      <rPr>
        <sz val="10"/>
        <color rgb="FFFF0000"/>
        <rFont val="Arial"/>
        <family val="2"/>
      </rPr>
      <t>Part payment</t>
    </r>
  </si>
  <si>
    <t>D172384</t>
  </si>
  <si>
    <t>Building Work: 
Lateral Certification Group
Approval No. 00001478</t>
  </si>
  <si>
    <t>Interact Design Consultants Pty Ltd</t>
  </si>
  <si>
    <t>3 Plain Street 
SLACKS STREET QLD 4127</t>
  </si>
  <si>
    <t>Lot 141 RP 48112</t>
  </si>
  <si>
    <t>12 Pacific Avenue 
SUNSHINE BEACH QLD 4567</t>
  </si>
  <si>
    <t>D177769</t>
  </si>
  <si>
    <t>NSC CR (No.5)</t>
  </si>
  <si>
    <t>Building Work: 
Noosa Building Certifiers – Decision Notice: 20205209</t>
  </si>
  <si>
    <t>Mr ET Seccull</t>
  </si>
  <si>
    <t>6 Ward Street
TEWANTIN QLD 4565</t>
  </si>
  <si>
    <t>Lot 22 RP 28717</t>
  </si>
  <si>
    <t>6 Ward Street TEWANTIN QLD 4565</t>
  </si>
  <si>
    <t>PC20/0729
Approved 20/07/2020
(Registered by NSC 27/07/2020)</t>
  </si>
  <si>
    <t>PC20/0465
Approved 13/05/2020
(Registered by NSC 14/05/2020)</t>
  </si>
  <si>
    <t>RAL18/0009 re
Court Judgement Appeal D30 of 2019
Approved 26/06/2020
(Registered by NSC 01/07/2020)</t>
  </si>
  <si>
    <t>PC20/0326
Approved 3/4/2020
(Registered by NSC 20/04/2020 )</t>
  </si>
  <si>
    <t>PC20/0118
Approved 6/02/2020
(Registered by NSC 11/02/2019)</t>
  </si>
  <si>
    <t>PC18/0245
Approved 19/12/2019 (Registered by NSC 13/01/2020)</t>
  </si>
  <si>
    <t>Building Work: 
Sunshine Coast Building Approvals  – Decision Notice: 200612</t>
  </si>
  <si>
    <t>O Kingston</t>
  </si>
  <si>
    <t>1 Grey Gum Court
LAKE MACDONALD QLD 4563</t>
  </si>
  <si>
    <t>Lot 88 RP 840250</t>
  </si>
  <si>
    <r>
      <rPr>
        <b/>
        <sz val="10"/>
        <color rgb="FF0000FF"/>
        <rFont val="Arial"/>
        <family val="2"/>
      </rPr>
      <t xml:space="preserve">N </t>
    </r>
    <r>
      <rPr>
        <b/>
        <sz val="10"/>
        <rFont val="Arial"/>
        <family val="2"/>
      </rPr>
      <t xml:space="preserve">1435
</t>
    </r>
    <r>
      <rPr>
        <b/>
        <sz val="10"/>
        <color rgb="FF0000FF"/>
        <rFont val="Arial"/>
        <family val="2"/>
      </rPr>
      <t>Amended</t>
    </r>
  </si>
  <si>
    <r>
      <rPr>
        <strike/>
        <sz val="10"/>
        <rFont val="Arial"/>
        <family val="2"/>
      </rPr>
      <t>3/05/2019</t>
    </r>
    <r>
      <rPr>
        <sz val="10"/>
        <rFont val="Arial"/>
        <family val="2"/>
      </rPr>
      <t xml:space="preserve">
</t>
    </r>
    <r>
      <rPr>
        <sz val="10"/>
        <color rgb="FF0000FF"/>
        <rFont val="Arial"/>
        <family val="2"/>
      </rPr>
      <t>17/08/2020</t>
    </r>
  </si>
  <si>
    <r>
      <t xml:space="preserve">NSC CR </t>
    </r>
    <r>
      <rPr>
        <strike/>
        <sz val="10"/>
        <rFont val="Arial"/>
        <family val="2"/>
      </rPr>
      <t>(No.3)</t>
    </r>
    <r>
      <rPr>
        <sz val="10"/>
        <rFont val="Arial"/>
        <family val="2"/>
      </rPr>
      <t xml:space="preserve">
</t>
    </r>
    <r>
      <rPr>
        <sz val="10"/>
        <color rgb="FF0000FF"/>
        <rFont val="Arial"/>
        <family val="2"/>
      </rPr>
      <t>(No.5)</t>
    </r>
    <r>
      <rPr>
        <sz val="10"/>
        <rFont val="Arial"/>
        <family val="2"/>
      </rPr>
      <t xml:space="preserve">
</t>
    </r>
  </si>
  <si>
    <r>
      <t xml:space="preserve">Planning Reg </t>
    </r>
    <r>
      <rPr>
        <strike/>
        <sz val="10"/>
        <rFont val="Arial"/>
        <family val="2"/>
      </rPr>
      <t>2018-19</t>
    </r>
    <r>
      <rPr>
        <sz val="10"/>
        <rFont val="Arial"/>
        <family val="2"/>
      </rPr>
      <t xml:space="preserve">
</t>
    </r>
    <r>
      <rPr>
        <sz val="10"/>
        <color rgb="FF0000FF"/>
        <rFont val="Arial"/>
        <family val="2"/>
      </rPr>
      <t>2020-2021</t>
    </r>
  </si>
  <si>
    <r>
      <t xml:space="preserve">Buildings to be demolished: GFA = </t>
    </r>
    <r>
      <rPr>
        <strike/>
        <sz val="10"/>
        <rFont val="Arial"/>
        <family val="2"/>
      </rPr>
      <t>283m2</t>
    </r>
    <r>
      <rPr>
        <sz val="10"/>
        <rFont val="Arial"/>
        <family val="2"/>
      </rPr>
      <t xml:space="preserve"> </t>
    </r>
    <r>
      <rPr>
        <sz val="10"/>
        <color rgb="FF0000FF"/>
        <rFont val="Arial"/>
        <family val="2"/>
      </rPr>
      <t>133m2</t>
    </r>
    <r>
      <rPr>
        <sz val="10"/>
        <rFont val="Arial"/>
        <family val="2"/>
      </rPr>
      <t xml:space="preserve">
Impervious area removed  = </t>
    </r>
    <r>
      <rPr>
        <strike/>
        <sz val="10"/>
        <rFont val="Arial"/>
        <family val="2"/>
      </rPr>
      <t>408m2</t>
    </r>
    <r>
      <rPr>
        <sz val="10"/>
        <rFont val="Arial"/>
        <family val="2"/>
      </rPr>
      <t xml:space="preserve"> </t>
    </r>
    <r>
      <rPr>
        <sz val="10"/>
        <color rgb="FF0000FF"/>
        <rFont val="Arial"/>
        <family val="2"/>
      </rPr>
      <t>218m2</t>
    </r>
    <r>
      <rPr>
        <sz val="10"/>
        <rFont val="Arial"/>
        <family val="2"/>
      </rPr>
      <t xml:space="preserve"> (Area Calculations details from </t>
    </r>
    <r>
      <rPr>
        <sz val="10"/>
        <color rgb="FF0000FF"/>
        <rFont val="Arial"/>
        <family val="2"/>
      </rPr>
      <t>Amended</t>
    </r>
    <r>
      <rPr>
        <sz val="10"/>
        <rFont val="Arial"/>
        <family val="2"/>
      </rPr>
      <t xml:space="preserve"> Site Plan)</t>
    </r>
  </si>
  <si>
    <r>
      <t xml:space="preserve">MCU18/0189.01
</t>
    </r>
    <r>
      <rPr>
        <sz val="10"/>
        <color rgb="FF0000FF"/>
        <rFont val="Arial"/>
        <family val="2"/>
      </rPr>
      <t xml:space="preserve">
Approved 11/08/2020
Issued 17/08/2020</t>
    </r>
  </si>
  <si>
    <r>
      <rPr>
        <b/>
        <sz val="10"/>
        <color rgb="FF0000FF"/>
        <rFont val="Arial"/>
        <family val="2"/>
      </rPr>
      <t xml:space="preserve">N </t>
    </r>
    <r>
      <rPr>
        <b/>
        <sz val="10"/>
        <rFont val="Arial"/>
        <family val="2"/>
      </rPr>
      <t xml:space="preserve">1545
</t>
    </r>
    <r>
      <rPr>
        <i/>
        <sz val="10"/>
        <color rgb="FFFF0000"/>
        <rFont val="Arial"/>
        <family val="2"/>
      </rPr>
      <t>(PC20/0294 Issued)</t>
    </r>
  </si>
  <si>
    <t>D191772</t>
  </si>
  <si>
    <t>AUGUST 2020
Total =</t>
  </si>
  <si>
    <t>MCU20/0009 (Negotiated)
Approved 18/08/2020
Issued 19/08//2020</t>
  </si>
  <si>
    <t>Newshill Pty Ltd TTE</t>
  </si>
  <si>
    <t>Lot 1 RP 103723 &amp; Lot 248 MCH 4539</t>
  </si>
  <si>
    <t>173 Eumundi Noosa Rd &amp;
3 Leo Alley Rd 
NOOSAVILLE QLD 4566</t>
  </si>
  <si>
    <t xml:space="preserve">1 x 1 bedroom Ancillary Dwelling Unit, +
Industrial business types 1 &amp; 2 = 4,570m2 gfa 
+ Impervious area = 9,154 m2
</t>
  </si>
  <si>
    <t xml:space="preserve">Industrial business types 1 &amp; 2 =
= 70 + 369 = 439m2 gfa existing 
+ 6,176 + 962 = 7,138 m2 impervious area existing 
</t>
  </si>
  <si>
    <t xml:space="preserve">Stage 4 =
747m2 gfa = 16.3% of total 
</t>
  </si>
  <si>
    <t xml:space="preserve">Stage 3 =
1,395m2 gfa = 30.5% of total 
</t>
  </si>
  <si>
    <t xml:space="preserve">Stage 5 =
1,191m2 gfa = 26.1% of total 
</t>
  </si>
  <si>
    <t>Kathleen Mary Hofmann</t>
  </si>
  <si>
    <t>Exisiting Residential lots x 0</t>
  </si>
  <si>
    <t>Transport and/or Stormwater network service reductions due to development location</t>
  </si>
  <si>
    <t>c/- HopgoodGanim Lawyers
Level 8, Waterfront Place,
1 Eagle Street,
BRISBANE QLD 4000</t>
  </si>
  <si>
    <r>
      <rPr>
        <b/>
        <sz val="10"/>
        <rFont val="Arial"/>
        <family val="2"/>
      </rPr>
      <t>Stage 1</t>
    </r>
    <r>
      <rPr>
        <sz val="10"/>
        <rFont val="Arial"/>
        <family val="2"/>
      </rPr>
      <t xml:space="preserve"> = Residential lots x 17
</t>
    </r>
    <r>
      <rPr>
        <i/>
        <sz val="10"/>
        <rFont val="Arial"/>
        <family val="2"/>
      </rPr>
      <t>Total development = 40 x Residential lots + park</t>
    </r>
  </si>
  <si>
    <r>
      <rPr>
        <b/>
        <sz val="10"/>
        <rFont val="Arial"/>
        <family val="2"/>
      </rPr>
      <t>Stage 3</t>
    </r>
    <r>
      <rPr>
        <sz val="10"/>
        <rFont val="Arial"/>
        <family val="2"/>
      </rPr>
      <t xml:space="preserve"> = Residential lots x 1
</t>
    </r>
    <r>
      <rPr>
        <i/>
        <sz val="10"/>
        <rFont val="Arial"/>
        <family val="2"/>
      </rPr>
      <t>Total development = 40 x Residential lots + park</t>
    </r>
    <r>
      <rPr>
        <sz val="10"/>
        <rFont val="Arial"/>
        <family val="2"/>
      </rPr>
      <t xml:space="preserve">
</t>
    </r>
  </si>
  <si>
    <r>
      <rPr>
        <b/>
        <sz val="10"/>
        <rFont val="Arial"/>
        <family val="2"/>
      </rPr>
      <t>Stage 2</t>
    </r>
    <r>
      <rPr>
        <sz val="10"/>
        <rFont val="Arial"/>
        <family val="2"/>
      </rPr>
      <t xml:space="preserve"> = Residential lots x 22
</t>
    </r>
    <r>
      <rPr>
        <i/>
        <sz val="10"/>
        <rFont val="Arial"/>
        <family val="2"/>
      </rPr>
      <t xml:space="preserve">
Total development = 40 x Residential lots + park</t>
    </r>
  </si>
  <si>
    <r>
      <t xml:space="preserve">449
</t>
    </r>
    <r>
      <rPr>
        <b/>
        <sz val="10"/>
        <color rgb="FF0000FF"/>
        <rFont val="Arial"/>
        <family val="2"/>
      </rPr>
      <t>(Stage 1)</t>
    </r>
    <r>
      <rPr>
        <b/>
        <sz val="10"/>
        <rFont val="Arial"/>
        <family val="2"/>
      </rPr>
      <t xml:space="preserve">
</t>
    </r>
    <r>
      <rPr>
        <sz val="10"/>
        <color rgb="FF0000FF"/>
        <rFont val="Arial"/>
        <family val="2"/>
      </rPr>
      <t xml:space="preserve">refer also to IA 63
</t>
    </r>
    <r>
      <rPr>
        <sz val="8"/>
        <color rgb="FFFF0000"/>
        <rFont val="Arial"/>
        <family val="2"/>
      </rPr>
      <t>Extn 152006.1999.01 REFUSED
APPEAL No. 3188 of 2017</t>
    </r>
    <r>
      <rPr>
        <b/>
        <sz val="10"/>
        <color rgb="FFFF0000"/>
        <rFont val="Arial"/>
        <family val="2"/>
      </rPr>
      <t xml:space="preserve">
REPLACED By N 1553 re 152006.1999.04</t>
    </r>
  </si>
  <si>
    <r>
      <t xml:space="preserve">450
</t>
    </r>
    <r>
      <rPr>
        <b/>
        <sz val="10"/>
        <color rgb="FF0000FF"/>
        <rFont val="Arial"/>
        <family val="2"/>
      </rPr>
      <t>(Stage 2)</t>
    </r>
    <r>
      <rPr>
        <b/>
        <sz val="10"/>
        <rFont val="Arial"/>
        <family val="2"/>
      </rPr>
      <t xml:space="preserve">
</t>
    </r>
    <r>
      <rPr>
        <sz val="10"/>
        <color rgb="FF0000FF"/>
        <rFont val="Arial"/>
        <family val="2"/>
      </rPr>
      <t xml:space="preserve">refer also to IA 63
</t>
    </r>
    <r>
      <rPr>
        <sz val="8"/>
        <color rgb="FFFF0000"/>
        <rFont val="Arial"/>
        <family val="2"/>
      </rPr>
      <t xml:space="preserve">Extn 152006.1999.01 REFUSED
APPEAL No. 3188 of 2017
</t>
    </r>
    <r>
      <rPr>
        <b/>
        <sz val="10"/>
        <color rgb="FFFF0000"/>
        <rFont val="Arial"/>
        <family val="2"/>
      </rPr>
      <t>REPLACED By N 1553 re 152006.1999.04</t>
    </r>
  </si>
  <si>
    <r>
      <t xml:space="preserve">451
</t>
    </r>
    <r>
      <rPr>
        <b/>
        <sz val="10"/>
        <color rgb="FF0000FF"/>
        <rFont val="Arial"/>
        <family val="2"/>
      </rPr>
      <t>(Stage 3)</t>
    </r>
    <r>
      <rPr>
        <b/>
        <sz val="10"/>
        <rFont val="Arial"/>
        <family val="2"/>
      </rPr>
      <t xml:space="preserve">
</t>
    </r>
    <r>
      <rPr>
        <sz val="10"/>
        <color rgb="FF0000FF"/>
        <rFont val="Arial"/>
        <family val="2"/>
      </rPr>
      <t xml:space="preserve">refer also to IA 63
</t>
    </r>
    <r>
      <rPr>
        <sz val="8"/>
        <color rgb="FFFF0000"/>
        <rFont val="Arial"/>
        <family val="2"/>
      </rPr>
      <t>Extn 152006.1999.01 REFUSED
APPEAL No. 3188 of 201</t>
    </r>
    <r>
      <rPr>
        <sz val="10"/>
        <color rgb="FFFF0000"/>
        <rFont val="Arial"/>
        <family val="2"/>
      </rPr>
      <t xml:space="preserve">7
</t>
    </r>
    <r>
      <rPr>
        <b/>
        <sz val="10"/>
        <color rgb="FFFF0000"/>
        <rFont val="Arial"/>
        <family val="2"/>
      </rPr>
      <t>REPLACED By N 1553 re 152006.1999.04</t>
    </r>
  </si>
  <si>
    <r>
      <t xml:space="preserve">452
</t>
    </r>
    <r>
      <rPr>
        <b/>
        <sz val="10"/>
        <color rgb="FF0000FF"/>
        <rFont val="Arial"/>
        <family val="2"/>
      </rPr>
      <t>(Stage 4)</t>
    </r>
    <r>
      <rPr>
        <sz val="10"/>
        <color rgb="FF0000FF"/>
        <rFont val="Arial"/>
        <family val="2"/>
      </rPr>
      <t xml:space="preserve">
refer also to IA 63
</t>
    </r>
    <r>
      <rPr>
        <sz val="8"/>
        <color rgb="FFFF0000"/>
        <rFont val="Arial"/>
        <family val="2"/>
      </rPr>
      <t>Extn 152006.1999.01 REFUSED
APPEAL No. 3188 of 2017</t>
    </r>
    <r>
      <rPr>
        <sz val="10"/>
        <color rgb="FFFF0000"/>
        <rFont val="Arial"/>
        <family val="2"/>
      </rPr>
      <t xml:space="preserve">
</t>
    </r>
    <r>
      <rPr>
        <b/>
        <sz val="10"/>
        <color rgb="FFFF0000"/>
        <rFont val="Arial"/>
        <family val="2"/>
      </rPr>
      <t>REPLACED By N 1553 re 152006.1999.04</t>
    </r>
  </si>
  <si>
    <t>Request 30/08/2020
ICN Total = $6,438.00 @ Planning Reg 2020-2021
In accordance with Council’s Organisational Policy “Delayed Staged Payments of Infrastructure Charges” (amended due to COVID-19 Business Support Initiatives dated 26 March 2020)</t>
  </si>
  <si>
    <t>Building Work: 
Suncoast Building Approvals  – Decision Notice: 00005562</t>
  </si>
  <si>
    <t xml:space="preserve">B Allan </t>
  </si>
  <si>
    <t>18 Adensfield Court
COOROIBAH QLD 4565</t>
  </si>
  <si>
    <t>Lot 65 SP 191688</t>
  </si>
  <si>
    <t>Building Work: 
Suncoast Building Approvals  – Decision Notice: 00007926</t>
  </si>
  <si>
    <t>Wombatsheds</t>
  </si>
  <si>
    <t>164 Cooroy Mountain Road
COOROY QLD 4563</t>
  </si>
  <si>
    <t>Building Work: 
Urban Certifiers – Decision Notice: 7790</t>
  </si>
  <si>
    <t>Lot 4 RP 215965</t>
  </si>
  <si>
    <t>Lot 203 SP 267424</t>
  </si>
  <si>
    <t>94 Noosa Drive 
NOOSA HEADS QLD 4567</t>
  </si>
  <si>
    <t xml:space="preserve">Resort Complex - Existing = 2,495 m2 gfa (Ken Downs Architects drawing # 180087_C-DT-01-01_B dated 07/2018) </t>
  </si>
  <si>
    <t>MCU20/0009 (Negotiated)
Approved 18/08/2020
Issued 19/08//2020</t>
  </si>
  <si>
    <t>Mr S &amp; Mrs T Tait</t>
  </si>
  <si>
    <t>C/- Elizabeth Franklin
PO Box 221
BRIBIE ISLAND QLD 4507</t>
  </si>
  <si>
    <t>PO Box 159
MOOLOOLABA QLD 4557</t>
  </si>
  <si>
    <t xml:space="preserve">Lot 1 SP 313909 </t>
  </si>
  <si>
    <t>85 Evans Road
COOROY QLD 4563</t>
  </si>
  <si>
    <t>Replaces the previous Adopted Infrastructure Charges Notice/s 449, 450, 451 &amp; 452 previously issued by the Sunshine Coast Regional Council on the original development approval
Transport and/or Stormwater network service reductions due to development location</t>
  </si>
  <si>
    <t>MCU20/0057
Approved: 30/08/2020
Issued: 31/08/2020</t>
  </si>
  <si>
    <t>PC20/0292
Approved: 26/03/2020
(Received &amp; Registered by NSC 2/9/2020)</t>
  </si>
  <si>
    <t xml:space="preserve">MCU17/0004
</t>
  </si>
  <si>
    <r>
      <rPr>
        <b/>
        <sz val="10"/>
        <color rgb="FF0000FF"/>
        <rFont val="Arial"/>
        <family val="2"/>
      </rPr>
      <t xml:space="preserve">N </t>
    </r>
    <r>
      <rPr>
        <b/>
        <sz val="10"/>
        <rFont val="Arial"/>
        <family val="2"/>
      </rPr>
      <t xml:space="preserve">1552
</t>
    </r>
    <r>
      <rPr>
        <b/>
        <sz val="10"/>
        <color rgb="FF0000FF"/>
        <rFont val="Arial"/>
        <family val="2"/>
      </rPr>
      <t>Negotiated</t>
    </r>
    <r>
      <rPr>
        <b/>
        <sz val="10"/>
        <rFont val="Arial"/>
        <family val="2"/>
      </rPr>
      <t xml:space="preserve">
</t>
    </r>
    <r>
      <rPr>
        <b/>
        <sz val="10"/>
        <color rgb="FF0000FF"/>
        <rFont val="Arial"/>
        <family val="2"/>
      </rPr>
      <t xml:space="preserve">STAGE 1 </t>
    </r>
  </si>
  <si>
    <r>
      <t xml:space="preserve">Stage 1 =
369m2 gfa = 8.1% of total
</t>
    </r>
    <r>
      <rPr>
        <sz val="10"/>
        <color rgb="FFFF0000"/>
        <rFont val="Arial"/>
        <family val="2"/>
      </rPr>
      <t>Negotiated due to the charge originally apportioned to Stage 1 (as existing) agreed to be reallocated to next Stage 2 as negotiated via telephone with Mr William Sharpe.</t>
    </r>
  </si>
  <si>
    <t>SEPTEMBER 2020
Total =</t>
  </si>
  <si>
    <t>No payment required</t>
  </si>
  <si>
    <t>D203306</t>
  </si>
  <si>
    <t>Building Work: 
Project B.A. 
Decision Notice: 20202981</t>
  </si>
  <si>
    <t>8 Flinders Lane
MAROOCHYDORE QLD 4558</t>
  </si>
  <si>
    <t>Lot 92 RP 840250</t>
  </si>
  <si>
    <t>5 Grey Gum Court
LAKE MACDONALD QLD 4563</t>
  </si>
  <si>
    <t>3 SP 246584</t>
  </si>
  <si>
    <t>28 Eenie Creek Road NOOSAVILLE, QLD 4566</t>
  </si>
  <si>
    <t>RAL18/0023</t>
  </si>
  <si>
    <t xml:space="preserve">IA 101
</t>
  </si>
  <si>
    <t>Stockwell Development Group Pty Ltd (Entity)</t>
  </si>
  <si>
    <t>23 Lots</t>
  </si>
  <si>
    <t>399 Montague Rd, WEST END QLD 4101</t>
  </si>
  <si>
    <t>Settlement of P&amp;E Court Appeal No. 765 of 2020</t>
  </si>
  <si>
    <t>9 Pelican St TEWANTIN QLD 4566</t>
  </si>
  <si>
    <r>
      <rPr>
        <b/>
        <sz val="10"/>
        <color rgb="FF0000FF"/>
        <rFont val="Arial"/>
        <family val="2"/>
      </rPr>
      <t xml:space="preserve">N </t>
    </r>
    <r>
      <rPr>
        <b/>
        <sz val="10"/>
        <rFont val="Arial"/>
        <family val="2"/>
      </rPr>
      <t xml:space="preserve">1556 
</t>
    </r>
    <r>
      <rPr>
        <b/>
        <sz val="10"/>
        <color rgb="FF0000FF"/>
        <rFont val="Arial"/>
        <family val="2"/>
      </rPr>
      <t>Negotiated</t>
    </r>
  </si>
  <si>
    <r>
      <t xml:space="preserve">2/09/2020
</t>
    </r>
    <r>
      <rPr>
        <sz val="10"/>
        <color rgb="FF0000FF"/>
        <rFont val="Arial"/>
        <family val="2"/>
      </rPr>
      <t>10/09/2020</t>
    </r>
  </si>
  <si>
    <t>refer also to GIAs - 51993.1590. 08 &amp; 09 &amp; 10
Representation agreed that grassed area is artifical over concrete underground carpark &amp; therfore stormwater charge component is not applicable</t>
  </si>
  <si>
    <r>
      <t xml:space="preserve">Resort Complex - Proposed = 3,043 m2 gfa (Ken Downs Architects drawing # 180087_C-DT-01-01_B dated 07/2018) 
</t>
    </r>
    <r>
      <rPr>
        <strike/>
        <sz val="10"/>
        <color rgb="FF0000FF"/>
        <rFont val="Arial"/>
        <family val="2"/>
      </rPr>
      <t>+</t>
    </r>
    <r>
      <rPr>
        <sz val="10"/>
        <rFont val="Arial"/>
        <family val="2"/>
      </rPr>
      <t xml:space="preserve">
</t>
    </r>
    <r>
      <rPr>
        <strike/>
        <sz val="10"/>
        <color rgb="FF0000FF"/>
        <rFont val="Arial"/>
        <family val="2"/>
      </rPr>
      <t xml:space="preserve">Impervious area = 124 m2 additional </t>
    </r>
  </si>
  <si>
    <t>PC20/0670
Approved: 03/09/2020
(Received &amp; Registered 10/09/2020)</t>
  </si>
  <si>
    <t>Robilliard Nominees</t>
  </si>
  <si>
    <t>PO Box 2021
NOOSA HEADS QLD 4567</t>
  </si>
  <si>
    <t>Industrial Business Type 2 - Production, alteration, repackaging &amp; repairing - Mezzanine Floor additional = 14 m2 gfa
(from plans Mezannene gfa above toilets = 2.790 x 2.490 = 7m2 each x 2off = 14m2 total)</t>
  </si>
  <si>
    <t>Not Applicable - Additional only</t>
  </si>
  <si>
    <t>Charges based on additional mezzanine floor above the bathroom (additional gfa)</t>
  </si>
  <si>
    <t>Environmental Offset Calculation ECM Doc ID: 21238274 &amp; 21238292</t>
  </si>
  <si>
    <t>D206096</t>
  </si>
  <si>
    <r>
      <rPr>
        <b/>
        <sz val="10"/>
        <color rgb="FF0000FF"/>
        <rFont val="Arial"/>
        <family val="2"/>
      </rPr>
      <t xml:space="preserve">N </t>
    </r>
    <r>
      <rPr>
        <b/>
        <sz val="10"/>
        <rFont val="Arial"/>
        <family val="2"/>
      </rPr>
      <t xml:space="preserve">1238
</t>
    </r>
    <r>
      <rPr>
        <b/>
        <sz val="10"/>
        <color rgb="FF0000FF"/>
        <rFont val="Arial"/>
        <family val="2"/>
      </rPr>
      <t>IA#80</t>
    </r>
    <r>
      <rPr>
        <sz val="10"/>
        <color rgb="FFFF0000"/>
        <rFont val="Arial"/>
        <family val="2"/>
      </rPr>
      <t xml:space="preserve">
</t>
    </r>
    <r>
      <rPr>
        <b/>
        <sz val="10"/>
        <color rgb="FFFF0000"/>
        <rFont val="Arial"/>
        <family val="2"/>
      </rPr>
      <t xml:space="preserve">Staged Pmt No 4
</t>
    </r>
    <r>
      <rPr>
        <sz val="10"/>
        <color rgb="FFFF0000"/>
        <rFont val="Arial"/>
        <family val="2"/>
      </rPr>
      <t>Part Payment</t>
    </r>
  </si>
  <si>
    <r>
      <t xml:space="preserve">7/11 Bartlett Road
NOOSAVILLE QLD 4566
</t>
    </r>
    <r>
      <rPr>
        <i/>
        <sz val="10"/>
        <color rgb="FFFF0000"/>
        <rFont val="Arial"/>
        <family val="2"/>
      </rPr>
      <t>(now 11/11 Bartlet Rd
17/09/2020)</t>
    </r>
  </si>
  <si>
    <r>
      <t xml:space="preserve">Lot 7 SP 190837
</t>
    </r>
    <r>
      <rPr>
        <i/>
        <sz val="10"/>
        <color rgb="FFFF0000"/>
        <rFont val="Arial"/>
        <family val="2"/>
      </rPr>
      <t>(now Lot 16 SP290687 17/09/2020)</t>
    </r>
  </si>
  <si>
    <t>D206563</t>
  </si>
  <si>
    <t>Building Work: 
Coastal Building Certifications 
Decision Notice: 34746</t>
  </si>
  <si>
    <t>Building Work: 
Suncoast Building Approvals 
Decision Notice: 00008199</t>
  </si>
  <si>
    <t>PO Box 304
BUDDINA QLD 4575</t>
  </si>
  <si>
    <t>Lot 1 RP 187924</t>
  </si>
  <si>
    <t>13 Mountain View Road
PINBARREN QLD 4575</t>
  </si>
  <si>
    <t>D209814</t>
  </si>
  <si>
    <r>
      <rPr>
        <b/>
        <sz val="10"/>
        <color rgb="FF0000FF"/>
        <rFont val="Arial"/>
        <family val="2"/>
      </rPr>
      <t xml:space="preserve">N </t>
    </r>
    <r>
      <rPr>
        <b/>
        <sz val="10"/>
        <rFont val="Arial"/>
        <family val="2"/>
      </rPr>
      <t xml:space="preserve">1514 </t>
    </r>
    <r>
      <rPr>
        <b/>
        <sz val="10"/>
        <color rgb="FF0000FF"/>
        <rFont val="Arial"/>
        <family val="2"/>
      </rPr>
      <t xml:space="preserve">(Rev1)
Amended 
</t>
    </r>
    <r>
      <rPr>
        <i/>
        <sz val="10"/>
        <color rgb="FF0000FF"/>
        <rFont val="Arial"/>
        <family val="2"/>
      </rPr>
      <t>(PC20/0703 issued)</t>
    </r>
  </si>
  <si>
    <r>
      <t xml:space="preserve">MCU18/0156
</t>
    </r>
    <r>
      <rPr>
        <i/>
        <sz val="10"/>
        <color rgb="FF0000FF"/>
        <rFont val="Arial"/>
        <family val="2"/>
      </rPr>
      <t xml:space="preserve">(PC19/0026 issued) </t>
    </r>
  </si>
  <si>
    <r>
      <t xml:space="preserve">Stormwater not applicable for Development outside PIA per LGIP.
</t>
    </r>
    <r>
      <rPr>
        <sz val="10"/>
        <color rgb="FFFF0000"/>
        <rFont val="Arial"/>
        <family val="2"/>
      </rPr>
      <t>In accordance with Council’s COVID-19 Business Support Initiatives dated 26 March 2020 to defer infrastructure charges until July 2021, with no interest payments applied.</t>
    </r>
  </si>
  <si>
    <t>IA 102</t>
  </si>
  <si>
    <t>Lot Reconfig (Bounday Realignment)</t>
  </si>
  <si>
    <t>Kaymond P/L</t>
  </si>
  <si>
    <t>60 Talga Rd,
ROTHBURY NSW 2320</t>
  </si>
  <si>
    <t xml:space="preserve">480 CP MCH524 
528 CP MCH1930 </t>
  </si>
  <si>
    <t>Settlement of P&amp;E Court Appeal No. D72020</t>
  </si>
  <si>
    <t>126 &amp; 138 Happy Jack Creek Rd RIDGWOOD QLD 4563</t>
  </si>
  <si>
    <t>$16,650 for Upgrading of timber bridge in Crawfords Rd @ CPI Mar 2020 for 2020-2021 financial year
+
$500 for signage re Condition 14</t>
  </si>
  <si>
    <t>51988.2849.03</t>
  </si>
  <si>
    <t>MCU
Minor Change</t>
  </si>
  <si>
    <t xml:space="preserve">Noosa On The Beach
1/49 Hastings St NOOSA HEADS </t>
  </si>
  <si>
    <t xml:space="preserve">Lorri Banks </t>
  </si>
  <si>
    <t>c/- Adamson Town Planning PO Box 78 PEREGIAN BEACH QLD 4573</t>
  </si>
  <si>
    <t>Lot 0 and Lot 1 on BUP8884</t>
  </si>
  <si>
    <t>D210818</t>
  </si>
  <si>
    <t>SEPTEMBER 2020 Total =</t>
  </si>
  <si>
    <t>D212164</t>
  </si>
  <si>
    <t>MCU13/0098.01
Approved 24/09/2020
Issued 28/09/2020</t>
  </si>
  <si>
    <t>Markris Wholesale Foods Pty Ltd</t>
  </si>
  <si>
    <t>C/- RG Strategic Australia
PO Box 1818
NOOSA HEADS QLD 4567</t>
  </si>
  <si>
    <t>Lot 3 SP 244573</t>
  </si>
  <si>
    <t>81 Rene Street, 
NOOSAVILLE QLD 4566</t>
  </si>
  <si>
    <t>N/a additional to existing only</t>
  </si>
  <si>
    <t xml:space="preserve"> Industrial Business Type 2 = 96 m2 gfa additional mezzanine </t>
  </si>
  <si>
    <t>Building Work: 
Pure Building Approvals 
Decision Notice: 20208468</t>
  </si>
  <si>
    <t>Building Work: 
Earthcert Building Approvals 
Decision Notice: 200209</t>
  </si>
  <si>
    <t>Building Work: 
Pure Building Approvals 
Decision Notice: 20208689</t>
  </si>
  <si>
    <t>Nick Dark</t>
  </si>
  <si>
    <t>21 Pacific View Drive
TINBEERWAH QLD 4563</t>
  </si>
  <si>
    <t>Lot 27 RP 186538</t>
  </si>
  <si>
    <t xml:space="preserve">Eco Cottages Pty Ltd
</t>
  </si>
  <si>
    <t>Lot 16 SP 127441</t>
  </si>
  <si>
    <t>229 Highfield Rise
POMONA QLD 4568</t>
  </si>
  <si>
    <t>Benchmark Building</t>
  </si>
  <si>
    <t>PO Box 5294
MAROOCHYDORE QLD 4558</t>
  </si>
  <si>
    <t>Lot 4 SP 305306</t>
  </si>
  <si>
    <t>22C Lake Macdonald Drive
COOROY QLD 4563</t>
  </si>
  <si>
    <r>
      <t xml:space="preserve">2/08/2020
</t>
    </r>
    <r>
      <rPr>
        <sz val="10"/>
        <color rgb="FF0000FF"/>
        <rFont val="Arial"/>
        <family val="2"/>
      </rPr>
      <t>Covid Ext by 6 months</t>
    </r>
  </si>
  <si>
    <r>
      <t xml:space="preserve">19/08/2020
</t>
    </r>
    <r>
      <rPr>
        <sz val="10"/>
        <color rgb="FF0000FF"/>
        <rFont val="Arial"/>
        <family val="2"/>
      </rPr>
      <t>Covid Ext by 6 months</t>
    </r>
  </si>
  <si>
    <t xml:space="preserve">21/11/2020
</t>
  </si>
  <si>
    <r>
      <t xml:space="preserve">MCU16/0148
</t>
    </r>
    <r>
      <rPr>
        <i/>
        <sz val="10"/>
        <color rgb="FFFF0000"/>
        <rFont val="Arial"/>
        <family val="2"/>
      </rPr>
      <t>(PC19/0409 issued 10/04/2019)</t>
    </r>
  </si>
  <si>
    <t xml:space="preserve">MCU16/0102
</t>
  </si>
  <si>
    <r>
      <t xml:space="preserve">MCU11/0266
</t>
    </r>
    <r>
      <rPr>
        <sz val="10"/>
        <color rgb="FF0000FF"/>
        <rFont val="Arial"/>
        <family val="2"/>
      </rPr>
      <t xml:space="preserve">MCU11/0266.01 Extn
</t>
    </r>
    <r>
      <rPr>
        <sz val="10"/>
        <color rgb="FFFF0000"/>
        <rFont val="Arial"/>
        <family val="2"/>
      </rPr>
      <t>.03 Extn application Refused</t>
    </r>
  </si>
  <si>
    <t>Building Work: 
Project B.A. 
Decision Notice: 20201878</t>
  </si>
  <si>
    <t>Craig Francis</t>
  </si>
  <si>
    <t>44 Nandroya Road
COOROY QLD 4563</t>
  </si>
  <si>
    <t>Detached House = 1 Dwelling House + 1 B/R Secondary Dwelling</t>
  </si>
  <si>
    <t>OCTOBER 2020
Total =</t>
  </si>
  <si>
    <r>
      <rPr>
        <strike/>
        <sz val="10"/>
        <rFont val="Arial"/>
        <family val="2"/>
      </rPr>
      <t>6/10/2020</t>
    </r>
    <r>
      <rPr>
        <sz val="10"/>
        <rFont val="Arial"/>
        <family val="2"/>
      </rPr>
      <t xml:space="preserve">
</t>
    </r>
    <r>
      <rPr>
        <sz val="10"/>
        <color rgb="FF0000FF"/>
        <rFont val="Arial"/>
        <family val="2"/>
      </rPr>
      <t>8/10/2020</t>
    </r>
  </si>
  <si>
    <t xml:space="preserve">Representation accepted for existing caretakers residence on site = 1 x 3 bed  </t>
  </si>
  <si>
    <t>IC recalculated &amp; based solely on the change to the residential development component of the site being additional to the lawfully existing industrial development on the site.</t>
  </si>
  <si>
    <t>D214945</t>
  </si>
  <si>
    <t>2 carparking spaces in Lieu
2019-2020 financial year
@ CPI March 2019</t>
  </si>
  <si>
    <t>3 carparking spaces in Lieu
2018-2019 financial year
@ CPI March 2018</t>
  </si>
  <si>
    <t>Additional outdoor dining area 14.1 m2 use area
Contribution of off-streel parking for 1 car park space</t>
  </si>
  <si>
    <t>Stage 2 Type 2 Shop  44m2 Use Area
Contribution of off-streel parking for 4 car park spaces</t>
  </si>
  <si>
    <t>$36,000.00
IA -  2 carparking spaces in lieu
IA did not specify indexation
Stage Pmt $9,000</t>
  </si>
  <si>
    <t>$36,000.00
IA - 2 carparking spaces in lieu
IA did not specify indexation
Stage Pmt $9,000</t>
  </si>
  <si>
    <r>
      <rPr>
        <sz val="8"/>
        <color rgb="FF0000FF"/>
        <rFont val="Arial"/>
        <family val="2"/>
      </rPr>
      <t xml:space="preserve">Pmt 1-14(part) 
PAID SCC
</t>
    </r>
    <r>
      <rPr>
        <b/>
        <sz val="8"/>
        <color rgb="FF0000FF"/>
        <rFont val="Arial"/>
        <family val="2"/>
      </rPr>
      <t>Paid Noosa</t>
    </r>
    <r>
      <rPr>
        <b/>
        <sz val="8"/>
        <color rgb="FFFF0000"/>
        <rFont val="Arial"/>
        <family val="2"/>
      </rPr>
      <t xml:space="preserve">
</t>
    </r>
    <r>
      <rPr>
        <sz val="8"/>
        <color rgb="FF0000FF"/>
        <rFont val="Arial"/>
        <family val="2"/>
      </rPr>
      <t xml:space="preserve">Stg 14 Bal $2,768 </t>
    </r>
    <r>
      <rPr>
        <sz val="8"/>
        <color rgb="FFFF0000"/>
        <rFont val="Arial"/>
        <family val="2"/>
      </rPr>
      <t xml:space="preserve">
Stgs 15 to 19 = $2,769/stg @ Dec 13
</t>
    </r>
    <r>
      <rPr>
        <sz val="8"/>
        <color rgb="FF0000FF"/>
        <rFont val="Arial"/>
        <family val="2"/>
      </rPr>
      <t xml:space="preserve"> 3 carparking spaces in lieu</t>
    </r>
  </si>
  <si>
    <r>
      <t xml:space="preserve">Stg 15 $2,769 
</t>
    </r>
    <r>
      <rPr>
        <sz val="8"/>
        <color rgb="FF0000FF"/>
        <rFont val="Arial"/>
        <family val="2"/>
      </rPr>
      <t xml:space="preserve"> 3 carparking spaces in lieu
</t>
    </r>
  </si>
  <si>
    <r>
      <rPr>
        <sz val="8"/>
        <color rgb="FF0000FF"/>
        <rFont val="Arial"/>
        <family val="2"/>
      </rPr>
      <t xml:space="preserve">Pmt 1-14(part) 
PAID SCC
</t>
    </r>
    <r>
      <rPr>
        <b/>
        <sz val="8"/>
        <color rgb="FF0000FF"/>
        <rFont val="Arial"/>
        <family val="2"/>
      </rPr>
      <t>Paid Noosa</t>
    </r>
    <r>
      <rPr>
        <b/>
        <sz val="8"/>
        <color rgb="FFFF0000"/>
        <rFont val="Arial"/>
        <family val="2"/>
      </rPr>
      <t xml:space="preserve">
</t>
    </r>
    <r>
      <rPr>
        <sz val="8"/>
        <color rgb="FF0000FF"/>
        <rFont val="Arial"/>
        <family val="2"/>
      </rPr>
      <t xml:space="preserve">Stg 14 Bal $2,768
Stg 15 $2,769 </t>
    </r>
    <r>
      <rPr>
        <sz val="8"/>
        <color rgb="FFFF0000"/>
        <rFont val="Arial"/>
        <family val="2"/>
      </rPr>
      <t xml:space="preserve">
Stgs 16 to 19 = $2,769/stg@CPI Dec13
</t>
    </r>
    <r>
      <rPr>
        <sz val="8"/>
        <color rgb="FF0000FF"/>
        <rFont val="Arial"/>
        <family val="2"/>
      </rPr>
      <t xml:space="preserve"> 
3 carparking spaces in lieu</t>
    </r>
  </si>
  <si>
    <r>
      <t xml:space="preserve">Dec-2006
</t>
    </r>
    <r>
      <rPr>
        <sz val="8"/>
        <color rgb="FF0000FF"/>
        <rFont val="Arial"/>
        <family val="2"/>
      </rPr>
      <t>1 carparking spaces in lieu</t>
    </r>
  </si>
  <si>
    <r>
      <t xml:space="preserve">Mar-14
</t>
    </r>
    <r>
      <rPr>
        <sz val="8"/>
        <color rgb="FFFF0000"/>
        <rFont val="Arial"/>
        <family val="2"/>
      </rPr>
      <t>Lot 1 = $33,836</t>
    </r>
    <r>
      <rPr>
        <sz val="8"/>
        <rFont val="Arial"/>
        <family val="2"/>
      </rPr>
      <t xml:space="preserve">
</t>
    </r>
    <r>
      <rPr>
        <sz val="8"/>
        <color rgb="FFFF0000"/>
        <rFont val="Arial"/>
        <family val="2"/>
      </rPr>
      <t>Lot 6 = $135,345</t>
    </r>
    <r>
      <rPr>
        <sz val="8"/>
        <rFont val="Arial"/>
        <family val="2"/>
      </rPr>
      <t xml:space="preserve">
</t>
    </r>
    <r>
      <rPr>
        <b/>
        <sz val="8"/>
        <color rgb="FF0000FF"/>
        <rFont val="Arial"/>
        <family val="2"/>
      </rPr>
      <t xml:space="preserve">Lot 7 = $99,729
</t>
    </r>
    <r>
      <rPr>
        <sz val="8"/>
        <color rgb="FF0000FF"/>
        <rFont val="Arial"/>
        <family val="2"/>
      </rPr>
      <t xml:space="preserve"> 12 carparking spaces in lieu</t>
    </r>
  </si>
  <si>
    <r>
      <t xml:space="preserve">Mar-14
</t>
    </r>
    <r>
      <rPr>
        <b/>
        <sz val="8"/>
        <color rgb="FF0000FF"/>
        <rFont val="Arial"/>
        <family val="2"/>
      </rPr>
      <t>Lot 1 = $33,836</t>
    </r>
    <r>
      <rPr>
        <sz val="8"/>
        <rFont val="Arial"/>
        <family val="2"/>
      </rPr>
      <t xml:space="preserve">
</t>
    </r>
    <r>
      <rPr>
        <sz val="8"/>
        <color rgb="FFFF0000"/>
        <rFont val="Arial"/>
        <family val="2"/>
      </rPr>
      <t>Lot 6 = $135,345</t>
    </r>
    <r>
      <rPr>
        <sz val="8"/>
        <rFont val="Arial"/>
        <family val="2"/>
      </rPr>
      <t xml:space="preserve">
Lot 7 = $99,729
</t>
    </r>
    <r>
      <rPr>
        <sz val="8"/>
        <color rgb="FF0000FF"/>
        <rFont val="Arial"/>
        <family val="2"/>
      </rPr>
      <t xml:space="preserve"> 12 carparking spaces in lieu</t>
    </r>
  </si>
  <si>
    <r>
      <t xml:space="preserve">Stg Pmt 1 Sept-14
(Total = $11,300 Sept-08)
</t>
    </r>
    <r>
      <rPr>
        <sz val="8"/>
        <color rgb="FF0000FF"/>
        <rFont val="Arial"/>
        <family val="2"/>
      </rPr>
      <t>1 carparking spaces in lieu</t>
    </r>
  </si>
  <si>
    <r>
      <t xml:space="preserve">Sept-2014
</t>
    </r>
    <r>
      <rPr>
        <sz val="8"/>
        <color rgb="FF0000FF"/>
        <rFont val="Arial"/>
        <family val="2"/>
      </rPr>
      <t>1 carparking spaces in lieu</t>
    </r>
  </si>
  <si>
    <r>
      <t xml:space="preserve">March 2015
IA No. 52
</t>
    </r>
    <r>
      <rPr>
        <sz val="8"/>
        <color rgb="FF0000FF"/>
        <rFont val="Arial"/>
        <family val="2"/>
      </rPr>
      <t>3 carparking spaces in lieu</t>
    </r>
  </si>
  <si>
    <r>
      <t xml:space="preserve">Mar 06 (Condition 20)
</t>
    </r>
    <r>
      <rPr>
        <sz val="8"/>
        <color rgb="FF0000FF"/>
        <rFont val="Arial"/>
        <family val="2"/>
      </rPr>
      <t>8 carparking spaces in lieu</t>
    </r>
  </si>
  <si>
    <t>IA - 1 carparking spaces in lieu
Jun-14</t>
  </si>
  <si>
    <r>
      <rPr>
        <sz val="8"/>
        <color rgb="FFFF0000"/>
        <rFont val="Arial"/>
        <family val="2"/>
      </rPr>
      <t>Dec-2016</t>
    </r>
    <r>
      <rPr>
        <sz val="8"/>
        <rFont val="Arial"/>
        <family val="2"/>
      </rPr>
      <t xml:space="preserve">
</t>
    </r>
    <r>
      <rPr>
        <sz val="8"/>
        <color rgb="FF0000FF"/>
        <rFont val="Arial"/>
        <family val="2"/>
      </rPr>
      <t>12 carparking spaces in lieu</t>
    </r>
    <r>
      <rPr>
        <strike/>
        <sz val="8"/>
        <rFont val="Arial"/>
        <family val="2"/>
      </rPr>
      <t xml:space="preserve">
Mar-14
Lot 6 = $135,345</t>
    </r>
  </si>
  <si>
    <r>
      <rPr>
        <sz val="8"/>
        <color rgb="FFFF0000"/>
        <rFont val="Arial"/>
        <family val="2"/>
      </rPr>
      <t>Dec-2016</t>
    </r>
    <r>
      <rPr>
        <sz val="8"/>
        <rFont val="Arial"/>
        <family val="2"/>
      </rPr>
      <t xml:space="preserve">
</t>
    </r>
    <r>
      <rPr>
        <sz val="8"/>
        <color rgb="FF0000FF"/>
        <rFont val="Arial"/>
        <family val="2"/>
      </rPr>
      <t>12 carparking spaces in lieu</t>
    </r>
    <r>
      <rPr>
        <sz val="8"/>
        <rFont val="Arial"/>
        <family val="2"/>
      </rPr>
      <t xml:space="preserve">
</t>
    </r>
    <r>
      <rPr>
        <strike/>
        <sz val="8"/>
        <rFont val="Arial"/>
        <family val="2"/>
      </rPr>
      <t>Mar-14
Lot 6 = $135,345</t>
    </r>
  </si>
  <si>
    <r>
      <rPr>
        <sz val="8"/>
        <color rgb="FFFF0000"/>
        <rFont val="Arial"/>
        <family val="2"/>
      </rPr>
      <t>Dec-2016</t>
    </r>
    <r>
      <rPr>
        <sz val="8"/>
        <rFont val="Arial"/>
        <family val="2"/>
      </rPr>
      <t xml:space="preserve">
</t>
    </r>
    <r>
      <rPr>
        <b/>
        <sz val="8"/>
        <color rgb="FFFF0000"/>
        <rFont val="Arial"/>
        <family val="2"/>
      </rPr>
      <t xml:space="preserve">+ CPI Variations from June 2016
</t>
    </r>
    <r>
      <rPr>
        <sz val="8"/>
        <color rgb="FF0000FF"/>
        <rFont val="Arial"/>
        <family val="2"/>
      </rPr>
      <t>12 carparking spaces in lieu</t>
    </r>
  </si>
  <si>
    <t xml:space="preserve">Commercial Business Type 2 - Medical 2 Consulting Rooms
</t>
  </si>
  <si>
    <t xml:space="preserve">Retail Business - Type 2 Shop/Salon = 85m2 + additional 37 m2 = 122m2 gfa
</t>
  </si>
  <si>
    <t xml:space="preserve">Commercial Services, Shop, Caretaker’s Residence
</t>
  </si>
  <si>
    <t xml:space="preserve">Commercial Business - Office (proposed increase in use area of 134m² as advised by LU 15/8/06)
</t>
  </si>
  <si>
    <t xml:space="preserve">Restaurant 97.2 m2
</t>
  </si>
  <si>
    <t xml:space="preserve">Additional Outdoor Dining Areas
</t>
  </si>
  <si>
    <r>
      <rPr>
        <b/>
        <sz val="10"/>
        <color rgb="FF0000FF"/>
        <rFont val="Arial"/>
        <family val="2"/>
      </rPr>
      <t xml:space="preserve">N </t>
    </r>
    <r>
      <rPr>
        <b/>
        <sz val="10"/>
        <rFont val="Arial"/>
        <family val="2"/>
      </rPr>
      <t xml:space="preserve">1542
</t>
    </r>
    <r>
      <rPr>
        <i/>
        <sz val="10"/>
        <color rgb="FFFF0000"/>
        <rFont val="Arial"/>
        <family val="2"/>
      </rPr>
      <t>PC20/0484 issued
Completed via MC site inspection 13/10/2020</t>
    </r>
  </si>
  <si>
    <t xml:space="preserve">69 Maple St 
COOROY QLD 4563 </t>
  </si>
  <si>
    <r>
      <rPr>
        <b/>
        <sz val="10"/>
        <color rgb="FF0000FF"/>
        <rFont val="Arial"/>
        <family val="2"/>
      </rPr>
      <t xml:space="preserve">N </t>
    </r>
    <r>
      <rPr>
        <b/>
        <sz val="10"/>
        <rFont val="Arial"/>
        <family val="2"/>
      </rPr>
      <t xml:space="preserve">1497
</t>
    </r>
    <r>
      <rPr>
        <sz val="10"/>
        <color rgb="FFFF0000"/>
        <rFont val="Arial"/>
        <family val="2"/>
      </rPr>
      <t>Plan Seal lodged 25/06/2020
DUE 1JULY 2021</t>
    </r>
    <r>
      <rPr>
        <b/>
        <sz val="12"/>
        <color rgb="FFFF0000"/>
        <rFont val="Arial"/>
        <family val="2"/>
      </rPr>
      <t xml:space="preserve"> </t>
    </r>
    <r>
      <rPr>
        <sz val="10"/>
        <color rgb="FFFF0000"/>
        <rFont val="Arial"/>
        <family val="2"/>
      </rPr>
      <t xml:space="preserve">
but prior to any sale of property</t>
    </r>
  </si>
  <si>
    <t>D215990</t>
  </si>
  <si>
    <t>D216000</t>
  </si>
  <si>
    <r>
      <t xml:space="preserve">RAL19/0011
</t>
    </r>
    <r>
      <rPr>
        <i/>
        <sz val="8"/>
        <color rgb="FF0000FF"/>
        <rFont val="Arial"/>
        <family val="2"/>
      </rPr>
      <t>P&amp;E APPEAL D7/2020 Court Judgment dated 16/10/2020</t>
    </r>
  </si>
  <si>
    <r>
      <t xml:space="preserve">Use commenced per MC advice 16/05/2019 OPW18/0146 On-Maintenance 8/04/2019
</t>
    </r>
    <r>
      <rPr>
        <b/>
        <sz val="10"/>
        <color rgb="FFFF0000"/>
        <rFont val="Arial"/>
        <family val="2"/>
      </rPr>
      <t>Off-Maintenance Issued 1/05/2020</t>
    </r>
  </si>
  <si>
    <r>
      <rPr>
        <b/>
        <sz val="10"/>
        <color rgb="FF0000FF"/>
        <rFont val="Arial"/>
        <family val="2"/>
      </rPr>
      <t xml:space="preserve">N </t>
    </r>
    <r>
      <rPr>
        <b/>
        <sz val="10"/>
        <rFont val="Arial"/>
        <family val="2"/>
      </rPr>
      <t xml:space="preserve">1340
</t>
    </r>
    <r>
      <rPr>
        <b/>
        <sz val="10"/>
        <color rgb="FFFF0000"/>
        <rFont val="Arial"/>
        <family val="2"/>
      </rPr>
      <t>Note OFFSET + REFUND applies
Off-Maintenance letter issued 1/05/2020</t>
    </r>
  </si>
  <si>
    <t>Retail Business Type 5 
a) Standard = 323 m2 gfa
b) Service Station = 211 m2 gfa 
+ 2,352 m2 impervious area
+ 2 x 1 bed units</t>
  </si>
  <si>
    <t>NSC CR (No.5.1)</t>
  </si>
  <si>
    <t>MCU20/0084
Approved: 15/10/2020
Issued: 20/10/2020</t>
  </si>
  <si>
    <t>VZ Dioszegi</t>
  </si>
  <si>
    <t xml:space="preserve">328 Upper Pinbarren Ck Rd
PINBARREN QLD 4568 </t>
  </si>
  <si>
    <t>Nature-based Tourism (2 x suites
and 1 x cabin)</t>
  </si>
  <si>
    <t>D217635</t>
  </si>
  <si>
    <t>Building Work: 
Earthcert Builing Approvals
Decision Notice: 200240</t>
  </si>
  <si>
    <t>Rebecca Fewings</t>
  </si>
  <si>
    <t>87 Driers Road
COORAN QLD 4569</t>
  </si>
  <si>
    <t>Lot 1 RP 185474</t>
  </si>
  <si>
    <t>MCU13/0081.01, 51901.3614.01, 51901.3786.02, 51992.479.01, 51994.1249.01, 51994.1048.01
Approved: 15/10/2020
Issued: 19/10/2020</t>
  </si>
  <si>
    <t>Body Corporate - Netanya Noosa CTS 17658</t>
  </si>
  <si>
    <t xml:space="preserve">C/- Project Urban
PO Box 6380
MAROOCHYDORE QLD 4558
</t>
  </si>
  <si>
    <t>71 Hastings St NOOSA HEADS QLD 4567</t>
  </si>
  <si>
    <t>BUP 101500</t>
  </si>
  <si>
    <t>Commercial retail = 53m2 additional gfa i.e.
• 28m2 increase to the ground floor providore dining area; plus
• 25m2 for the new amenities building on level 1 being an extension of the restaurant.
No change to existing impervious aea</t>
  </si>
  <si>
    <t>MCU13/0081.01, 
51901.3614.01, 
51901.3786.02, 
51992.479.01, 
51994.1249.01, 
51994.1048.01</t>
  </si>
  <si>
    <t xml:space="preserve">71 Hastings St NOOSA HEADS QLD 4567 </t>
  </si>
  <si>
    <t>Commercial retail</t>
  </si>
  <si>
    <t>Additional use area
Contribution of off-streel parking for 3 car park spaces</t>
  </si>
  <si>
    <t>3 carparking spaces in Lieu
CPI Mar 2020 @ 2020-2021 financial year</t>
  </si>
  <si>
    <t xml:space="preserve">Lot 9 MCH 1714 </t>
  </si>
  <si>
    <t>199 Maximillian Rd 
NOOSA NORTH SHORE 
QLD 4565</t>
  </si>
  <si>
    <t>Detached house = 1 x 3 bed dwelling + 
1 x Secondary dwelling</t>
  </si>
  <si>
    <t xml:space="preserve">Detached House 1 x 2 bed dwelling but higher given for 1 x Residential lot </t>
  </si>
  <si>
    <t>MCU20/0087
Approved: 15/10/2020
Issued: 20/10/2020</t>
  </si>
  <si>
    <r>
      <rPr>
        <b/>
        <sz val="10"/>
        <color rgb="FF0000FF"/>
        <rFont val="Arial"/>
        <family val="2"/>
      </rPr>
      <t xml:space="preserve">N </t>
    </r>
    <r>
      <rPr>
        <b/>
        <sz val="10"/>
        <rFont val="Arial"/>
        <family val="2"/>
      </rPr>
      <t xml:space="preserve">1160
</t>
    </r>
    <r>
      <rPr>
        <i/>
        <sz val="10"/>
        <color rgb="FFFF0000"/>
        <rFont val="Arial"/>
        <family val="2"/>
      </rPr>
      <t>(PC17/0301 CoC Issued 28/11/2017)</t>
    </r>
    <r>
      <rPr>
        <sz val="10"/>
        <color rgb="FFFF0000"/>
        <rFont val="Arial"/>
        <family val="2"/>
      </rPr>
      <t>OVERDUE</t>
    </r>
    <r>
      <rPr>
        <sz val="12"/>
        <color rgb="FFFF0000"/>
        <rFont val="Arial"/>
        <family val="2"/>
      </rPr>
      <t xml:space="preserve">
</t>
    </r>
    <r>
      <rPr>
        <sz val="10"/>
        <color rgb="FFFF0000"/>
        <rFont val="Arial"/>
        <family val="2"/>
      </rPr>
      <t>PAYMENT DUE 
30 OCT 2020</t>
    </r>
  </si>
  <si>
    <r>
      <rPr>
        <b/>
        <sz val="10"/>
        <color rgb="FF0000FF"/>
        <rFont val="Arial"/>
        <family val="2"/>
      </rPr>
      <t xml:space="preserve">N </t>
    </r>
    <r>
      <rPr>
        <b/>
        <sz val="10"/>
        <rFont val="Arial"/>
        <family val="2"/>
      </rPr>
      <t xml:space="preserve">1460
</t>
    </r>
    <r>
      <rPr>
        <sz val="10"/>
        <color rgb="FFFF0000"/>
        <rFont val="Arial"/>
        <family val="2"/>
      </rPr>
      <t>Final Inspection Certificate issued 9/7/2020</t>
    </r>
    <r>
      <rPr>
        <b/>
        <sz val="10"/>
        <rFont val="Arial"/>
        <family val="2"/>
      </rPr>
      <t xml:space="preserve">
</t>
    </r>
    <r>
      <rPr>
        <sz val="10"/>
        <color rgb="FFFF0000"/>
        <rFont val="Arial"/>
        <family val="2"/>
      </rPr>
      <t>DUE 30 OCTOBER 2020</t>
    </r>
  </si>
  <si>
    <t>RAL17/0504
(Re: P&amp;E Appeal No 61 of 2018 Court Judgement dated 21/10/2020)</t>
  </si>
  <si>
    <t>Washington Andres Gabarrin</t>
  </si>
  <si>
    <t xml:space="preserve">135 Lake Weyba Dr 
NOOSAVILLE QLD 4566
</t>
  </si>
  <si>
    <t>Lot 1 RP 36729</t>
  </si>
  <si>
    <t>4 x Residential Lots</t>
  </si>
  <si>
    <t>c/- P&amp;E Law
Suite 4 / 59 The Esplanade,
MAROOCHYDORE QLD 4558</t>
  </si>
  <si>
    <r>
      <t xml:space="preserve">MCU19/0048
</t>
    </r>
    <r>
      <rPr>
        <b/>
        <sz val="10"/>
        <color rgb="FF0000FF"/>
        <rFont val="Arial"/>
        <family val="2"/>
      </rPr>
      <t xml:space="preserve">STAGE 2
</t>
    </r>
    <r>
      <rPr>
        <i/>
        <sz val="10"/>
        <color rgb="FFFF0000"/>
        <rFont val="Arial"/>
        <family val="2"/>
      </rPr>
      <t>PC20/0009 issued 
Stg 1 &amp; 2</t>
    </r>
  </si>
  <si>
    <r>
      <rPr>
        <strike/>
        <sz val="10"/>
        <rFont val="Arial"/>
        <family val="2"/>
      </rPr>
      <t>12 x Industrial Business Type 1 and 2 units  = 2,649m2 gfa
Impervious  = site area - landscaping 
= 4,950m2 - 754.5m2  = 4,195m2</t>
    </r>
    <r>
      <rPr>
        <sz val="10"/>
        <rFont val="Arial"/>
        <family val="2"/>
      </rPr>
      <t xml:space="preserve">
</t>
    </r>
    <r>
      <rPr>
        <sz val="10"/>
        <color rgb="FF0000FF"/>
        <rFont val="Arial"/>
        <family val="2"/>
      </rPr>
      <t>STAGE 1 = 1,016 m2 gfa  +
2,937 m2  imp[ervious area</t>
    </r>
  </si>
  <si>
    <t>D000218197</t>
  </si>
  <si>
    <t xml:space="preserve">Part Payment
-$400 on 22/10/2020
</t>
  </si>
  <si>
    <t>D000218198</t>
  </si>
  <si>
    <r>
      <t xml:space="preserve">MCU19/0048
</t>
    </r>
    <r>
      <rPr>
        <b/>
        <sz val="10"/>
        <color rgb="FF0000FF"/>
        <rFont val="Arial"/>
        <family val="2"/>
      </rPr>
      <t xml:space="preserve">STAGE 1
</t>
    </r>
    <r>
      <rPr>
        <i/>
        <sz val="10"/>
        <color rgb="FFFF0000"/>
        <rFont val="Arial"/>
        <family val="2"/>
      </rPr>
      <t>PC20/0009 issued 
Stg 1 &amp; 2</t>
    </r>
  </si>
  <si>
    <r>
      <rPr>
        <b/>
        <sz val="10"/>
        <color rgb="FF0000FF"/>
        <rFont val="Arial"/>
        <family val="2"/>
      </rPr>
      <t xml:space="preserve">N </t>
    </r>
    <r>
      <rPr>
        <b/>
        <sz val="10"/>
        <rFont val="Arial"/>
        <family val="2"/>
      </rPr>
      <t xml:space="preserve">1546
</t>
    </r>
    <r>
      <rPr>
        <sz val="10"/>
        <color rgb="FFFF0000"/>
        <rFont val="Arial"/>
        <family val="2"/>
      </rPr>
      <t xml:space="preserve">PS20/0034 Lodged </t>
    </r>
  </si>
  <si>
    <t>Lot 3 RP 218325</t>
  </si>
  <si>
    <t>D218866</t>
  </si>
  <si>
    <r>
      <rPr>
        <b/>
        <sz val="10"/>
        <color rgb="FF0000FF"/>
        <rFont val="Arial"/>
        <family val="2"/>
      </rPr>
      <t xml:space="preserve">N </t>
    </r>
    <r>
      <rPr>
        <b/>
        <sz val="10"/>
        <rFont val="Arial"/>
        <family val="2"/>
      </rPr>
      <t xml:space="preserve">1237
</t>
    </r>
    <r>
      <rPr>
        <sz val="10"/>
        <color rgb="FFFF0000"/>
        <rFont val="Arial"/>
        <family val="2"/>
      </rPr>
      <t xml:space="preserve">Advised 23/10/2020 T1 use commenced 14/06/2019
</t>
    </r>
    <r>
      <rPr>
        <b/>
        <sz val="10"/>
        <color rgb="FFFF0000"/>
        <rFont val="Arial"/>
        <family val="2"/>
      </rPr>
      <t xml:space="preserve">CANCELLED </t>
    </r>
    <r>
      <rPr>
        <sz val="10"/>
        <color rgb="FFFF0000"/>
        <rFont val="Arial"/>
        <family val="2"/>
      </rPr>
      <t xml:space="preserve">on 26/10/2020 on review from owner query confirmed calculation error in not giving credit for the existing mezzaniune use </t>
    </r>
  </si>
  <si>
    <r>
      <t xml:space="preserve">Nil - Approved Showroom Floor Area retained in full. 
</t>
    </r>
    <r>
      <rPr>
        <sz val="10"/>
        <color rgb="FFFF0000"/>
        <rFont val="Arial"/>
        <family val="2"/>
      </rPr>
      <t>26/10/2020 Review revealled error that the 106m2 mezzanine was lawfully existing under original showroon use &amp; results in NO charge being applicable.</t>
    </r>
  </si>
  <si>
    <t>MCU20/0022
Approved: 20/10/2020
Issued: 23/10/2020</t>
  </si>
  <si>
    <t xml:space="preserve">9 Panorama Ridge Rd
BUDERIM QLD 4556
</t>
  </si>
  <si>
    <t xml:space="preserve">Lot 7 RP 858525 </t>
  </si>
  <si>
    <t xml:space="preserve">292 Illoura Place 
COOROIBAH QLD 4565 </t>
  </si>
  <si>
    <t>Accommodation short term = 3 x 2 bed cabins</t>
  </si>
  <si>
    <t>Building Work: 
Coastal Building Certifications
Decision Notice: 34409</t>
  </si>
  <si>
    <t>Henry Pirotelli</t>
  </si>
  <si>
    <t>276 Beddington Road
DOONAN QLD 4562</t>
  </si>
  <si>
    <t>Lot 13 RP 888469</t>
  </si>
  <si>
    <t>D218185</t>
  </si>
  <si>
    <t>MCU16/0140
(Stage 1)</t>
  </si>
  <si>
    <t>MCU16/0140
(Stage 2)</t>
  </si>
  <si>
    <t>MCU20/0021
Approved: 29/10/2020
Issued: 30/10/2020</t>
  </si>
  <si>
    <t>Roger Parkin Project Architect</t>
  </si>
  <si>
    <t>Lot 121 RP 70296
Lot 1 RP 117315</t>
  </si>
  <si>
    <t>53 &amp; 55 Hilton Tce 
TEWANTIN QLD 4565</t>
  </si>
  <si>
    <t>Multiple Housing - Type 2 Duplex (2 x 2)
- 2 x 2 bed units +
- 2 x 3 bed units</t>
  </si>
  <si>
    <t>Detached houses x 2</t>
  </si>
  <si>
    <r>
      <rPr>
        <b/>
        <sz val="10"/>
        <color rgb="FF0000FF"/>
        <rFont val="Arial"/>
        <family val="2"/>
      </rPr>
      <t xml:space="preserve">N </t>
    </r>
    <r>
      <rPr>
        <b/>
        <sz val="10"/>
        <rFont val="Arial"/>
        <family val="2"/>
      </rPr>
      <t xml:space="preserve">1485
</t>
    </r>
    <r>
      <rPr>
        <b/>
        <sz val="10"/>
        <color rgb="FF0000FF"/>
        <rFont val="Arial"/>
        <family val="2"/>
      </rPr>
      <t xml:space="preserve">Negotiated STAGE 1
</t>
    </r>
    <r>
      <rPr>
        <sz val="10"/>
        <color rgb="FFFF0000"/>
        <rFont val="Arial"/>
        <family val="2"/>
      </rPr>
      <t>CoC issued Stage 1 on 30/09/2020
DUE by 20 NOV</t>
    </r>
  </si>
  <si>
    <r>
      <t xml:space="preserve">Stormwater not applicable for Development outside PIA per LGIP </t>
    </r>
    <r>
      <rPr>
        <sz val="10"/>
        <color rgb="FFFF0000"/>
        <rFont val="Arial"/>
        <family val="2"/>
      </rPr>
      <t>(PC19/0312 Issued)</t>
    </r>
    <r>
      <rPr>
        <sz val="10"/>
        <color rgb="FF0000FF"/>
        <rFont val="Arial"/>
        <family val="2"/>
      </rPr>
      <t xml:space="preserve">
</t>
    </r>
    <r>
      <rPr>
        <sz val="10"/>
        <color rgb="FFFF0000"/>
        <rFont val="Arial"/>
        <family val="2"/>
      </rPr>
      <t>ICN Total = $34,975.00 @ Planning Reg 2020-2021
In accordance with Council’s Organisational Policy “Delayed Staged Payments of Infrastructure Charges” (amended due to COVID-19 Business Support Initiatives dated 26 March 2020)</t>
    </r>
  </si>
  <si>
    <t xml:space="preserve">MCU18/0093
</t>
  </si>
  <si>
    <t>Building Work: 
Noosa Building Approvals
Decision Notice: 20180436</t>
  </si>
  <si>
    <t>Robyn Law</t>
  </si>
  <si>
    <t>PO Box 253
CLAYFIELD QLD 4011</t>
  </si>
  <si>
    <t>14 Lowry Street
PEREGIAN BEACH QLD 4573</t>
  </si>
  <si>
    <t>Lot 371 P 93152</t>
  </si>
  <si>
    <t>Julie Wall</t>
  </si>
  <si>
    <t>62 Grasstree Road
EUMUNDI QLD 4562</t>
  </si>
  <si>
    <t>Lot 346 MCH 958</t>
  </si>
  <si>
    <t>148 Butler Street
TEWANTIN QLD 4565</t>
  </si>
  <si>
    <t>Daniel Slade</t>
  </si>
  <si>
    <t>10 Koala Crescent
LAKE MACDONALD QLD 4563</t>
  </si>
  <si>
    <t>Lot 97 RP 840251</t>
  </si>
  <si>
    <t>Building Work: 
Cooloola Building Approvals – Decision Notice: CBA7276</t>
  </si>
  <si>
    <t>Building Work: 
Earthcert Building Approvals - Decision Notice: 200197</t>
  </si>
  <si>
    <t>PC18/1390
Approved: 14/12/2018
(Received &amp; Registered by NSC 28/10/2020</t>
  </si>
  <si>
    <t>PC20/0679
Approved 23/10/2020
(Received &amp; Registered by NSC 28/10/2020)</t>
  </si>
  <si>
    <t>PC20/1061
Approved 21/8/2020
(Received &amp; Registered by NSC 30/10/2020)</t>
  </si>
  <si>
    <r>
      <rPr>
        <strike/>
        <sz val="10"/>
        <rFont val="Arial"/>
        <family val="2"/>
      </rPr>
      <t>3/11/2020</t>
    </r>
    <r>
      <rPr>
        <sz val="10"/>
        <rFont val="Arial"/>
        <family val="2"/>
      </rPr>
      <t xml:space="preserve">
</t>
    </r>
    <r>
      <rPr>
        <sz val="10"/>
        <color rgb="FF0000FF"/>
        <rFont val="Arial"/>
        <family val="2"/>
      </rPr>
      <t>4/11/2020</t>
    </r>
  </si>
  <si>
    <r>
      <rPr>
        <strike/>
        <sz val="10"/>
        <rFont val="Arial"/>
        <family val="2"/>
      </rPr>
      <t>19/08/2019</t>
    </r>
    <r>
      <rPr>
        <sz val="10"/>
        <rFont val="Arial"/>
        <family val="2"/>
      </rPr>
      <t xml:space="preserve">
</t>
    </r>
    <r>
      <rPr>
        <sz val="10"/>
        <color rgb="FF0000FF"/>
        <rFont val="Arial"/>
        <family val="2"/>
      </rPr>
      <t>4/11/2020</t>
    </r>
  </si>
  <si>
    <r>
      <rPr>
        <strike/>
        <sz val="10"/>
        <rFont val="Arial"/>
        <family val="2"/>
      </rPr>
      <t>NSC CR (No.3)</t>
    </r>
    <r>
      <rPr>
        <sz val="10"/>
        <rFont val="Arial"/>
        <family val="2"/>
      </rPr>
      <t xml:space="preserve">
</t>
    </r>
    <r>
      <rPr>
        <sz val="10"/>
        <color rgb="FF0000FF"/>
        <rFont val="Arial"/>
        <family val="2"/>
      </rPr>
      <t>NSC CR (No.5.1</t>
    </r>
    <r>
      <rPr>
        <sz val="10"/>
        <rFont val="Arial"/>
        <family val="2"/>
      </rPr>
      <t>)</t>
    </r>
  </si>
  <si>
    <r>
      <rPr>
        <strike/>
        <sz val="10"/>
        <rFont val="Arial"/>
        <family val="2"/>
      </rPr>
      <t>Planning Reg 2019-20</t>
    </r>
    <r>
      <rPr>
        <sz val="10"/>
        <rFont val="Arial"/>
        <family val="2"/>
      </rPr>
      <t xml:space="preserve">
</t>
    </r>
    <r>
      <rPr>
        <sz val="10"/>
        <color rgb="FF0000FF"/>
        <rFont val="Arial"/>
        <family val="2"/>
      </rPr>
      <t>2020-21</t>
    </r>
  </si>
  <si>
    <r>
      <rPr>
        <strike/>
        <sz val="10"/>
        <rFont val="Arial"/>
        <family val="2"/>
      </rPr>
      <t>MCU19/0029</t>
    </r>
    <r>
      <rPr>
        <sz val="10"/>
        <rFont val="Arial"/>
        <family val="2"/>
      </rPr>
      <t xml:space="preserve">
</t>
    </r>
    <r>
      <rPr>
        <sz val="10"/>
        <color rgb="FF0000FF"/>
        <rFont val="Arial"/>
        <family val="2"/>
      </rPr>
      <t>MCU19/0029.01</t>
    </r>
  </si>
  <si>
    <r>
      <t xml:space="preserve">Multiple Housing - Type 4 – Conventional 
</t>
    </r>
    <r>
      <rPr>
        <strike/>
        <sz val="10"/>
        <rFont val="Arial"/>
        <family val="2"/>
      </rPr>
      <t>2</t>
    </r>
    <r>
      <rPr>
        <sz val="10"/>
        <rFont val="Arial"/>
        <family val="2"/>
      </rPr>
      <t xml:space="preserve"> </t>
    </r>
    <r>
      <rPr>
        <sz val="10"/>
        <color rgb="FF0000FF"/>
        <rFont val="Arial"/>
        <family val="2"/>
      </rPr>
      <t xml:space="preserve">4 </t>
    </r>
    <r>
      <rPr>
        <sz val="10"/>
        <rFont val="Arial"/>
        <family val="2"/>
      </rPr>
      <t xml:space="preserve">x 2 Bedroom Units &amp;
</t>
    </r>
    <r>
      <rPr>
        <strike/>
        <sz val="10"/>
        <rFont val="Arial"/>
        <family val="2"/>
      </rPr>
      <t>3</t>
    </r>
    <r>
      <rPr>
        <sz val="10"/>
        <rFont val="Arial"/>
        <family val="2"/>
      </rPr>
      <t xml:space="preserve"> </t>
    </r>
    <r>
      <rPr>
        <sz val="10"/>
        <color rgb="FF0000FF"/>
        <rFont val="Arial"/>
        <family val="2"/>
      </rPr>
      <t xml:space="preserve">1 </t>
    </r>
    <r>
      <rPr>
        <sz val="10"/>
        <rFont val="Arial"/>
        <family val="2"/>
      </rPr>
      <t>x 1 Bedroom Units</t>
    </r>
  </si>
  <si>
    <t>PC19/1405
Approved 19/12/2019 (Registered by NSC 24/12/2019)</t>
  </si>
  <si>
    <t>PC19/1395
Approved 6/02/2020
(Registered by NSC 6/02/2019)</t>
  </si>
  <si>
    <t>PC19/1453
Approved 18/03/2020
(Registered by NSC 20/03/2020)</t>
  </si>
  <si>
    <t>PC20/0650
Approved 3/07/2020
(Registered by NSC 8/07/2020)</t>
  </si>
  <si>
    <t>PC20/0138
Approved 09/07/2020
(Registered by NSC 14/07/2020)</t>
  </si>
  <si>
    <t>PC20/0781
Approved 03/08/2020
(Registered by NSC 5/08/2020)</t>
  </si>
  <si>
    <t>PC19/1185
Approved: 24/08/2020
(Registered by NSC 28/08/2020)</t>
  </si>
  <si>
    <t>PC20/0726
Approved: 19/08/2020
(Registered by NSC 27/08/2020)</t>
  </si>
  <si>
    <t>PC20/0917
Approved: 28/07/2020
(Received &amp; Registered by NSC 2/08/2020)</t>
  </si>
  <si>
    <t>PC20/0870
Approved: 7/9/2020
(Received &amp; Registered by NSC 14/09/2020)</t>
  </si>
  <si>
    <t>PC20/0405
Approved: 22/09/2020
(Received &amp; Registered by NSC 23/09/2020</t>
  </si>
  <si>
    <t>PC20/0705
Approved: 02/09/2020
(Received &amp; Registered by NSC 23/09/2020</t>
  </si>
  <si>
    <t>PC20/0799
Approved: 22/09/2020
(Received &amp; Registered by NSC 23/09/2020</t>
  </si>
  <si>
    <t>PC20/0355
Approved: 18/09/2020
(Received &amp; Registered by NSC 09/09/2020</t>
  </si>
  <si>
    <t>PC20/0857
Approved: 16/09/2020
(Received &amp; Registered by NSC 16/10/2020</t>
  </si>
  <si>
    <t>PC19/1081
Approved: 1/10/2020
(Received &amp; Registered by NSC 20/10/2020</t>
  </si>
  <si>
    <t>PC20/1157
Approved 3/11/2020 (Received &amp; Registered by NSC 6/11/2020)</t>
  </si>
  <si>
    <t>Building Work: 
North Shore Building Approvals – Decision Notice: 20-172</t>
  </si>
  <si>
    <t>Ben Eggleton</t>
  </si>
  <si>
    <t>23 Southern Cross Parade
SUNRISE BEACH QLD 4567</t>
  </si>
  <si>
    <t>Lot 618 RP 221141</t>
  </si>
  <si>
    <t>NOVEMBER 2020
Total =</t>
  </si>
  <si>
    <r>
      <rPr>
        <b/>
        <sz val="10"/>
        <color rgb="FF0000FF"/>
        <rFont val="Arial"/>
        <family val="2"/>
      </rPr>
      <t xml:space="preserve">N </t>
    </r>
    <r>
      <rPr>
        <b/>
        <sz val="10"/>
        <rFont val="Arial"/>
        <family val="2"/>
      </rPr>
      <t xml:space="preserve">1421
</t>
    </r>
    <r>
      <rPr>
        <sz val="10"/>
        <color rgb="FFFF0000"/>
        <rFont val="Arial"/>
        <family val="2"/>
      </rPr>
      <t>PC20/0098 Stage 1 
CoC issued 19/10/2020
DUE 30 NOV 2020</t>
    </r>
  </si>
  <si>
    <t>D221874</t>
  </si>
  <si>
    <r>
      <rPr>
        <b/>
        <sz val="10"/>
        <color rgb="FF0000FF"/>
        <rFont val="Arial"/>
        <family val="2"/>
      </rPr>
      <t xml:space="preserve">N </t>
    </r>
    <r>
      <rPr>
        <b/>
        <sz val="10"/>
        <rFont val="Arial"/>
        <family val="2"/>
      </rPr>
      <t>1391</t>
    </r>
    <r>
      <rPr>
        <sz val="10"/>
        <color rgb="FF0000FF"/>
        <rFont val="Arial"/>
        <family val="2"/>
      </rPr>
      <t xml:space="preserve">
</t>
    </r>
    <r>
      <rPr>
        <sz val="10"/>
        <color rgb="FFFF0000"/>
        <rFont val="Arial"/>
        <family val="2"/>
      </rPr>
      <t xml:space="preserve">CoC issued 23/04/2020
DUE 1 July 2021 
but prior to any sale of property </t>
    </r>
  </si>
  <si>
    <t>D222883</t>
  </si>
  <si>
    <r>
      <rPr>
        <b/>
        <sz val="10"/>
        <color rgb="FF0000FF"/>
        <rFont val="Arial"/>
        <family val="2"/>
      </rPr>
      <t xml:space="preserve">N </t>
    </r>
    <r>
      <rPr>
        <b/>
        <sz val="10"/>
        <rFont val="Arial"/>
        <family val="2"/>
      </rPr>
      <t>1603</t>
    </r>
    <r>
      <rPr>
        <sz val="11"/>
        <color theme="1"/>
        <rFont val="Calibri"/>
        <family val="2"/>
        <scheme val="minor"/>
      </rPr>
      <t/>
    </r>
  </si>
  <si>
    <r>
      <rPr>
        <b/>
        <sz val="10"/>
        <color rgb="FF0000FF"/>
        <rFont val="Arial"/>
        <family val="2"/>
      </rPr>
      <t xml:space="preserve">N </t>
    </r>
    <r>
      <rPr>
        <b/>
        <sz val="10"/>
        <rFont val="Arial"/>
        <family val="2"/>
      </rPr>
      <t>1618</t>
    </r>
    <r>
      <rPr>
        <sz val="11"/>
        <color theme="1"/>
        <rFont val="Calibri"/>
        <family val="2"/>
        <scheme val="minor"/>
      </rPr>
      <t/>
    </r>
  </si>
  <si>
    <r>
      <rPr>
        <b/>
        <sz val="10"/>
        <color rgb="FF0000FF"/>
        <rFont val="Arial"/>
        <family val="2"/>
      </rPr>
      <t xml:space="preserve">N </t>
    </r>
    <r>
      <rPr>
        <b/>
        <sz val="10"/>
        <rFont val="Arial"/>
        <family val="2"/>
      </rPr>
      <t>1619</t>
    </r>
    <r>
      <rPr>
        <sz val="11"/>
        <color theme="1"/>
        <rFont val="Calibri"/>
        <family val="2"/>
        <scheme val="minor"/>
      </rPr>
      <t/>
    </r>
  </si>
  <si>
    <r>
      <rPr>
        <b/>
        <sz val="10"/>
        <color rgb="FF0000FF"/>
        <rFont val="Arial"/>
        <family val="2"/>
      </rPr>
      <t xml:space="preserve">N </t>
    </r>
    <r>
      <rPr>
        <b/>
        <sz val="10"/>
        <rFont val="Arial"/>
        <family val="2"/>
      </rPr>
      <t>1627</t>
    </r>
    <r>
      <rPr>
        <sz val="11"/>
        <color theme="1"/>
        <rFont val="Calibri"/>
        <family val="2"/>
        <scheme val="minor"/>
      </rPr>
      <t/>
    </r>
  </si>
  <si>
    <r>
      <rPr>
        <b/>
        <sz val="10"/>
        <color rgb="FF0000FF"/>
        <rFont val="Arial"/>
        <family val="2"/>
      </rPr>
      <t xml:space="preserve">N </t>
    </r>
    <r>
      <rPr>
        <b/>
        <sz val="10"/>
        <rFont val="Arial"/>
        <family val="2"/>
      </rPr>
      <t>1630</t>
    </r>
    <r>
      <rPr>
        <sz val="11"/>
        <color theme="1"/>
        <rFont val="Calibri"/>
        <family val="2"/>
        <scheme val="minor"/>
      </rPr>
      <t/>
    </r>
  </si>
  <si>
    <r>
      <rPr>
        <b/>
        <sz val="10"/>
        <color rgb="FF0000FF"/>
        <rFont val="Arial"/>
        <family val="2"/>
      </rPr>
      <t xml:space="preserve">N </t>
    </r>
    <r>
      <rPr>
        <b/>
        <sz val="10"/>
        <rFont val="Arial"/>
        <family val="2"/>
      </rPr>
      <t>1633</t>
    </r>
    <r>
      <rPr>
        <sz val="11"/>
        <color theme="1"/>
        <rFont val="Calibri"/>
        <family val="2"/>
        <scheme val="minor"/>
      </rPr>
      <t/>
    </r>
  </si>
  <si>
    <r>
      <rPr>
        <b/>
        <sz val="10"/>
        <color rgb="FF0000FF"/>
        <rFont val="Arial"/>
        <family val="2"/>
      </rPr>
      <t xml:space="preserve">N </t>
    </r>
    <r>
      <rPr>
        <b/>
        <sz val="10"/>
        <rFont val="Arial"/>
        <family val="2"/>
      </rPr>
      <t>1635</t>
    </r>
    <r>
      <rPr>
        <sz val="11"/>
        <color theme="1"/>
        <rFont val="Calibri"/>
        <family val="2"/>
        <scheme val="minor"/>
      </rPr>
      <t/>
    </r>
  </si>
  <si>
    <r>
      <rPr>
        <b/>
        <sz val="10"/>
        <color rgb="FF0000FF"/>
        <rFont val="Arial"/>
        <family val="2"/>
      </rPr>
      <t xml:space="preserve">N </t>
    </r>
    <r>
      <rPr>
        <b/>
        <sz val="10"/>
        <rFont val="Arial"/>
        <family val="2"/>
      </rPr>
      <t>1636</t>
    </r>
    <r>
      <rPr>
        <sz val="11"/>
        <color theme="1"/>
        <rFont val="Calibri"/>
        <family val="2"/>
        <scheme val="minor"/>
      </rPr>
      <t/>
    </r>
  </si>
  <si>
    <r>
      <rPr>
        <b/>
        <sz val="10"/>
        <color rgb="FF0000FF"/>
        <rFont val="Arial"/>
        <family val="2"/>
      </rPr>
      <t xml:space="preserve">N </t>
    </r>
    <r>
      <rPr>
        <b/>
        <sz val="10"/>
        <rFont val="Arial"/>
        <family val="2"/>
      </rPr>
      <t>1643</t>
    </r>
    <r>
      <rPr>
        <sz val="11"/>
        <color theme="1"/>
        <rFont val="Calibri"/>
        <family val="2"/>
        <scheme val="minor"/>
      </rPr>
      <t/>
    </r>
  </si>
  <si>
    <r>
      <rPr>
        <b/>
        <sz val="10"/>
        <color rgb="FF0000FF"/>
        <rFont val="Arial"/>
        <family val="2"/>
      </rPr>
      <t xml:space="preserve">N </t>
    </r>
    <r>
      <rPr>
        <b/>
        <sz val="10"/>
        <rFont val="Arial"/>
        <family val="2"/>
      </rPr>
      <t>1648</t>
    </r>
    <r>
      <rPr>
        <sz val="11"/>
        <color theme="1"/>
        <rFont val="Calibri"/>
        <family val="2"/>
        <scheme val="minor"/>
      </rPr>
      <t/>
    </r>
  </si>
  <si>
    <r>
      <rPr>
        <b/>
        <sz val="10"/>
        <color rgb="FF0000FF"/>
        <rFont val="Arial"/>
        <family val="2"/>
      </rPr>
      <t xml:space="preserve">N </t>
    </r>
    <r>
      <rPr>
        <b/>
        <sz val="10"/>
        <rFont val="Arial"/>
        <family val="2"/>
      </rPr>
      <t>1649</t>
    </r>
    <r>
      <rPr>
        <sz val="11"/>
        <color theme="1"/>
        <rFont val="Calibri"/>
        <family val="2"/>
        <scheme val="minor"/>
      </rPr>
      <t/>
    </r>
  </si>
  <si>
    <t>MCU20/0091
Approved: 10/11/2020
Issued: 16/11/2020</t>
  </si>
  <si>
    <t>Permaculture Noosa INC</t>
  </si>
  <si>
    <t>PO Box 619
COOROY QLD 4563</t>
  </si>
  <si>
    <t xml:space="preserve">Lot 234 MCH 4082 </t>
  </si>
  <si>
    <t>Badminton Hall 26 Emerald St
COOROY QLD 4563</t>
  </si>
  <si>
    <t>Community use (Permaculture shelter) = 38m2 gfa + 180m2 impervious area</t>
  </si>
  <si>
    <t>Wellbeing type 3 - worship - additional  114m² GFA applicable to community use
+ Additional impervious = 127m²</t>
  </si>
  <si>
    <r>
      <rPr>
        <strike/>
        <sz val="10"/>
        <rFont val="Arial"/>
        <family val="2"/>
      </rPr>
      <t>4/06/2016</t>
    </r>
    <r>
      <rPr>
        <sz val="10"/>
        <rFont val="Arial"/>
        <family val="2"/>
      </rPr>
      <t xml:space="preserve">
</t>
    </r>
    <r>
      <rPr>
        <sz val="10"/>
        <color rgb="FF0000FF"/>
        <rFont val="Arial"/>
        <family val="2"/>
      </rPr>
      <t>5/06/2020</t>
    </r>
  </si>
  <si>
    <r>
      <rPr>
        <strike/>
        <sz val="8"/>
        <rFont val="Arial"/>
        <family val="2"/>
      </rPr>
      <t>LAPSED 16/05/2012 Under Appeal</t>
    </r>
    <r>
      <rPr>
        <b/>
        <sz val="8"/>
        <rFont val="Arial"/>
        <family val="2"/>
      </rPr>
      <t xml:space="preserve">
</t>
    </r>
    <r>
      <rPr>
        <sz val="8"/>
        <color rgb="FF0000FF"/>
        <rFont val="Arial"/>
        <family val="2"/>
      </rPr>
      <t>Court Decided Extension &amp; Additional Condition to pay Stormwater $15,753 @ CPI March 2013</t>
    </r>
    <r>
      <rPr>
        <b/>
        <sz val="8"/>
        <color rgb="FFFF0000"/>
        <rFont val="Arial"/>
        <family val="2"/>
      </rPr>
      <t xml:space="preserve">
Court Appeal
2995-2018 Discontinued 31/03/2020 &amp; Lapsed </t>
    </r>
  </si>
  <si>
    <r>
      <t xml:space="preserve">06/1395 (DA)
</t>
    </r>
    <r>
      <rPr>
        <strike/>
        <sz val="8"/>
        <color rgb="FF0000FF"/>
        <rFont val="Arial"/>
        <family val="2"/>
      </rPr>
      <t>132006.1395.02</t>
    </r>
    <r>
      <rPr>
        <sz val="8"/>
        <color rgb="FF0000FF"/>
        <rFont val="Arial"/>
        <family val="2"/>
      </rPr>
      <t xml:space="preserve">
132006.1395.03
</t>
    </r>
    <r>
      <rPr>
        <sz val="8"/>
        <color rgb="FF0000FF"/>
        <rFont val="Arial"/>
        <family val="2"/>
      </rPr>
      <t xml:space="preserve">
</t>
    </r>
  </si>
  <si>
    <t xml:space="preserve">CONDITION 36a
The developer to upgrade existing trunk footpath along full frontage = 128m length (less 8m existing bus stop pad) at 2m wide = 120 lm
</t>
  </si>
  <si>
    <t>MCU20/0071
Approved: 12/11/2020
Issued: 17/11/2020</t>
  </si>
  <si>
    <t>Devalign</t>
  </si>
  <si>
    <t>PO Box 27
MOUNT GRAVATT QLD 4122</t>
  </si>
  <si>
    <t>24 Moorindil St 
TEWANTIN QLD 4566</t>
  </si>
  <si>
    <t>Lot 2 RP 89425</t>
  </si>
  <si>
    <t>Multiple Housing - 6 x 2 bed units</t>
  </si>
  <si>
    <t>Offset - Condition 43 for construction of “trunk” pathway along Moorindil St frontage.</t>
  </si>
  <si>
    <r>
      <rPr>
        <b/>
        <sz val="10"/>
        <color rgb="FF0000FF"/>
        <rFont val="Arial"/>
        <family val="2"/>
      </rPr>
      <t xml:space="preserve">N </t>
    </r>
    <r>
      <rPr>
        <b/>
        <sz val="10"/>
        <rFont val="Arial"/>
        <family val="2"/>
      </rPr>
      <t xml:space="preserve">1508
</t>
    </r>
    <r>
      <rPr>
        <sz val="10"/>
        <color rgb="FFFF0000"/>
        <rFont val="Arial"/>
        <family val="2"/>
      </rPr>
      <t>Completed via aerials Nov 2020</t>
    </r>
  </si>
  <si>
    <r>
      <t xml:space="preserve">MCU18/0009
</t>
    </r>
    <r>
      <rPr>
        <sz val="10"/>
        <color rgb="FFFF0000"/>
        <rFont val="Arial"/>
        <family val="2"/>
      </rPr>
      <t>replaced by MCU18/0009.01</t>
    </r>
  </si>
  <si>
    <r>
      <rPr>
        <b/>
        <sz val="10"/>
        <color rgb="FF0000FF"/>
        <rFont val="Arial"/>
        <family val="2"/>
      </rPr>
      <t xml:space="preserve">N </t>
    </r>
    <r>
      <rPr>
        <b/>
        <sz val="10"/>
        <rFont val="Arial"/>
        <family val="2"/>
      </rPr>
      <t xml:space="preserve">1398
</t>
    </r>
    <r>
      <rPr>
        <b/>
        <sz val="10"/>
        <color rgb="FFFF0000"/>
        <rFont val="Arial"/>
        <family val="2"/>
      </rPr>
      <t>Replaced by N1465</t>
    </r>
    <r>
      <rPr>
        <b/>
        <sz val="10"/>
        <rFont val="Arial"/>
        <family val="2"/>
      </rPr>
      <t xml:space="preserve">
</t>
    </r>
    <r>
      <rPr>
        <sz val="10"/>
        <color rgb="FFFF0000"/>
        <rFont val="Arial"/>
        <family val="2"/>
      </rPr>
      <t>100% REBATE COMMUNITY ORGANISATION</t>
    </r>
  </si>
  <si>
    <r>
      <rPr>
        <b/>
        <sz val="10"/>
        <color rgb="FF0000FF"/>
        <rFont val="Arial"/>
        <family val="2"/>
      </rPr>
      <t xml:space="preserve">N </t>
    </r>
    <r>
      <rPr>
        <b/>
        <sz val="10"/>
        <rFont val="Arial"/>
        <family val="2"/>
      </rPr>
      <t xml:space="preserve">1524
</t>
    </r>
  </si>
  <si>
    <r>
      <rPr>
        <b/>
        <sz val="10"/>
        <color rgb="FF0000FF"/>
        <rFont val="Arial"/>
        <family val="2"/>
      </rPr>
      <t xml:space="preserve">N </t>
    </r>
    <r>
      <rPr>
        <b/>
        <sz val="10"/>
        <rFont val="Arial"/>
        <family val="2"/>
      </rPr>
      <t xml:space="preserve">1406
</t>
    </r>
  </si>
  <si>
    <r>
      <rPr>
        <b/>
        <sz val="10"/>
        <color rgb="FF0000FF"/>
        <rFont val="Arial"/>
        <family val="2"/>
      </rPr>
      <t xml:space="preserve">N </t>
    </r>
    <r>
      <rPr>
        <b/>
        <sz val="10"/>
        <rFont val="Arial"/>
        <family val="2"/>
      </rPr>
      <t xml:space="preserve">1324
</t>
    </r>
  </si>
  <si>
    <r>
      <t>9/11/2010</t>
    </r>
    <r>
      <rPr>
        <sz val="8"/>
        <rFont val="Arial"/>
        <family val="2"/>
      </rPr>
      <t xml:space="preserve">
</t>
    </r>
    <r>
      <rPr>
        <strike/>
        <sz val="8"/>
        <rFont val="Arial"/>
        <family val="2"/>
      </rPr>
      <t>9/11/2014</t>
    </r>
    <r>
      <rPr>
        <sz val="8"/>
        <rFont val="Arial"/>
        <family val="2"/>
      </rPr>
      <t xml:space="preserve">
</t>
    </r>
    <r>
      <rPr>
        <strike/>
        <sz val="8"/>
        <rFont val="Arial"/>
        <family val="2"/>
      </rPr>
      <t>9/11/2016</t>
    </r>
    <r>
      <rPr>
        <sz val="8"/>
        <rFont val="Arial"/>
        <family val="2"/>
      </rPr>
      <t xml:space="preserve">
</t>
    </r>
    <r>
      <rPr>
        <sz val="8"/>
        <color rgb="FF0000FF"/>
        <rFont val="Arial"/>
        <family val="2"/>
      </rPr>
      <t xml:space="preserve">9/11/2020
</t>
    </r>
    <r>
      <rPr>
        <sz val="8"/>
        <color rgb="FFFF0000"/>
        <rFont val="Arial"/>
        <family val="2"/>
      </rPr>
      <t>Covid-19 
6 month extn</t>
    </r>
  </si>
  <si>
    <r>
      <rPr>
        <strike/>
        <sz val="8"/>
        <rFont val="Arial"/>
        <family val="2"/>
      </rPr>
      <t xml:space="preserve">16/07/2011
</t>
    </r>
    <r>
      <rPr>
        <strike/>
        <sz val="8"/>
        <color rgb="FF0000FF"/>
        <rFont val="Arial"/>
        <family val="2"/>
      </rPr>
      <t>4/09/2014</t>
    </r>
    <r>
      <rPr>
        <sz val="8"/>
        <color rgb="FF0000FF"/>
        <rFont val="Arial"/>
        <family val="2"/>
      </rPr>
      <t xml:space="preserve">
</t>
    </r>
    <r>
      <rPr>
        <strike/>
        <sz val="8"/>
        <color rgb="FF0000FF"/>
        <rFont val="Arial"/>
        <family val="2"/>
      </rPr>
      <t>4/09/2016</t>
    </r>
    <r>
      <rPr>
        <sz val="8"/>
        <color rgb="FF0000FF"/>
        <rFont val="Arial"/>
        <family val="2"/>
      </rPr>
      <t xml:space="preserve">
4/09/2020</t>
    </r>
    <r>
      <rPr>
        <sz val="8"/>
        <rFont val="Arial"/>
        <family val="2"/>
      </rPr>
      <t xml:space="preserve">
</t>
    </r>
    <r>
      <rPr>
        <sz val="8"/>
        <color rgb="FFFF0000"/>
        <rFont val="Arial"/>
        <family val="2"/>
      </rPr>
      <t>Covid-19 
6 month extn</t>
    </r>
  </si>
  <si>
    <t>Initial Extn granted when council resolution applied $50,000 threshold for IC assessment 
2nd to 4th Extn's Missing 
Public Transport n/a as amounts issued exceed Maximum AIC permissible.</t>
  </si>
  <si>
    <t xml:space="preserve">Lot 27 C 56016 </t>
  </si>
  <si>
    <t>25 Kauri St 
COOROY QLD 4563</t>
  </si>
  <si>
    <t>2 x residential lots</t>
  </si>
  <si>
    <t>1 x residential lot</t>
  </si>
  <si>
    <r>
      <rPr>
        <b/>
        <sz val="10"/>
        <rFont val="Arial"/>
        <family val="2"/>
      </rPr>
      <t>1 July 2021</t>
    </r>
    <r>
      <rPr>
        <sz val="10"/>
        <rFont val="Arial"/>
        <family val="2"/>
      </rPr>
      <t xml:space="preserve"> </t>
    </r>
    <r>
      <rPr>
        <u/>
        <sz val="10"/>
        <rFont val="Arial"/>
        <family val="2"/>
      </rPr>
      <t>but</t>
    </r>
    <r>
      <rPr>
        <sz val="10"/>
        <rFont val="Arial"/>
        <family val="2"/>
      </rPr>
      <t xml:space="preserve"> prior to any sale of property </t>
    </r>
    <r>
      <rPr>
        <sz val="10"/>
        <color rgb="FFFF0000"/>
        <rFont val="Arial"/>
        <family val="2"/>
      </rPr>
      <t>under Council’s COVID-19 Business Support Initiatives dated 26 March 2020</t>
    </r>
  </si>
  <si>
    <t>D223590</t>
  </si>
  <si>
    <t>D223828</t>
  </si>
  <si>
    <r>
      <rPr>
        <b/>
        <sz val="10"/>
        <color rgb="FF0000FF"/>
        <rFont val="Arial"/>
        <family val="2"/>
      </rPr>
      <t xml:space="preserve">N </t>
    </r>
    <r>
      <rPr>
        <b/>
        <sz val="10"/>
        <rFont val="Arial"/>
        <family val="2"/>
      </rPr>
      <t xml:space="preserve">1471
</t>
    </r>
    <r>
      <rPr>
        <i/>
        <sz val="10"/>
        <color rgb="FFFF0000"/>
        <rFont val="Arial"/>
        <family val="2"/>
      </rPr>
      <t>PC19/1229 CoC issued 3/11/2020
DUE 11 DEC 2020</t>
    </r>
  </si>
  <si>
    <t>1.	This Infrastructure Charges Notice N1580 only becomes payable by 1 July 2021 but prior to any sale of the newly created 2nd lot but only if payment of ICN.N1422 applicable to Stage 2 of MCU18/0165 has not been paid by that time. Should N1422 be paid in full beforehand, then N1580 will be cancelled &amp; not required
2.	If payment of N1580 is made then any subsequent payment of N1422 applicable to Stage 2 of MCU18/0165 or any other alternative approval will be credited with the amount applicable to 1 additional lot at time of payment.</t>
  </si>
  <si>
    <t>DBW20/0040
Approved: 19/11/2020
Issued: 20/11/2020</t>
  </si>
  <si>
    <t>Noosa Show Society &amp; Pomona Caravan Park</t>
  </si>
  <si>
    <t>C/- EarthCert Pty Ltd
PO Box 432
POMONA QLD 4568</t>
  </si>
  <si>
    <t>Lot 4 RP 35077</t>
  </si>
  <si>
    <t>19 Pavilion Street, 
POMONA QLD 4568</t>
  </si>
  <si>
    <t>Amenities Block = additional 9m2 gfa +
additional 9m2 impervious area</t>
  </si>
  <si>
    <t>D224137</t>
  </si>
  <si>
    <r>
      <t xml:space="preserve">NSC CR </t>
    </r>
    <r>
      <rPr>
        <strike/>
        <sz val="10"/>
        <rFont val="Arial"/>
        <family val="2"/>
      </rPr>
      <t>(No.2) (Amend.1)</t>
    </r>
    <r>
      <rPr>
        <sz val="10"/>
        <rFont val="Arial"/>
        <family val="2"/>
      </rPr>
      <t xml:space="preserve">
</t>
    </r>
    <r>
      <rPr>
        <strike/>
        <sz val="10"/>
        <color rgb="FF0000FF"/>
        <rFont val="Arial"/>
        <family val="2"/>
      </rPr>
      <t>(No.3)</t>
    </r>
    <r>
      <rPr>
        <sz val="10"/>
        <color rgb="FF0000FF"/>
        <rFont val="Arial"/>
        <family val="2"/>
      </rPr>
      <t xml:space="preserve">
(No.5.1)
</t>
    </r>
  </si>
  <si>
    <r>
      <t>Planning Reg</t>
    </r>
    <r>
      <rPr>
        <strike/>
        <sz val="10"/>
        <rFont val="Arial"/>
        <family val="2"/>
      </rPr>
      <t xml:space="preserve"> 2017-2018</t>
    </r>
    <r>
      <rPr>
        <sz val="10"/>
        <rFont val="Arial"/>
        <family val="2"/>
      </rPr>
      <t xml:space="preserve">
</t>
    </r>
    <r>
      <rPr>
        <strike/>
        <sz val="10"/>
        <color rgb="FF0000FF"/>
        <rFont val="Arial"/>
        <family val="2"/>
      </rPr>
      <t>2018-2019</t>
    </r>
    <r>
      <rPr>
        <sz val="10"/>
        <color rgb="FF0000FF"/>
        <rFont val="Arial"/>
        <family val="2"/>
      </rPr>
      <t xml:space="preserve">
2020-2021</t>
    </r>
  </si>
  <si>
    <r>
      <rPr>
        <strike/>
        <sz val="10"/>
        <rFont val="Arial"/>
        <family val="2"/>
      </rPr>
      <t>21/11/2017</t>
    </r>
    <r>
      <rPr>
        <sz val="10"/>
        <rFont val="Arial"/>
        <family val="2"/>
      </rPr>
      <t xml:space="preserve">
</t>
    </r>
    <r>
      <rPr>
        <strike/>
        <sz val="10"/>
        <color rgb="FF0000FF"/>
        <rFont val="Arial"/>
        <family val="2"/>
      </rPr>
      <t>27/03/2019</t>
    </r>
    <r>
      <rPr>
        <sz val="10"/>
        <color rgb="FF0000FF"/>
        <rFont val="Arial"/>
        <family val="2"/>
      </rPr>
      <t xml:space="preserve">
24/11/2020
</t>
    </r>
  </si>
  <si>
    <r>
      <t xml:space="preserve">Grasstree Ct </t>
    </r>
    <r>
      <rPr>
        <strike/>
        <sz val="10"/>
        <rFont val="Arial"/>
        <family val="2"/>
      </rPr>
      <t>&amp; Ben Lexcen Dr</t>
    </r>
    <r>
      <rPr>
        <sz val="10"/>
        <rFont val="Arial"/>
        <family val="2"/>
      </rPr>
      <t xml:space="preserve">
SUNRISE BEACH QLD 4567</t>
    </r>
  </si>
  <si>
    <r>
      <t xml:space="preserve">Lot 6 RP 901384 </t>
    </r>
    <r>
      <rPr>
        <strike/>
        <sz val="10"/>
        <rFont val="Arial"/>
        <family val="2"/>
      </rPr>
      <t>&amp; Lot 9 SP 252905</t>
    </r>
  </si>
  <si>
    <t xml:space="preserve">Replaces Previous AICN110 &amp; N1279(Rev1)
</t>
  </si>
  <si>
    <r>
      <rPr>
        <b/>
        <sz val="10"/>
        <color rgb="FF0000FF"/>
        <rFont val="Arial"/>
        <family val="2"/>
      </rPr>
      <t xml:space="preserve">N </t>
    </r>
    <r>
      <rPr>
        <b/>
        <sz val="10"/>
        <rFont val="Arial"/>
        <family val="2"/>
      </rPr>
      <t xml:space="preserve">1430
</t>
    </r>
    <r>
      <rPr>
        <b/>
        <sz val="10"/>
        <color rgb="FF0000FF"/>
        <rFont val="Arial"/>
        <family val="2"/>
      </rPr>
      <t xml:space="preserve">STAGE 3
</t>
    </r>
    <r>
      <rPr>
        <sz val="10"/>
        <color rgb="FFFF0000"/>
        <rFont val="Arial"/>
        <family val="2"/>
      </rPr>
      <t>Replaced by 
N1280 (Rev2)</t>
    </r>
  </si>
  <si>
    <t>Residential aged care facility = 
6,406m2 GFA
+ Impervious Area - 5683m2</t>
  </si>
  <si>
    <t>Nil - Existing vacant Non-res lot with no previous contributions paid</t>
  </si>
  <si>
    <t>Nil - Existing vacant lot created from Council owned Open Space land with no IC paid</t>
  </si>
  <si>
    <r>
      <t xml:space="preserve">Retirement Village = 
</t>
    </r>
    <r>
      <rPr>
        <sz val="10"/>
        <color rgb="FF0000FF"/>
        <rFont val="Arial"/>
        <family val="2"/>
      </rPr>
      <t>13 x 3 bed units
31 x 2 bed units
+ 
Central facilities 973 m2 gfa &amp; Impervious area</t>
    </r>
  </si>
  <si>
    <r>
      <rPr>
        <b/>
        <sz val="10"/>
        <color rgb="FF0000FF"/>
        <rFont val="Arial"/>
        <family val="2"/>
      </rPr>
      <t xml:space="preserve">N </t>
    </r>
    <r>
      <rPr>
        <b/>
        <sz val="10"/>
        <rFont val="Arial"/>
        <family val="2"/>
      </rPr>
      <t xml:space="preserve">1280
</t>
    </r>
    <r>
      <rPr>
        <b/>
        <sz val="10"/>
        <color rgb="FF0000FF"/>
        <rFont val="Arial"/>
        <family val="2"/>
      </rPr>
      <t>STAGE 3</t>
    </r>
  </si>
  <si>
    <r>
      <rPr>
        <b/>
        <sz val="10"/>
        <color rgb="FF0000FF"/>
        <rFont val="Arial"/>
        <family val="2"/>
      </rPr>
      <t xml:space="preserve">N </t>
    </r>
    <r>
      <rPr>
        <b/>
        <sz val="10"/>
        <rFont val="Arial"/>
        <family val="2"/>
      </rPr>
      <t xml:space="preserve">1280
</t>
    </r>
    <r>
      <rPr>
        <b/>
        <sz val="10"/>
        <color rgb="FF0000FF"/>
        <rFont val="Arial"/>
        <family val="2"/>
      </rPr>
      <t>STAGE 4</t>
    </r>
  </si>
  <si>
    <r>
      <t xml:space="preserve">Retirement Village = 
</t>
    </r>
    <r>
      <rPr>
        <sz val="10"/>
        <color rgb="FF0000FF"/>
        <rFont val="Arial"/>
        <family val="2"/>
      </rPr>
      <t>32 x 3 bed units
22 x 2 bed units</t>
    </r>
  </si>
  <si>
    <t>D224388</t>
  </si>
  <si>
    <r>
      <rPr>
        <b/>
        <sz val="10"/>
        <color rgb="FF0000FF"/>
        <rFont val="Arial"/>
        <family val="2"/>
      </rPr>
      <t xml:space="preserve">N </t>
    </r>
    <r>
      <rPr>
        <b/>
        <sz val="10"/>
        <rFont val="Arial"/>
        <family val="2"/>
      </rPr>
      <t xml:space="preserve">1574 (b)
</t>
    </r>
    <r>
      <rPr>
        <sz val="10"/>
        <color rgb="FFFF0000"/>
        <rFont val="Arial"/>
        <family val="2"/>
      </rPr>
      <t xml:space="preserve">
Final Inspection Certificate issued 26/10/2020
 DUE 4 DEC 2020</t>
    </r>
  </si>
  <si>
    <t>AQH Storage P/L</t>
  </si>
  <si>
    <t>C/- Pace Planning Pty Ltd
9 Panorama Ridge Rd
BUDERIM QLD 4556</t>
  </si>
  <si>
    <t>Lot 6 SP 190837</t>
  </si>
  <si>
    <t>6/11 Bartlett Rd 
NOOSAVILLE QLD 4566</t>
  </si>
  <si>
    <t>Ancillary Dwelling unit = 1 x 1 bedroom</t>
  </si>
  <si>
    <t>Building Work: 
JDBA Certifiers
Decision Notice: BA200944</t>
  </si>
  <si>
    <t>Benic Projects</t>
  </si>
  <si>
    <t>41 Youngs Drive
DOONAN QLD 4562</t>
  </si>
  <si>
    <t>Lot 14 RP 902161</t>
  </si>
  <si>
    <t>405 Cooroy Mountain Road COOROY MOUNTAIN QLD 4563</t>
  </si>
  <si>
    <t>PC20/1202
Approved: 06/11/2020
(Received &amp; Registered by NSC 25/11/2020)</t>
  </si>
  <si>
    <t xml:space="preserve">PC18/0527
 </t>
  </si>
  <si>
    <r>
      <rPr>
        <strike/>
        <sz val="10"/>
        <rFont val="Arial"/>
        <family val="2"/>
      </rPr>
      <t>21/01/2021</t>
    </r>
    <r>
      <rPr>
        <sz val="10"/>
        <rFont val="Arial"/>
        <family val="2"/>
      </rPr>
      <t xml:space="preserve">
</t>
    </r>
    <r>
      <rPr>
        <sz val="10"/>
        <color rgb="FF0000FF"/>
        <rFont val="Arial"/>
        <family val="2"/>
      </rPr>
      <t>Ext 16/01/2022</t>
    </r>
  </si>
  <si>
    <r>
      <rPr>
        <strike/>
        <sz val="10"/>
        <rFont val="Arial"/>
        <family val="2"/>
      </rPr>
      <t>3/05/2020</t>
    </r>
    <r>
      <rPr>
        <sz val="10"/>
        <rFont val="Arial"/>
        <family val="2"/>
      </rPr>
      <t xml:space="preserve">
</t>
    </r>
    <r>
      <rPr>
        <sz val="10"/>
        <color rgb="FF0000FF"/>
        <rFont val="Arial"/>
        <family val="2"/>
      </rPr>
      <t>Ext 23/02/2021</t>
    </r>
    <r>
      <rPr>
        <sz val="10"/>
        <rFont val="Arial"/>
        <family val="2"/>
      </rPr>
      <t xml:space="preserve">
</t>
    </r>
  </si>
  <si>
    <r>
      <rPr>
        <b/>
        <sz val="10"/>
        <color rgb="FF0000FF"/>
        <rFont val="Arial"/>
        <family val="2"/>
      </rPr>
      <t xml:space="preserve">N </t>
    </r>
    <r>
      <rPr>
        <b/>
        <sz val="10"/>
        <rFont val="Arial"/>
        <family val="2"/>
      </rPr>
      <t xml:space="preserve">1228
</t>
    </r>
    <r>
      <rPr>
        <sz val="10"/>
        <color rgb="FFFF0000"/>
        <rFont val="Arial"/>
        <family val="2"/>
      </rPr>
      <t xml:space="preserve">PC17/0773 issued 11/07/2017
nearing completion 
</t>
    </r>
    <r>
      <rPr>
        <b/>
        <sz val="10"/>
        <color rgb="FFFF0000"/>
        <rFont val="Arial"/>
        <family val="2"/>
      </rPr>
      <t>To review in Jan 2021</t>
    </r>
  </si>
  <si>
    <r>
      <t xml:space="preserve">10 Ridgeway Street
SUNRISE BEACH QLD 4567
</t>
    </r>
    <r>
      <rPr>
        <sz val="10"/>
        <color rgb="FF0000FF"/>
        <rFont val="Arial"/>
        <family val="2"/>
      </rPr>
      <t>Now 1 Woodlark Rise</t>
    </r>
  </si>
  <si>
    <r>
      <t xml:space="preserve">28 Crystal Street
COOROY QLD 4563
</t>
    </r>
    <r>
      <rPr>
        <sz val="10"/>
        <color rgb="FF0000FF"/>
        <rFont val="Arial"/>
        <family val="2"/>
      </rPr>
      <t xml:space="preserve">(Plans relate to 28 Crystal St) </t>
    </r>
  </si>
  <si>
    <r>
      <t xml:space="preserve">28 Crystal Street
COOROY QLD 4563
</t>
    </r>
    <r>
      <rPr>
        <sz val="10"/>
        <color rgb="FF0000FF"/>
        <rFont val="Arial"/>
        <family val="2"/>
      </rPr>
      <t>(Plans actually relate to 26 Crystal St)</t>
    </r>
    <r>
      <rPr>
        <sz val="10"/>
        <rFont val="Arial"/>
        <family val="2"/>
      </rPr>
      <t xml:space="preserve"> </t>
    </r>
  </si>
  <si>
    <t>MCU19/0143
Approved 14/04/2020
Issued 15/04/2020</t>
  </si>
  <si>
    <t>DECEMBER 2020
Total =</t>
  </si>
  <si>
    <t>D225654</t>
  </si>
  <si>
    <t>D226072</t>
  </si>
  <si>
    <r>
      <t xml:space="preserve">12 Serenity Close Noosa Heads,
NOOSA HEADS QLD 4567
</t>
    </r>
    <r>
      <rPr>
        <sz val="10"/>
        <color rgb="FF0000FF"/>
        <rFont val="Arial"/>
        <family val="2"/>
      </rPr>
      <t>Now 12-14 Serenity Close</t>
    </r>
  </si>
  <si>
    <r>
      <t xml:space="preserve">Lot 7 on SP 195871
</t>
    </r>
    <r>
      <rPr>
        <sz val="10"/>
        <color rgb="FF0000FF"/>
        <rFont val="Arial"/>
        <family val="2"/>
      </rPr>
      <t>Now 
Lot 100 SP 305332</t>
    </r>
  </si>
  <si>
    <t>DBW20/0038
Approved 7/12/2020
Issued: 8/12/2020</t>
  </si>
  <si>
    <t>Smart Automotive Technologies</t>
  </si>
  <si>
    <t>C/- SVR Environmental &amp; Town
14 Boram Street
CURRIMUNDI QLD 4551</t>
  </si>
  <si>
    <t>Lot 3 SP 142399</t>
  </si>
  <si>
    <t>The Powerhouse
3/10 Venture Drive 
NOOSAVILLE QLD 4566</t>
  </si>
  <si>
    <t>The infrastructure charge has been calculated 7 based only on the additional development to that lawfully existing on the site.</t>
  </si>
  <si>
    <r>
      <rPr>
        <b/>
        <sz val="10"/>
        <color rgb="FF0000FF"/>
        <rFont val="Arial"/>
        <family val="2"/>
      </rPr>
      <t xml:space="preserve">N </t>
    </r>
    <r>
      <rPr>
        <b/>
        <sz val="10"/>
        <rFont val="Arial"/>
        <family val="2"/>
      </rPr>
      <t>1583</t>
    </r>
  </si>
  <si>
    <t>MCU20/0073
Approved: 7/12/2020
Issued: 8/12/2020</t>
  </si>
  <si>
    <t>Mark Bain</t>
  </si>
  <si>
    <t>Lots 1,2 &amp; 3 BUP 4161 + Lot 447 RP 48112</t>
  </si>
  <si>
    <t>13 &amp; 15 Park Crescent 
SUNSHINE BEACH QLD4567</t>
  </si>
  <si>
    <t>Existing 3 x 3 B/R Multiple Dwellings + 1 Dwelling House</t>
  </si>
  <si>
    <t>Multiple Dwellings = 4 x 2 B/R Dwellings</t>
  </si>
  <si>
    <t>PC20/0572
Approved: 30/11/2020
Received &amp; Registered by NSC 9/12/2020</t>
  </si>
  <si>
    <t>Building Work
Earthcert Building Approvals
Decision Notice: 200159</t>
  </si>
  <si>
    <t>Brenton &amp; Heidi Woodman</t>
  </si>
  <si>
    <t>121 Gumboil Road
LAKE MACDONALD QLD 4563</t>
  </si>
  <si>
    <t>Lot 1 RP 181768</t>
  </si>
  <si>
    <t>D226962</t>
  </si>
  <si>
    <t>D227490</t>
  </si>
  <si>
    <t>MCU20/0074
Approved: 7/12/2020
Issued: 14/12/2020</t>
  </si>
  <si>
    <t>Michael Tarrant</t>
  </si>
  <si>
    <t>Lot 107 C 5604</t>
  </si>
  <si>
    <t>33 Tewantin Road
COOROY QLD 4563</t>
  </si>
  <si>
    <t>Material Change of Use - Multiple dwelling - 3 x 3+ bed</t>
  </si>
  <si>
    <t>1 existing dwelling house - 4 brms</t>
  </si>
  <si>
    <t>PC20/1314
Approved: 30/11/2020
Received &amp; Registered by NSC 15/12/2020</t>
  </si>
  <si>
    <t>Building Work
Sunshine Coast Building Approvals: 200850</t>
  </si>
  <si>
    <t>Barrett Installations Pty Ltd</t>
  </si>
  <si>
    <t>3 Holyhock Crescent
NOOSA HEADS QLD 4567</t>
  </si>
  <si>
    <t>Lot 4 SP 115873</t>
  </si>
  <si>
    <t>50A McKinnon Drive 
TEWANTIN QLD 4565</t>
  </si>
  <si>
    <t>Entertainment &amp; Dining Business – Type 3 Bar = 12.4 + 21 = 33m2 gfa 
Limited to 2.5 days/week per:
Condition 9 - The approved use must not operate outside the hours of Friday, 3:00pm to 8:00pm and weekends
and public holidays 12:00pm – 8:00pm
No change to existing impervious area.</t>
  </si>
  <si>
    <t>Industry 33m2 gfa</t>
  </si>
  <si>
    <t>BNB Super Pty Ltd</t>
  </si>
  <si>
    <t>C/- Project Urban 
PO Box 6380
MAROOCHYDORE BC QLD 4558</t>
  </si>
  <si>
    <t>Lot 1 SP 309776</t>
  </si>
  <si>
    <t>1/5 Taylor Court
COOROY QLD 4563</t>
  </si>
  <si>
    <t xml:space="preserve">MCU19/0134
(P&amp;E Court Judgement  Appeal D67 of 2020)
Approved: 14/12/2020
Issued: 15/12/2020
</t>
  </si>
  <si>
    <t>Request 17/12/2020 ICN Total = $5,264.00 @ Planning Reg 2019-2020
In accordance with Council’s Organisational Policy “Delayed Staged Payments of Infrastructure Charges” (amended due to COVID-19 Business Support Initiatives dated 26 March 2020)</t>
  </si>
  <si>
    <t>D228669</t>
  </si>
  <si>
    <t>D228670</t>
  </si>
  <si>
    <t>D228674</t>
  </si>
  <si>
    <t>D228675</t>
  </si>
  <si>
    <t>MCU20/0131
Approved: 21/12/2020
Issued: 22/12/2020</t>
  </si>
  <si>
    <t>EarthCert Pty Ltd</t>
  </si>
  <si>
    <t>PO Box 432
POMONA QLD 4568</t>
  </si>
  <si>
    <t>Lot 2 RP 817359</t>
  </si>
  <si>
    <t>16 Binalong Lane
PINBARREN QLD 4568</t>
  </si>
  <si>
    <t>MCU19/0001
Approved: 17/12/2020
Issued: 22/12/2020</t>
  </si>
  <si>
    <t xml:space="preserve">Heritage Investments Pty Ltd
</t>
  </si>
  <si>
    <t>C/- RG Strategic
PO Box 191
GYMPIE QLD 4570</t>
  </si>
  <si>
    <t>Lots 703, 704 &amp; 705 C5602</t>
  </si>
  <si>
    <t>6-10 Diamond Street 
COOROY QLD 4563</t>
  </si>
  <si>
    <t>Other Industry = Service and utility type 1 - depot (689m²)
Credit for existing impervious areas. Including roof and carparking area = 2501m²</t>
  </si>
  <si>
    <r>
      <rPr>
        <b/>
        <sz val="10"/>
        <color rgb="FF0000FF"/>
        <rFont val="Arial"/>
        <family val="2"/>
      </rPr>
      <t xml:space="preserve">N </t>
    </r>
    <r>
      <rPr>
        <b/>
        <sz val="10"/>
        <rFont val="Arial"/>
        <family val="2"/>
      </rPr>
      <t xml:space="preserve">1238
</t>
    </r>
    <r>
      <rPr>
        <b/>
        <sz val="10"/>
        <color rgb="FF0000FF"/>
        <rFont val="Arial"/>
        <family val="2"/>
      </rPr>
      <t>IA#80</t>
    </r>
    <r>
      <rPr>
        <sz val="10"/>
        <color rgb="FFFF0000"/>
        <rFont val="Arial"/>
        <family val="2"/>
      </rPr>
      <t xml:space="preserve">
</t>
    </r>
    <r>
      <rPr>
        <b/>
        <sz val="10"/>
        <color rgb="FFFF0000"/>
        <rFont val="Arial"/>
        <family val="2"/>
      </rPr>
      <t>Staged Pmt No 1
DUE 20 Dec 2019</t>
    </r>
  </si>
  <si>
    <r>
      <rPr>
        <b/>
        <sz val="10"/>
        <color rgb="FF0000FF"/>
        <rFont val="Arial"/>
        <family val="2"/>
      </rPr>
      <t xml:space="preserve">N </t>
    </r>
    <r>
      <rPr>
        <b/>
        <sz val="10"/>
        <rFont val="Arial"/>
        <family val="2"/>
      </rPr>
      <t xml:space="preserve">1238
</t>
    </r>
    <r>
      <rPr>
        <b/>
        <sz val="10"/>
        <color rgb="FF0000FF"/>
        <rFont val="Arial"/>
        <family val="2"/>
      </rPr>
      <t>IA#80</t>
    </r>
    <r>
      <rPr>
        <sz val="10"/>
        <color rgb="FFFF0000"/>
        <rFont val="Arial"/>
        <family val="2"/>
      </rPr>
      <t xml:space="preserve">
</t>
    </r>
    <r>
      <rPr>
        <b/>
        <sz val="10"/>
        <color rgb="FFFF0000"/>
        <rFont val="Arial"/>
        <family val="2"/>
      </rPr>
      <t>Staged Pmt No 2
Part Payment</t>
    </r>
  </si>
  <si>
    <r>
      <t xml:space="preserve">Part Payment:
</t>
    </r>
    <r>
      <rPr>
        <strike/>
        <sz val="8"/>
        <color rgb="FFFF0000"/>
        <rFont val="Arial"/>
        <family val="2"/>
      </rPr>
      <t>- $278 on 21/07/2020 
-$200 on 16/09/2020
-$400 on 22/10/2020</t>
    </r>
    <r>
      <rPr>
        <sz val="8"/>
        <color rgb="FFFF0000"/>
        <rFont val="Arial"/>
        <family val="2"/>
      </rPr>
      <t xml:space="preserve">
</t>
    </r>
    <r>
      <rPr>
        <b/>
        <sz val="8"/>
        <color rgb="FFFF0000"/>
        <rFont val="Arial"/>
        <family val="2"/>
      </rPr>
      <t>-$200 on 21/12/2020</t>
    </r>
    <r>
      <rPr>
        <sz val="8"/>
        <color rgb="FFFF0000"/>
        <rFont val="Arial"/>
        <family val="2"/>
      </rPr>
      <t xml:space="preserve">
</t>
    </r>
  </si>
  <si>
    <t>D230517</t>
  </si>
  <si>
    <r>
      <rPr>
        <b/>
        <sz val="10"/>
        <color rgb="FF0000FF"/>
        <rFont val="Arial"/>
        <family val="2"/>
      </rPr>
      <t xml:space="preserve">N </t>
    </r>
    <r>
      <rPr>
        <b/>
        <sz val="10"/>
        <rFont val="Arial"/>
        <family val="2"/>
      </rPr>
      <t xml:space="preserve">1170
</t>
    </r>
    <r>
      <rPr>
        <sz val="10"/>
        <color rgb="FFFF0000"/>
        <rFont val="Arial"/>
        <family val="2"/>
      </rPr>
      <t>Final Inspection Certificate issued 6/11/2020</t>
    </r>
    <r>
      <rPr>
        <b/>
        <sz val="10"/>
        <rFont val="Arial"/>
        <family val="2"/>
      </rPr>
      <t xml:space="preserve">
</t>
    </r>
    <r>
      <rPr>
        <sz val="10"/>
        <color rgb="FFFF0000"/>
        <rFont val="Arial"/>
        <family val="2"/>
      </rPr>
      <t>DUE 8 JAN 2021</t>
    </r>
  </si>
  <si>
    <r>
      <rPr>
        <b/>
        <sz val="10"/>
        <color rgb="FF0000FF"/>
        <rFont val="Arial"/>
        <family val="2"/>
      </rPr>
      <t xml:space="preserve">N </t>
    </r>
    <r>
      <rPr>
        <b/>
        <sz val="10"/>
        <rFont val="Arial"/>
        <family val="2"/>
      </rPr>
      <t xml:space="preserve">1423
</t>
    </r>
    <r>
      <rPr>
        <sz val="10"/>
        <color rgb="FFFF0000"/>
        <rFont val="Arial"/>
        <family val="2"/>
      </rPr>
      <t>PC19/0983 CoC issued 10/11/2020
T1 use commenced 24/11/2020 
DUE 8 JAN 2021</t>
    </r>
  </si>
  <si>
    <r>
      <rPr>
        <b/>
        <sz val="10"/>
        <color rgb="FF0000FF"/>
        <rFont val="Arial"/>
        <family val="2"/>
      </rPr>
      <t xml:space="preserve">N </t>
    </r>
    <r>
      <rPr>
        <b/>
        <sz val="10"/>
        <rFont val="Arial"/>
        <family val="2"/>
      </rPr>
      <t xml:space="preserve">1501
</t>
    </r>
    <r>
      <rPr>
        <sz val="10"/>
        <color rgb="FFFF0000"/>
        <rFont val="Arial"/>
        <family val="2"/>
      </rPr>
      <t>Final Inspection certificate issued 22/04/2020
DUE 8 JAN 2021</t>
    </r>
  </si>
  <si>
    <t>MCU19/0118
Approved 5/03/2020
Issued 10/03/2020</t>
  </si>
  <si>
    <t>D230712</t>
  </si>
  <si>
    <r>
      <rPr>
        <b/>
        <sz val="10"/>
        <color rgb="FF0000FF"/>
        <rFont val="Arial"/>
        <family val="2"/>
      </rPr>
      <t xml:space="preserve">N </t>
    </r>
    <r>
      <rPr>
        <b/>
        <sz val="10"/>
        <rFont val="Arial"/>
        <family val="2"/>
      </rPr>
      <t xml:space="preserve">1447
</t>
    </r>
    <r>
      <rPr>
        <sz val="10"/>
        <color rgb="FFFF0000"/>
        <rFont val="Arial"/>
        <family val="2"/>
      </rPr>
      <t>Final Inspection Certificate issued 2/06/2020
DUE 8 JAN 2021</t>
    </r>
  </si>
  <si>
    <t>Retail Business type 2 - shop salon= 350m² GFA
Commercial business type 1 - office = 330m² GFA
Mulitple housing type 4 - Conventional = 2 bedroom units x 4
Total proposed impervious = 2702m² (site area = 3036m² - landscaping = 11% (334m²)</t>
  </si>
  <si>
    <t>DBW20/0050
Approved: 6/01/2021
Issued: 7/01/2021</t>
  </si>
  <si>
    <t>Project BA</t>
  </si>
  <si>
    <t xml:space="preserve">PO Box 45
NOOSAVILLE QLD 4566
</t>
  </si>
  <si>
    <t>Lot 2 RP 171041</t>
  </si>
  <si>
    <t>20 Hoy Road 
LAKE MACDONALD QLD 4563</t>
  </si>
  <si>
    <t>N/a - addition to existing</t>
  </si>
  <si>
    <t>Wholesale Nursery = 216 m2 additional GFA &amp; Impervious area</t>
  </si>
  <si>
    <t>MCU20/0067
Approved: 26/10/2020
Issued: 2/11/2020</t>
  </si>
  <si>
    <t>D000230918</t>
  </si>
  <si>
    <t>Environmental Financial Settlement Offset</t>
  </si>
  <si>
    <t>SBC Environmental Financial Settlement Offset Agreement</t>
  </si>
  <si>
    <t>Environmental Financial Settlement Offset Agreement</t>
  </si>
  <si>
    <t>JANUARY 2021 Total =</t>
  </si>
  <si>
    <t>Trunk Infrastructure OFFSET</t>
  </si>
  <si>
    <t>Trunk Infrastructure Offsets</t>
  </si>
  <si>
    <t xml:space="preserve">Building Work: Building Certification Group
Notice: 00061444
</t>
  </si>
  <si>
    <r>
      <t xml:space="preserve">Building Work: Noosa Building Certifiers
Notice: 20190076
</t>
    </r>
    <r>
      <rPr>
        <sz val="10"/>
        <color rgb="FFFF0000"/>
        <rFont val="Arial"/>
        <family val="2"/>
      </rPr>
      <t>Disengaged  1/05/2020</t>
    </r>
  </si>
  <si>
    <t>PC19/730 issued</t>
  </si>
  <si>
    <r>
      <rPr>
        <b/>
        <sz val="10"/>
        <color rgb="FF0000FF"/>
        <rFont val="Arial"/>
        <family val="2"/>
      </rPr>
      <t xml:space="preserve">N </t>
    </r>
    <r>
      <rPr>
        <b/>
        <sz val="10"/>
        <rFont val="Arial"/>
        <family val="2"/>
      </rPr>
      <t xml:space="preserve">1547
</t>
    </r>
    <r>
      <rPr>
        <sz val="10"/>
        <color rgb="FFFF0000"/>
        <rFont val="Arial"/>
        <family val="2"/>
      </rPr>
      <t xml:space="preserve">
Final inspection Certificate issued 2/10/2020
DUE 8 JAN 2021</t>
    </r>
    <r>
      <rPr>
        <sz val="10"/>
        <rFont val="Arial"/>
        <family val="2"/>
      </rPr>
      <t xml:space="preserve">
</t>
    </r>
  </si>
  <si>
    <t>Paid 5/01/2021
Receipted 7/01/2021</t>
  </si>
  <si>
    <t>Internal Transfer to Council Trust Account</t>
  </si>
  <si>
    <t>Paid 6/01/2021 Receipted 11/01/2020</t>
  </si>
  <si>
    <t>6/01/2021
Receipted 11/01/2021</t>
  </si>
  <si>
    <r>
      <rPr>
        <b/>
        <sz val="10"/>
        <color rgb="FF0000FF"/>
        <rFont val="Arial"/>
        <family val="2"/>
      </rPr>
      <t xml:space="preserve">N </t>
    </r>
    <r>
      <rPr>
        <b/>
        <sz val="10"/>
        <rFont val="Arial"/>
        <family val="2"/>
      </rPr>
      <t xml:space="preserve">1238
</t>
    </r>
    <r>
      <rPr>
        <b/>
        <sz val="10"/>
        <color rgb="FF0000FF"/>
        <rFont val="Arial"/>
        <family val="2"/>
      </rPr>
      <t>IA#80</t>
    </r>
    <r>
      <rPr>
        <sz val="10"/>
        <color rgb="FFFF0000"/>
        <rFont val="Arial"/>
        <family val="2"/>
      </rPr>
      <t xml:space="preserve">
</t>
    </r>
    <r>
      <rPr>
        <b/>
        <sz val="10"/>
        <color rgb="FFFF0000"/>
        <rFont val="Arial"/>
        <family val="2"/>
      </rPr>
      <t xml:space="preserve">Staged Pmt No 4 (Bal) 
</t>
    </r>
    <r>
      <rPr>
        <sz val="10"/>
        <color rgb="FFFF0000"/>
        <rFont val="Arial"/>
        <family val="2"/>
      </rPr>
      <t>DUE 15 JUNE 2021</t>
    </r>
    <r>
      <rPr>
        <b/>
        <sz val="10"/>
        <color rgb="FFFF0000"/>
        <rFont val="Arial"/>
        <family val="2"/>
      </rPr>
      <t xml:space="preserve">
</t>
    </r>
    <r>
      <rPr>
        <sz val="10"/>
        <color rgb="FFFF0000"/>
        <rFont val="Arial"/>
        <family val="2"/>
      </rPr>
      <t xml:space="preserve">but prior to any sale of property
</t>
    </r>
  </si>
  <si>
    <r>
      <t xml:space="preserve">Part Payments:
- $278 on 21/07/2020 
-$200 on 16/09/2020
-$400 on 22/10/2020
-$200 on 21/12/2020
</t>
    </r>
    <r>
      <rPr>
        <b/>
        <sz val="8"/>
        <color rgb="FF0000FF"/>
        <rFont val="Arial"/>
        <family val="2"/>
      </rPr>
      <t xml:space="preserve">Paid  Final  Bal </t>
    </r>
  </si>
  <si>
    <r>
      <t xml:space="preserve">Planning Reg </t>
    </r>
    <r>
      <rPr>
        <strike/>
        <sz val="10"/>
        <rFont val="Arial"/>
        <family val="2"/>
      </rPr>
      <t>2018-19</t>
    </r>
    <r>
      <rPr>
        <sz val="10"/>
        <rFont val="Arial"/>
        <family val="2"/>
      </rPr>
      <t xml:space="preserve">
</t>
    </r>
    <r>
      <rPr>
        <sz val="10"/>
        <color rgb="FFFF0000"/>
        <rFont val="Arial"/>
        <family val="2"/>
      </rPr>
      <t>2020-21</t>
    </r>
  </si>
  <si>
    <r>
      <rPr>
        <strike/>
        <sz val="10"/>
        <rFont val="Arial"/>
        <family val="2"/>
      </rPr>
      <t>21/11/2017</t>
    </r>
    <r>
      <rPr>
        <sz val="10"/>
        <rFont val="Arial"/>
        <family val="2"/>
      </rPr>
      <t xml:space="preserve">
</t>
    </r>
    <r>
      <rPr>
        <strike/>
        <sz val="10"/>
        <color rgb="FF0000FF"/>
        <rFont val="Arial"/>
        <family val="2"/>
      </rPr>
      <t>27/03/2019</t>
    </r>
    <r>
      <rPr>
        <sz val="10"/>
        <color rgb="FF0000FF"/>
        <rFont val="Arial"/>
        <family val="2"/>
      </rPr>
      <t xml:space="preserve">
</t>
    </r>
    <r>
      <rPr>
        <strike/>
        <sz val="10"/>
        <color rgb="FF0000FF"/>
        <rFont val="Arial"/>
        <family val="2"/>
      </rPr>
      <t>24/11/2020</t>
    </r>
    <r>
      <rPr>
        <sz val="10"/>
        <color rgb="FF0000FF"/>
        <rFont val="Arial"/>
        <family val="2"/>
      </rPr>
      <t xml:space="preserve">
13/01/2021
</t>
    </r>
  </si>
  <si>
    <r>
      <rPr>
        <strike/>
        <sz val="10"/>
        <color rgb="FF0000FF"/>
        <rFont val="Arial"/>
        <family val="2"/>
      </rPr>
      <t>Replaces Previous AICN111 &amp; N1280(Rev1)</t>
    </r>
    <r>
      <rPr>
        <sz val="10"/>
        <color rgb="FF0000FF"/>
        <rFont val="Arial"/>
        <family val="2"/>
      </rPr>
      <t xml:space="preserve">
Replaces Previous N1280(Rev2) - Stage 2 Rev to include Stormwater reduction for 5x2 bedroom units located over Central Community Facility impervious area.
</t>
    </r>
  </si>
  <si>
    <r>
      <rPr>
        <strike/>
        <sz val="10"/>
        <color rgb="FF0000FF"/>
        <rFont val="Arial"/>
        <family val="2"/>
      </rPr>
      <t>Replaces Previous AICN111 &amp; N1280(Rev1) &amp; N1430</t>
    </r>
    <r>
      <rPr>
        <sz val="10"/>
        <color rgb="FF0000FF"/>
        <rFont val="Arial"/>
        <family val="2"/>
      </rPr>
      <t xml:space="preserve">
Replaces Previous N1280(Rev2) </t>
    </r>
  </si>
  <si>
    <r>
      <t xml:space="preserve">New additional Stage 4 
</t>
    </r>
    <r>
      <rPr>
        <strike/>
        <sz val="10"/>
        <color rgb="FF0000FF"/>
        <rFont val="Arial"/>
        <family val="2"/>
      </rPr>
      <t>Replaces Previous AICN111 &amp; N1280(Rev1) &amp; N1430</t>
    </r>
    <r>
      <rPr>
        <sz val="10"/>
        <color rgb="FF0000FF"/>
        <rFont val="Arial"/>
        <family val="2"/>
      </rPr>
      <t xml:space="preserve">
Replaces Previous N1280(Rev2) </t>
    </r>
  </si>
  <si>
    <t>D231557</t>
  </si>
  <si>
    <t>D231558</t>
  </si>
  <si>
    <r>
      <rPr>
        <b/>
        <sz val="10"/>
        <color rgb="FF0000FF"/>
        <rFont val="Arial"/>
        <family val="2"/>
      </rPr>
      <t xml:space="preserve">N </t>
    </r>
    <r>
      <rPr>
        <b/>
        <sz val="10"/>
        <rFont val="Arial"/>
        <family val="2"/>
      </rPr>
      <t xml:space="preserve">1555
</t>
    </r>
    <r>
      <rPr>
        <sz val="10"/>
        <color rgb="FFFF0000"/>
        <rFont val="Arial"/>
        <family val="2"/>
      </rPr>
      <t>Final Inspection Certificate issued 
2/12/2020</t>
    </r>
    <r>
      <rPr>
        <b/>
        <sz val="10"/>
        <rFont val="Arial"/>
        <family val="2"/>
      </rPr>
      <t xml:space="preserve">
</t>
    </r>
    <r>
      <rPr>
        <sz val="10"/>
        <color rgb="FFFF0000"/>
        <rFont val="Arial"/>
        <family val="2"/>
      </rPr>
      <t>phoned on 13/01/2021 advising will come to pay at office.</t>
    </r>
  </si>
  <si>
    <t>D231905</t>
  </si>
  <si>
    <t>2020-2021financial year
@ CPI March 2020</t>
  </si>
  <si>
    <t>PC20/0751 issued</t>
  </si>
  <si>
    <t>D232429</t>
  </si>
  <si>
    <t>15/01/2021
Receipted 18/01/2021</t>
  </si>
  <si>
    <r>
      <rPr>
        <b/>
        <sz val="10"/>
        <color rgb="FF0000FF"/>
        <rFont val="Arial"/>
        <family val="2"/>
      </rPr>
      <t xml:space="preserve">N </t>
    </r>
    <r>
      <rPr>
        <b/>
        <sz val="10"/>
        <rFont val="Arial"/>
        <family val="2"/>
      </rPr>
      <t xml:space="preserve">1516
</t>
    </r>
    <r>
      <rPr>
        <b/>
        <sz val="10"/>
        <color rgb="FF0000FF"/>
        <rFont val="Arial"/>
        <family val="2"/>
      </rPr>
      <t xml:space="preserve">+
IA 92 carparking
</t>
    </r>
    <r>
      <rPr>
        <sz val="10"/>
        <color rgb="FFFF0000"/>
        <rFont val="Arial"/>
        <family val="2"/>
      </rPr>
      <t>COC issued 17/12/2020
DUE 12 FEB 2021</t>
    </r>
  </si>
  <si>
    <r>
      <t xml:space="preserve">IA 92
</t>
    </r>
    <r>
      <rPr>
        <sz val="8"/>
        <color rgb="FF0000FF"/>
        <rFont val="Arial"/>
        <family val="2"/>
      </rPr>
      <t xml:space="preserve">+
ICN.N1516
</t>
    </r>
    <r>
      <rPr>
        <sz val="8"/>
        <color rgb="FFFF0000"/>
        <rFont val="Arial"/>
        <family val="2"/>
      </rPr>
      <t>COC issued 17/12/2020
DUE 12 FEB 2021</t>
    </r>
  </si>
  <si>
    <r>
      <t xml:space="preserve">PC20/0734 issued 
</t>
    </r>
    <r>
      <rPr>
        <sz val="10"/>
        <color rgb="FFFF0000"/>
        <rFont val="Arial"/>
        <family val="2"/>
      </rPr>
      <t>In accordance with Council’s COVID-19 Business Support Initiatives dated 26 March 2020 to defer infrastructure charges until July 2021, with no interest payments applied.</t>
    </r>
  </si>
  <si>
    <r>
      <t xml:space="preserve">Planning Reg </t>
    </r>
    <r>
      <rPr>
        <strike/>
        <sz val="10"/>
        <rFont val="Arial"/>
        <family val="2"/>
      </rPr>
      <t>2019-20</t>
    </r>
    <r>
      <rPr>
        <sz val="10"/>
        <rFont val="Arial"/>
        <family val="2"/>
      </rPr>
      <t xml:space="preserve">
</t>
    </r>
    <r>
      <rPr>
        <sz val="10"/>
        <color rgb="FFFF0000"/>
        <rFont val="Arial"/>
        <family val="2"/>
      </rPr>
      <t>2020-21</t>
    </r>
  </si>
  <si>
    <t>D233079</t>
  </si>
  <si>
    <t>PC20/1112
Approved: 6/1/2021
Received &amp; Registered by NSC 20/01/2021</t>
  </si>
  <si>
    <t xml:space="preserve">Trent Oldman Constructions </t>
  </si>
  <si>
    <t>12 Sallwood Court
PINBARREN QLD 4568</t>
  </si>
  <si>
    <t>Lot 6 SP 230065</t>
  </si>
  <si>
    <t>Michael Casey</t>
  </si>
  <si>
    <t>PO Box 455
POMONA QLD 4568</t>
  </si>
  <si>
    <t>Lot 12 RP 867982</t>
  </si>
  <si>
    <t>182 Coles Creek Road
COORAN QLD 4569</t>
  </si>
  <si>
    <t>571 Cooroy Noosa Road
TINBEERWAH QLD 4563</t>
  </si>
  <si>
    <r>
      <rPr>
        <b/>
        <sz val="10"/>
        <color rgb="FF0000FF"/>
        <rFont val="Arial"/>
        <family val="2"/>
      </rPr>
      <t xml:space="preserve">N </t>
    </r>
    <r>
      <rPr>
        <b/>
        <sz val="10"/>
        <rFont val="Arial"/>
        <family val="2"/>
      </rPr>
      <t xml:space="preserve">1462
</t>
    </r>
    <r>
      <rPr>
        <sz val="10"/>
        <color rgb="FFFF0000"/>
        <rFont val="Arial"/>
        <family val="2"/>
      </rPr>
      <t xml:space="preserve">21/01/2021 Aerials indicate constructed &amp; completed per discussion with owner
DUE 1 July 2021 </t>
    </r>
    <r>
      <rPr>
        <b/>
        <sz val="12"/>
        <color rgb="FFFF0000"/>
        <rFont val="Arial"/>
        <family val="2"/>
      </rPr>
      <t xml:space="preserve">
</t>
    </r>
    <r>
      <rPr>
        <u/>
        <sz val="10"/>
        <color rgb="FFFF0000"/>
        <rFont val="Arial"/>
        <family val="2"/>
      </rPr>
      <t xml:space="preserve">but </t>
    </r>
    <r>
      <rPr>
        <sz val="10"/>
        <color rgb="FFFF0000"/>
        <rFont val="Arial"/>
        <family val="2"/>
      </rPr>
      <t xml:space="preserve">prior to any sale of property </t>
    </r>
  </si>
  <si>
    <t>PC20/1228
Approved: 7/1/2021
Received &amp; Registered by NSC 20/01/2021</t>
  </si>
  <si>
    <t>PC21/0024
Approved: 15/1/2021
Received &amp; Registered by NSC 28/01/2021</t>
  </si>
  <si>
    <t>Maurice Milani</t>
  </si>
  <si>
    <t>51 Sunset Drive 
NOOSA HEADS QLD 4567</t>
  </si>
  <si>
    <t>Lot 86 RP 132405</t>
  </si>
  <si>
    <t>D238548</t>
  </si>
  <si>
    <t>JANUARY 2021
Total =</t>
  </si>
  <si>
    <t>FEBRUARY 2021
Total =</t>
  </si>
  <si>
    <r>
      <rPr>
        <b/>
        <sz val="10"/>
        <color rgb="FF0000FF"/>
        <rFont val="Arial"/>
        <family val="2"/>
      </rPr>
      <t xml:space="preserve">N </t>
    </r>
    <r>
      <rPr>
        <b/>
        <sz val="10"/>
        <rFont val="Arial"/>
        <family val="2"/>
      </rPr>
      <t xml:space="preserve">1238
</t>
    </r>
    <r>
      <rPr>
        <b/>
        <sz val="10"/>
        <color rgb="FF0000FF"/>
        <rFont val="Arial"/>
        <family val="2"/>
      </rPr>
      <t>IA#80</t>
    </r>
    <r>
      <rPr>
        <sz val="10"/>
        <color rgb="FFFF0000"/>
        <rFont val="Arial"/>
        <family val="2"/>
      </rPr>
      <t xml:space="preserve">
</t>
    </r>
    <r>
      <rPr>
        <b/>
        <sz val="10"/>
        <color rgb="FFFF0000"/>
        <rFont val="Arial"/>
        <family val="2"/>
      </rPr>
      <t xml:space="preserve">Part Staged Pmt No 5
</t>
    </r>
    <r>
      <rPr>
        <b/>
        <sz val="12"/>
        <color rgb="FFFF0000"/>
        <rFont val="Arial"/>
        <family val="2"/>
      </rPr>
      <t/>
    </r>
  </si>
  <si>
    <r>
      <rPr>
        <b/>
        <sz val="10"/>
        <color rgb="FF0000FF"/>
        <rFont val="Arial"/>
        <family val="2"/>
      </rPr>
      <t xml:space="preserve">N </t>
    </r>
    <r>
      <rPr>
        <b/>
        <sz val="10"/>
        <rFont val="Arial"/>
        <family val="2"/>
      </rPr>
      <t xml:space="preserve">1476
</t>
    </r>
    <r>
      <rPr>
        <sz val="10"/>
        <color rgb="FFFF0000"/>
        <rFont val="Arial"/>
        <family val="2"/>
      </rPr>
      <t>Use was operating on issue
DUE 26 FEB 2021</t>
    </r>
  </si>
  <si>
    <t>D240169</t>
  </si>
  <si>
    <t>D241403</t>
  </si>
  <si>
    <t>D241408</t>
  </si>
  <si>
    <t>MCU20/0130</t>
  </si>
  <si>
    <t>Michael Tozer and Sunshine Coast Commercial Pty Ltd</t>
  </si>
  <si>
    <t xml:space="preserve">11/11 Bartlett Road, NOOSAVILLE QLD 4566 </t>
  </si>
  <si>
    <t xml:space="preserve">Lot 16 on SP 290687 </t>
  </si>
  <si>
    <t>(Indoor Sport &amp; Rec) but previous higher lawful acepted development use = Industry = 952 m2 gfa +
952 m2 Impervious area</t>
  </si>
  <si>
    <t>D242810</t>
  </si>
  <si>
    <t xml:space="preserve">Stage 1 = PC17/0343 CoC 10/05/2018
Stage 2 = PC20/0633 </t>
  </si>
  <si>
    <r>
      <rPr>
        <b/>
        <sz val="10"/>
        <color rgb="FF0000FF"/>
        <rFont val="Arial"/>
        <family val="2"/>
      </rPr>
      <t xml:space="preserve">N </t>
    </r>
    <r>
      <rPr>
        <b/>
        <sz val="10"/>
        <rFont val="Arial"/>
        <family val="2"/>
      </rPr>
      <t xml:space="preserve">1187
(STAGE 2)
</t>
    </r>
    <r>
      <rPr>
        <sz val="10"/>
        <color rgb="FF0000FF"/>
        <rFont val="Arial"/>
        <family val="2"/>
      </rPr>
      <t xml:space="preserve">PC20/0633 </t>
    </r>
  </si>
  <si>
    <r>
      <rPr>
        <b/>
        <sz val="10"/>
        <color rgb="FF0000FF"/>
        <rFont val="Arial"/>
        <family val="2"/>
      </rPr>
      <t xml:space="preserve">N </t>
    </r>
    <r>
      <rPr>
        <b/>
        <sz val="10"/>
        <rFont val="Arial"/>
        <family val="2"/>
      </rPr>
      <t xml:space="preserve">1394
</t>
    </r>
    <r>
      <rPr>
        <i/>
        <sz val="10"/>
        <color rgb="FFFF0000"/>
        <rFont val="Arial"/>
        <family val="2"/>
      </rPr>
      <t xml:space="preserve">(CoC issued 22/09/2020
</t>
    </r>
    <r>
      <rPr>
        <sz val="10"/>
        <color rgb="FFFF0000"/>
        <rFont val="Arial"/>
        <family val="2"/>
      </rPr>
      <t xml:space="preserve">DUE 1 July 2021 
but prior to any sale of property </t>
    </r>
  </si>
  <si>
    <r>
      <t xml:space="preserve">MCU19/0090
</t>
    </r>
    <r>
      <rPr>
        <sz val="10"/>
        <color rgb="FF0000FF"/>
        <rFont val="Arial"/>
        <family val="2"/>
      </rPr>
      <t xml:space="preserve">
</t>
    </r>
  </si>
  <si>
    <t>MV Siesta P/L</t>
  </si>
  <si>
    <t>60 Gateway Dr 
NOOSAVILLE QLD 4566</t>
  </si>
  <si>
    <t>Lot 13 SP 216079</t>
  </si>
  <si>
    <r>
      <t xml:space="preserve">Vacant Non-Res Lot
(152007.1626.04) per Advisory Note 1 as follows:
- 1 detached house lot excluding Stormwater component (i.e. for CMRNICP, Open Space, Pathways &amp; Public Transport) = </t>
    </r>
    <r>
      <rPr>
        <b/>
        <sz val="10"/>
        <rFont val="Arial"/>
        <family val="2"/>
      </rPr>
      <t>equivalent 0.9 Non-Residential Lot</t>
    </r>
  </si>
  <si>
    <r>
      <t xml:space="preserve">(152007.1626.04) per Advisory Note 1 as follows: 
- $0.59/m2 lot area @CPI March 2011 for remaining balance Offset/Credit for trunk pathway constructed = </t>
    </r>
    <r>
      <rPr>
        <b/>
        <sz val="10"/>
        <color rgb="FF0000FF"/>
        <rFont val="Arial"/>
        <family val="2"/>
      </rPr>
      <t xml:space="preserve">$1,015.00 @ CPI Mar 2020 for 2020-2021 financial year </t>
    </r>
  </si>
  <si>
    <t>Low Impact Industry = 909 m2 GFA +
1189 Impervious area</t>
  </si>
  <si>
    <t>MCU20/0126
Approved: 2/02/2021
Issued: 5/02/2021</t>
  </si>
  <si>
    <t>PC19/1475
Approved: 3/02/2021
Received &amp; Registered by NSC 9/02/2021</t>
  </si>
  <si>
    <t>31 The Cockelshell
NOOSAVILLE QLD 4566</t>
  </si>
  <si>
    <t>Lot 37 RP 94023</t>
  </si>
  <si>
    <t>55 Allambi Terrace
NOOSA HEADS QLD 4567</t>
  </si>
  <si>
    <r>
      <t xml:space="preserve">Planning Reg </t>
    </r>
    <r>
      <rPr>
        <strike/>
        <sz val="10"/>
        <rFont val="Arial"/>
        <family val="2"/>
      </rPr>
      <t>2018-2019</t>
    </r>
    <r>
      <rPr>
        <sz val="10"/>
        <rFont val="Arial"/>
        <family val="2"/>
      </rPr>
      <t xml:space="preserve">
</t>
    </r>
    <r>
      <rPr>
        <sz val="10"/>
        <color rgb="FF0000FF"/>
        <rFont val="Arial"/>
        <family val="2"/>
      </rPr>
      <t>2020-2021</t>
    </r>
  </si>
  <si>
    <r>
      <t xml:space="preserve">NSC CR </t>
    </r>
    <r>
      <rPr>
        <strike/>
        <sz val="10"/>
        <rFont val="Arial"/>
        <family val="2"/>
      </rPr>
      <t>(No.2) (Amend.1)</t>
    </r>
    <r>
      <rPr>
        <sz val="10"/>
        <rFont val="Arial"/>
        <family val="2"/>
      </rPr>
      <t xml:space="preserve">
</t>
    </r>
    <r>
      <rPr>
        <sz val="10"/>
        <color rgb="FF0000FF"/>
        <rFont val="Arial"/>
        <family val="2"/>
      </rPr>
      <t>(No.5.1)</t>
    </r>
    <r>
      <rPr>
        <sz val="10"/>
        <rFont val="Arial"/>
        <family val="2"/>
      </rPr>
      <t xml:space="preserve">
</t>
    </r>
  </si>
  <si>
    <r>
      <rPr>
        <strike/>
        <sz val="10"/>
        <rFont val="Arial"/>
        <family val="2"/>
      </rPr>
      <t>17/07/2018</t>
    </r>
    <r>
      <rPr>
        <sz val="10"/>
        <rFont val="Arial"/>
        <family val="2"/>
      </rPr>
      <t xml:space="preserve">
</t>
    </r>
    <r>
      <rPr>
        <strike/>
        <sz val="10"/>
        <color rgb="FF0000FF"/>
        <rFont val="Arial"/>
        <family val="2"/>
      </rPr>
      <t>5/09/2018</t>
    </r>
    <r>
      <rPr>
        <sz val="10"/>
        <color rgb="FF0000FF"/>
        <rFont val="Arial"/>
        <family val="2"/>
      </rPr>
      <t xml:space="preserve">
10/02/2021</t>
    </r>
  </si>
  <si>
    <r>
      <t xml:space="preserve">Material Change of Use
</t>
    </r>
    <r>
      <rPr>
        <sz val="10"/>
        <color rgb="FF0000FF"/>
        <rFont val="Arial"/>
        <family val="2"/>
      </rPr>
      <t>Minor Change</t>
    </r>
  </si>
  <si>
    <t xml:space="preserve">17/07/2024
</t>
  </si>
  <si>
    <r>
      <rPr>
        <strike/>
        <sz val="10"/>
        <rFont val="Arial"/>
        <family val="2"/>
      </rPr>
      <t>MCU17/0073</t>
    </r>
    <r>
      <rPr>
        <sz val="10"/>
        <rFont val="Arial"/>
        <family val="2"/>
      </rPr>
      <t xml:space="preserve">
</t>
    </r>
    <r>
      <rPr>
        <sz val="10"/>
        <color rgb="FF0000FF"/>
        <rFont val="Arial"/>
        <family val="2"/>
      </rPr>
      <t>MCU17/0073.01
Approved 11/12/2020
Issued 16/12/2020</t>
    </r>
  </si>
  <si>
    <r>
      <t>a. Wellbeing Type 3 - Place of Worship = (</t>
    </r>
    <r>
      <rPr>
        <strike/>
        <sz val="10"/>
        <rFont val="Arial"/>
        <family val="2"/>
      </rPr>
      <t>433</t>
    </r>
    <r>
      <rPr>
        <sz val="10"/>
        <rFont val="Arial"/>
        <family val="2"/>
      </rPr>
      <t xml:space="preserve"> </t>
    </r>
    <r>
      <rPr>
        <sz val="10"/>
        <color rgb="FFFF0000"/>
        <rFont val="Arial"/>
        <family val="2"/>
      </rPr>
      <t>437</t>
    </r>
    <r>
      <rPr>
        <sz val="10"/>
        <rFont val="Arial"/>
        <family val="2"/>
      </rPr>
      <t xml:space="preserve">+ </t>
    </r>
    <r>
      <rPr>
        <strike/>
        <sz val="10"/>
        <rFont val="Arial"/>
        <family val="2"/>
      </rPr>
      <t>215</t>
    </r>
    <r>
      <rPr>
        <sz val="10"/>
        <rFont val="Arial"/>
        <family val="2"/>
      </rPr>
      <t xml:space="preserve"> </t>
    </r>
    <r>
      <rPr>
        <sz val="10"/>
        <color rgb="FFFF0000"/>
        <rFont val="Arial"/>
        <family val="2"/>
      </rPr>
      <t>214</t>
    </r>
    <r>
      <rPr>
        <sz val="10"/>
        <rFont val="Arial"/>
        <family val="2"/>
      </rPr>
      <t xml:space="preserve">+ </t>
    </r>
    <r>
      <rPr>
        <strike/>
        <sz val="10"/>
        <rFont val="Arial"/>
        <family val="2"/>
      </rPr>
      <t>169</t>
    </r>
    <r>
      <rPr>
        <sz val="10"/>
        <rFont val="Arial"/>
        <family val="2"/>
      </rPr>
      <t xml:space="preserve"> </t>
    </r>
    <r>
      <rPr>
        <sz val="10"/>
        <color rgb="FFFF0000"/>
        <rFont val="Arial"/>
        <family val="2"/>
      </rPr>
      <t>204</t>
    </r>
    <r>
      <rPr>
        <sz val="10"/>
        <rFont val="Arial"/>
        <family val="2"/>
      </rPr>
      <t xml:space="preserve">) = </t>
    </r>
    <r>
      <rPr>
        <strike/>
        <sz val="10"/>
        <rFont val="Arial"/>
        <family val="2"/>
      </rPr>
      <t>817</t>
    </r>
    <r>
      <rPr>
        <sz val="10"/>
        <rFont val="Arial"/>
        <family val="2"/>
      </rPr>
      <t xml:space="preserve"> </t>
    </r>
    <r>
      <rPr>
        <sz val="10"/>
        <color rgb="FFFF0000"/>
        <rFont val="Arial"/>
        <family val="2"/>
      </rPr>
      <t>855</t>
    </r>
    <r>
      <rPr>
        <sz val="10"/>
        <rFont val="Arial"/>
        <family val="2"/>
      </rPr>
      <t>m2 gfa
b. Education Type 2 - School (Hall) = (</t>
    </r>
    <r>
      <rPr>
        <strike/>
        <sz val="10"/>
        <rFont val="Arial"/>
        <family val="2"/>
      </rPr>
      <t>338</t>
    </r>
    <r>
      <rPr>
        <sz val="10"/>
        <rFont val="Arial"/>
        <family val="2"/>
      </rPr>
      <t xml:space="preserve"> </t>
    </r>
    <r>
      <rPr>
        <sz val="10"/>
        <color rgb="FFFF0000"/>
        <rFont val="Arial"/>
        <family val="2"/>
      </rPr>
      <t>337</t>
    </r>
    <r>
      <rPr>
        <sz val="10"/>
        <rFont val="Arial"/>
        <family val="2"/>
      </rPr>
      <t xml:space="preserve">+ 77) = </t>
    </r>
    <r>
      <rPr>
        <strike/>
        <sz val="10"/>
        <rFont val="Arial"/>
        <family val="2"/>
      </rPr>
      <t>415</t>
    </r>
    <r>
      <rPr>
        <sz val="10"/>
        <rFont val="Arial"/>
        <family val="2"/>
      </rPr>
      <t xml:space="preserve"> </t>
    </r>
    <r>
      <rPr>
        <sz val="10"/>
        <color rgb="FFFF0000"/>
        <rFont val="Arial"/>
        <family val="2"/>
      </rPr>
      <t xml:space="preserve">414 </t>
    </r>
    <r>
      <rPr>
        <sz val="10"/>
        <rFont val="Arial"/>
        <family val="2"/>
      </rPr>
      <t>m2 gfa
c. plus new total impervious area = 1,665 m2 (estimated from approved plans)</t>
    </r>
    <r>
      <rPr>
        <sz val="10"/>
        <color rgb="FFFF0000"/>
        <rFont val="Arial"/>
        <family val="2"/>
      </rPr>
      <t xml:space="preserve"> - 57m2</t>
    </r>
    <r>
      <rPr>
        <sz val="10"/>
        <rFont val="Arial"/>
        <family val="2"/>
      </rPr>
      <t xml:space="preserve"> </t>
    </r>
    <r>
      <rPr>
        <sz val="10"/>
        <color rgb="FFFF0000"/>
        <rFont val="Arial"/>
        <family val="2"/>
      </rPr>
      <t>= 1,608m2</t>
    </r>
  </si>
  <si>
    <r>
      <t xml:space="preserve">3. Council Policy: Infrastructure Charges Rebates Policy for Community Organisations - Religious Organisations = 
</t>
    </r>
    <r>
      <rPr>
        <strike/>
        <sz val="10"/>
        <color rgb="FF0000FF"/>
        <rFont val="Arial"/>
        <family val="2"/>
      </rPr>
      <t>-$13,135.00</t>
    </r>
    <r>
      <rPr>
        <sz val="10"/>
        <color rgb="FF0000FF"/>
        <rFont val="Arial"/>
        <family val="2"/>
      </rPr>
      <t xml:space="preserve"> </t>
    </r>
    <r>
      <rPr>
        <sz val="10"/>
        <color rgb="FFFF0000"/>
        <rFont val="Arial"/>
        <family val="2"/>
      </rPr>
      <t>-14,718.00</t>
    </r>
  </si>
  <si>
    <r>
      <t xml:space="preserve">Building Work: Noosa Building Certifiers
Notice: 20190077
</t>
    </r>
    <r>
      <rPr>
        <sz val="10"/>
        <color rgb="FFFF0000"/>
        <rFont val="Arial"/>
        <family val="2"/>
      </rPr>
      <t>Disengaged  1/05/2020
New NOE PC21/0146</t>
    </r>
  </si>
  <si>
    <t>D246631</t>
  </si>
  <si>
    <r>
      <rPr>
        <b/>
        <sz val="10"/>
        <color rgb="FF0000FF"/>
        <rFont val="Arial"/>
        <family val="2"/>
      </rPr>
      <t xml:space="preserve">N </t>
    </r>
    <r>
      <rPr>
        <b/>
        <sz val="10"/>
        <rFont val="Arial"/>
        <family val="2"/>
      </rPr>
      <t xml:space="preserve">1500
</t>
    </r>
    <r>
      <rPr>
        <i/>
        <sz val="10"/>
        <color rgb="FFFF0000"/>
        <rFont val="Arial"/>
        <family val="2"/>
      </rPr>
      <t>PC20/0066 Final Inspect Cert issued 7/09/2020</t>
    </r>
    <r>
      <rPr>
        <b/>
        <sz val="10"/>
        <color rgb="FFFF0000"/>
        <rFont val="Arial"/>
        <family val="2"/>
      </rPr>
      <t xml:space="preserve">
</t>
    </r>
    <r>
      <rPr>
        <sz val="10"/>
        <color rgb="FFFF0000"/>
        <rFont val="Arial"/>
        <family val="2"/>
      </rPr>
      <t xml:space="preserve">DUE 26 FEB 2021 </t>
    </r>
  </si>
  <si>
    <t>D247499</t>
  </si>
  <si>
    <r>
      <rPr>
        <b/>
        <sz val="10"/>
        <color rgb="FF0000FF"/>
        <rFont val="Arial"/>
        <family val="2"/>
      </rPr>
      <t xml:space="preserve">N </t>
    </r>
    <r>
      <rPr>
        <b/>
        <sz val="10"/>
        <rFont val="Arial"/>
        <family val="2"/>
      </rPr>
      <t xml:space="preserve">1238
</t>
    </r>
    <r>
      <rPr>
        <b/>
        <sz val="10"/>
        <color rgb="FF0000FF"/>
        <rFont val="Arial"/>
        <family val="2"/>
      </rPr>
      <t>IA#80</t>
    </r>
    <r>
      <rPr>
        <sz val="10"/>
        <color rgb="FFFF0000"/>
        <rFont val="Arial"/>
        <family val="2"/>
      </rPr>
      <t xml:space="preserve">
Part Staged Pmt No 5</t>
    </r>
  </si>
  <si>
    <t>D247516</t>
  </si>
  <si>
    <t>SYG Property Investments P/L TTE</t>
  </si>
  <si>
    <t>132004.5128.04
Approved: 8/02/2021
Issued: 12/02/2021</t>
  </si>
  <si>
    <t>1/205 Weyba Rd 
NOOSAVILLE QLD 4566</t>
  </si>
  <si>
    <t>Lot 1 SP 182820</t>
  </si>
  <si>
    <t>Entertainment &amp; Dining Business Type 1 Food &amp; Beverages (Additions to restaurant) = additional 24m2 gfa
+ additional 35m2 impervious area</t>
  </si>
  <si>
    <t>DBW20/0057
Approved: 12/02/2021
Issued: 12/02/2021</t>
  </si>
  <si>
    <t>PC Jephcott</t>
  </si>
  <si>
    <t>2 Gannet St
PEREGIAN BEACH QLD 4573</t>
  </si>
  <si>
    <t>242 Calanthe Avenue, 
DOONAN QLD 4562</t>
  </si>
  <si>
    <t>Lot 5 SP 223007</t>
  </si>
  <si>
    <t>Detached House = 1 Dwelling House + 
1 x Secondary Dwelling</t>
  </si>
  <si>
    <t xml:space="preserve">Building Work 
(Council approval)
</t>
  </si>
  <si>
    <t>Building Work 
Earthcert Building Approvals - Decision
Notice: 200316</t>
  </si>
  <si>
    <t>Building Work 
Earthcert Building Approvals - Decision
Notice: 200349</t>
  </si>
  <si>
    <t>Building Work 
Core Building Certification – Decision
Notice: 200020</t>
  </si>
  <si>
    <t>Building Work 
Earthcert Building Approvals – Decision
Notice: 190471</t>
  </si>
  <si>
    <t>PC21/0132
Approved: 5/02/2021
Received &amp; Registered by NSC 17/02/2021</t>
  </si>
  <si>
    <t>Building Work 
Noosa Building Certifiers – Decision
Notice: 20205230</t>
  </si>
  <si>
    <t>D &amp; W Morse for ESROM Superannuation Fund</t>
  </si>
  <si>
    <t>161 Lake Weyba Drive
NOOSAVILLE QLD 4566</t>
  </si>
  <si>
    <t>Lot 414 C 56014</t>
  </si>
  <si>
    <t>62 Miva Street
COOROY QLD 4563</t>
  </si>
  <si>
    <t>Warehouse = 1,100 m2 gfa + 
952 m2 Impervious area
(Additional mezzanines)</t>
  </si>
  <si>
    <t>18/02/2.21</t>
  </si>
  <si>
    <t>D254296</t>
  </si>
  <si>
    <t>D256767</t>
  </si>
  <si>
    <t>The Macky Group Pty Ltd</t>
  </si>
  <si>
    <t>C/- Adapt Town Planning + Development Management
PO Box 7618
SIPPY DOWNS   QLD  4556</t>
  </si>
  <si>
    <t>Lot 30 RP 92522</t>
  </si>
  <si>
    <t xml:space="preserve">6 Angler St 
NOOSA HEADS QLD 4567  </t>
  </si>
  <si>
    <t>Dual occupancy = 2 x 3 bedroom units</t>
  </si>
  <si>
    <t>Existing vacant residential lot</t>
  </si>
  <si>
    <t>D256778</t>
  </si>
  <si>
    <t>N Van De Merwe</t>
  </si>
  <si>
    <t>13 Noosa Drive 
NOOSA HEADS QLD 4567</t>
  </si>
  <si>
    <t>Commercial retail - Shop = 95m2 gfa 
+ 368m2 Impervious area</t>
  </si>
  <si>
    <t>Commercial retail - Shop = 150m2 gfa 
+ 319m2 Impervious area
+ Visitor accomodation 1 x 2 bed unit</t>
  </si>
  <si>
    <t>Condition 30 - Upgrade of Trunk pathway along frontage</t>
  </si>
  <si>
    <t>MCU20/0103
Approved: 18/02/2021
Issued: 22/02/2021</t>
  </si>
  <si>
    <r>
      <rPr>
        <b/>
        <sz val="10"/>
        <color rgb="FF0000FF"/>
        <rFont val="Arial"/>
        <family val="2"/>
      </rPr>
      <t xml:space="preserve">N </t>
    </r>
    <r>
      <rPr>
        <b/>
        <sz val="10"/>
        <rFont val="Arial"/>
        <family val="2"/>
      </rPr>
      <t xml:space="preserve">1602
</t>
    </r>
    <r>
      <rPr>
        <b/>
        <sz val="10"/>
        <color rgb="FF0000FF"/>
        <rFont val="Arial"/>
        <family val="2"/>
      </rPr>
      <t>+ 
IA#110-Carparking</t>
    </r>
  </si>
  <si>
    <t>MCU20/0103</t>
  </si>
  <si>
    <t>IA 110
+
N 1602</t>
  </si>
  <si>
    <t>Commercial shop</t>
  </si>
  <si>
    <t>Additional use area
Contribution of off-streel parking for 8 car park spaces</t>
  </si>
  <si>
    <t>8 carparking spaces in Lieu
CPI Mar 2020 @ 2020-2021 financial year</t>
  </si>
  <si>
    <r>
      <rPr>
        <b/>
        <sz val="10"/>
        <color rgb="FF0000FF"/>
        <rFont val="Arial"/>
        <family val="2"/>
      </rPr>
      <t xml:space="preserve">N </t>
    </r>
    <r>
      <rPr>
        <b/>
        <sz val="10"/>
        <rFont val="Arial"/>
        <family val="2"/>
      </rPr>
      <t xml:space="preserve">1443
</t>
    </r>
    <r>
      <rPr>
        <sz val="10"/>
        <color rgb="FFFF0000"/>
        <rFont val="Arial"/>
        <family val="2"/>
      </rPr>
      <t>PS21/0002 lodged</t>
    </r>
    <r>
      <rPr>
        <b/>
        <sz val="10"/>
        <rFont val="Arial"/>
        <family val="2"/>
      </rPr>
      <t xml:space="preserve">
</t>
    </r>
    <r>
      <rPr>
        <b/>
        <sz val="10"/>
        <color rgb="FFFF0000"/>
        <rFont val="Arial"/>
        <family val="2"/>
      </rPr>
      <t>PC20/0327 CoC issued 08/02/2021</t>
    </r>
    <r>
      <rPr>
        <sz val="10"/>
        <color rgb="FFFF0000"/>
        <rFont val="Arial"/>
        <family val="2"/>
      </rPr>
      <t xml:space="preserve">
DUE 19 MARCH 2021</t>
    </r>
  </si>
  <si>
    <t>RAL20/0022
Approved: 16/11/2020
Issued: 19/11/2020</t>
  </si>
  <si>
    <t>D260028</t>
  </si>
  <si>
    <t>IC issued per original RAP plans contained in documents however final building approval &amp; plans issued by certifier did not include a secondary dwelling. Therefore IC was incorrectly issued &amp; hence CANCELLED on review.</t>
  </si>
  <si>
    <t>D260979</t>
  </si>
  <si>
    <r>
      <rPr>
        <b/>
        <sz val="10"/>
        <color rgb="FF0000FF"/>
        <rFont val="Arial"/>
        <family val="2"/>
      </rPr>
      <t xml:space="preserve">N </t>
    </r>
    <r>
      <rPr>
        <b/>
        <sz val="10"/>
        <rFont val="Arial"/>
        <family val="2"/>
      </rPr>
      <t xml:space="preserve">1474
</t>
    </r>
    <r>
      <rPr>
        <b/>
        <sz val="10"/>
        <color rgb="FFFF0000"/>
        <rFont val="Arial"/>
        <family val="2"/>
      </rPr>
      <t>Use Commenced 27/01/2021</t>
    </r>
    <r>
      <rPr>
        <b/>
        <sz val="10"/>
        <rFont val="Arial"/>
        <family val="2"/>
      </rPr>
      <t xml:space="preserve">
</t>
    </r>
    <r>
      <rPr>
        <sz val="10"/>
        <color rgb="FFFF0000"/>
        <rFont val="Arial"/>
        <family val="2"/>
      </rPr>
      <t>DUE 26 FEB 2021</t>
    </r>
  </si>
  <si>
    <t>PC20/1384
Approved: 10/02/2021
Received &amp; Registered by NSC 2/03/2021</t>
  </si>
  <si>
    <t>Building Work 
Earthcert Building Approvals – Decision
Notice: 200406</t>
  </si>
  <si>
    <t>Rees Johnson</t>
  </si>
  <si>
    <t>4 Koel Street
NOOSAVILLE QLD 4566</t>
  </si>
  <si>
    <t>Lot 24 RP 32777</t>
  </si>
  <si>
    <t>30 Crystal Street
COOROY QLD 4563</t>
  </si>
  <si>
    <t>D261397</t>
  </si>
  <si>
    <t>26/02/2021
Receipted 
3/03/2021</t>
  </si>
  <si>
    <t>D262115</t>
  </si>
  <si>
    <r>
      <rPr>
        <strike/>
        <sz val="10"/>
        <rFont val="Arial"/>
        <family val="2"/>
      </rPr>
      <t>16/02/2021</t>
    </r>
    <r>
      <rPr>
        <sz val="10"/>
        <rFont val="Arial"/>
        <family val="2"/>
      </rPr>
      <t xml:space="preserve">
</t>
    </r>
    <r>
      <rPr>
        <sz val="10"/>
        <color rgb="FF0000FF"/>
        <rFont val="Arial"/>
        <family val="2"/>
      </rPr>
      <t>8/03/2021</t>
    </r>
  </si>
  <si>
    <t>MCU18/0009.03
Approved: 18/02/2021
Issued: 11/03/2021</t>
  </si>
  <si>
    <t>Decision Notice issued 24/02/2021 - was not referred to us to issued ICN</t>
  </si>
  <si>
    <t>Noosacare Inc.</t>
  </si>
  <si>
    <t>Lots 2 SP 315346 (formally Lot 2 SP 177554)
&amp; Lot 19 RP 162486</t>
  </si>
  <si>
    <t>186 Cooroy Noosa Road &amp; 
4 Carramar Street
TEWANTIN 4565</t>
  </si>
  <si>
    <t>Application approves 15 car spaces on 4 Carramar Street (Lot 19 RP 162486). Car parking is for the Retirement and Special Needs use at 186 Cooroy-Noosa Road. Calculation only relates to impervious area
Impervious area estimated from plans = 339m2</t>
  </si>
  <si>
    <t>D263906</t>
  </si>
  <si>
    <t>MARCH 2021
Total =</t>
  </si>
  <si>
    <r>
      <t>Representations 16/02/2021 
8/03/2021 Decision refused to withdraw IC however special consideration given to amend and defer the due date of payment to a time when any change in ownership of the property occurs.</t>
    </r>
    <r>
      <rPr>
        <b/>
        <sz val="10"/>
        <color rgb="FF0000FF"/>
        <rFont val="Arial"/>
        <family val="2"/>
      </rPr>
      <t xml:space="preserve">
</t>
    </r>
    <r>
      <rPr>
        <sz val="10"/>
        <color rgb="FFFF0000"/>
        <rFont val="Arial"/>
        <family val="2"/>
      </rPr>
      <t>PC21/0017 issued 8/03/2021</t>
    </r>
  </si>
  <si>
    <t>CPI March 2020 
2020-2021 Financial Year</t>
  </si>
  <si>
    <r>
      <t xml:space="preserve">IA 103
</t>
    </r>
    <r>
      <rPr>
        <b/>
        <sz val="10"/>
        <color rgb="FFFF0000"/>
        <rFont val="Arial"/>
        <family val="2"/>
      </rPr>
      <t xml:space="preserve">DUE 1 JULY 2021 
</t>
    </r>
    <r>
      <rPr>
        <sz val="8"/>
        <color rgb="FFFF0000"/>
        <rFont val="Arial"/>
        <family val="2"/>
      </rPr>
      <t>but prior to any sale of property</t>
    </r>
  </si>
  <si>
    <t>1 carparking spaces in Lieu
CPI Mar 2019 @ 2019-2020 financial year</t>
  </si>
  <si>
    <r>
      <t xml:space="preserve">IA Carparking Contribution in Lieu
</t>
    </r>
    <r>
      <rPr>
        <sz val="8"/>
        <color rgb="FFFF0000"/>
        <rFont val="Arial"/>
        <family val="2"/>
      </rPr>
      <t>In accordance with Council’s COVID-19 Business Support Initiatives dated 26 March 2020 to defer infrastructure charges until July 2021, with no interest payments applied.</t>
    </r>
  </si>
  <si>
    <r>
      <rPr>
        <b/>
        <sz val="10"/>
        <color rgb="FF0000FF"/>
        <rFont val="Arial"/>
        <family val="2"/>
      </rPr>
      <t xml:space="preserve">N </t>
    </r>
    <r>
      <rPr>
        <b/>
        <sz val="10"/>
        <rFont val="Arial"/>
        <family val="2"/>
      </rPr>
      <t xml:space="preserve">1567
</t>
    </r>
    <r>
      <rPr>
        <b/>
        <sz val="10"/>
        <color rgb="FFFF0000"/>
        <rFont val="Arial"/>
        <family val="2"/>
      </rPr>
      <t xml:space="preserve">
</t>
    </r>
    <r>
      <rPr>
        <sz val="10"/>
        <color rgb="FFFF0000"/>
        <rFont val="Arial"/>
        <family val="2"/>
      </rPr>
      <t>Final inspection advised 22/03/2021</t>
    </r>
  </si>
  <si>
    <t>D266866</t>
  </si>
  <si>
    <t>PC18/0855
Approved: 15/03/2021
Received &amp; Registered by NSC 24/03/2021</t>
  </si>
  <si>
    <t>Building Work 
Pacific BCQ – Decision
Notice: 20180248</t>
  </si>
  <si>
    <t>RWJL Property Pty Ltd TTE</t>
  </si>
  <si>
    <t>PO Box 941
COOROY QLD 4563</t>
  </si>
  <si>
    <t>Lot 62 RP 854302</t>
  </si>
  <si>
    <t>33 Carramar Street 
TEWANTIN QLD 4565</t>
  </si>
  <si>
    <t>Building Work 
Jim Locke Building Consultants – Decision
Notice: 20210038</t>
  </si>
  <si>
    <t>Hampton Home Builders</t>
  </si>
  <si>
    <t>PO Box 306
GYMPIE QLD 4570</t>
  </si>
  <si>
    <t>Lot 76 SP 317964</t>
  </si>
  <si>
    <t>1 Amaroo Place 
COOROIBAH QLD 4565</t>
  </si>
  <si>
    <t>MCU20/0078
Approved: 18/03/2021
Issued: 25/03/2021</t>
  </si>
  <si>
    <t>Use already commenced</t>
  </si>
  <si>
    <t>Glenbrae Operations Pty Ltd</t>
  </si>
  <si>
    <t>154 Holts Rd
COOROY QLD 4563</t>
  </si>
  <si>
    <t>Lot 2 RP 893989</t>
  </si>
  <si>
    <t>154 Holts Rd 
COOROY QLD 4563</t>
  </si>
  <si>
    <t>Use has already commenced however:
In accordance with Council’s COVID-19 Business Support Initiatives dated 26 March 2020 to defer infrastructure charges until July 2021, with no interest payments applied.</t>
  </si>
  <si>
    <t>D267962</t>
  </si>
  <si>
    <t>Total development on the site =
o Tourist Park – 20 sites
o 1 x Detached House
o 1 x 1 bedroom Caretaker residence (cabin)
o Other buildings ancillary to the accommodation use excluded from charge calculation</t>
  </si>
  <si>
    <t>previous existing lawful development on the site =
o 1 x Detached House
o 1 x 1 bedroom Caretaker residence (cabin)
o 1 x building used for camp kitchen and office (previous wholesale nursery use) = 240m2 gfa
o 3 x sheds (previous wholesale nursery use) = 100m2+30m2+35m2 = 165m2 gfa</t>
  </si>
  <si>
    <r>
      <t xml:space="preserve">Planning Reg 2020-2021
</t>
    </r>
    <r>
      <rPr>
        <b/>
        <sz val="10"/>
        <color rgb="FFFF0000"/>
        <rFont val="Arial"/>
        <family val="2"/>
      </rPr>
      <t>+
compound interest from 31/05/2020 to 29/03/2021</t>
    </r>
  </si>
  <si>
    <t>Correspondence issued to owner: 11 February 2021 &amp; 22/03/2021.
IC remains unpaid &amp; compound interest commenced 31/05/2020 &amp; transferred to Property Rates for recovery on 29/03/2021</t>
  </si>
  <si>
    <r>
      <rPr>
        <b/>
        <sz val="10"/>
        <color rgb="FF0000FF"/>
        <rFont val="Arial"/>
        <family val="2"/>
      </rPr>
      <t xml:space="preserve">N </t>
    </r>
    <r>
      <rPr>
        <b/>
        <sz val="10"/>
        <rFont val="Arial"/>
        <family val="2"/>
      </rPr>
      <t>1448</t>
    </r>
    <r>
      <rPr>
        <sz val="10"/>
        <rFont val="Arial"/>
        <family val="2"/>
      </rPr>
      <t xml:space="preserve">
</t>
    </r>
    <r>
      <rPr>
        <sz val="10"/>
        <color rgb="FFFF0000"/>
        <rFont val="Arial"/>
        <family val="2"/>
      </rPr>
      <t>Compliance issues &amp; Use commenced May 2020
Transferred to Rates for recovery on 29/03/2021</t>
    </r>
  </si>
  <si>
    <r>
      <rPr>
        <b/>
        <sz val="10"/>
        <color rgb="FF0000FF"/>
        <rFont val="Arial"/>
        <family val="2"/>
      </rPr>
      <t xml:space="preserve">N </t>
    </r>
    <r>
      <rPr>
        <b/>
        <sz val="10"/>
        <rFont val="Arial"/>
        <family val="2"/>
      </rPr>
      <t xml:space="preserve">1451
</t>
    </r>
    <r>
      <rPr>
        <sz val="10"/>
        <color rgb="FFFF0000"/>
        <rFont val="Arial"/>
        <family val="2"/>
      </rPr>
      <t xml:space="preserve"> Compliance issues &amp; Use commenced May 2020
Transferred to Rates for recovery on 29/03/2021</t>
    </r>
  </si>
  <si>
    <r>
      <t xml:space="preserve">14 Serenity Close, 
NOOSA HEADS QLD 4567
</t>
    </r>
    <r>
      <rPr>
        <strike/>
        <sz val="10"/>
        <color rgb="FF0000FF"/>
        <rFont val="Arial"/>
        <family val="2"/>
      </rPr>
      <t>Now 12-14 Serenity Close</t>
    </r>
  </si>
  <si>
    <r>
      <rPr>
        <strike/>
        <sz val="10"/>
        <rFont val="Arial"/>
        <family val="2"/>
      </rPr>
      <t>Lot 8 on SP 195871</t>
    </r>
    <r>
      <rPr>
        <sz val="10"/>
        <rFont val="Arial"/>
        <family val="2"/>
      </rPr>
      <t xml:space="preserve">
</t>
    </r>
    <r>
      <rPr>
        <sz val="10"/>
        <color rgb="FF0000FF"/>
        <rFont val="Arial"/>
        <family val="2"/>
      </rPr>
      <t xml:space="preserve">Now 
</t>
    </r>
    <r>
      <rPr>
        <strike/>
        <sz val="10"/>
        <color rgb="FF0000FF"/>
        <rFont val="Arial"/>
        <family val="2"/>
      </rPr>
      <t>Lot 100 SP 305332</t>
    </r>
    <r>
      <rPr>
        <sz val="10"/>
        <color rgb="FF0000FF"/>
        <rFont val="Arial"/>
        <family val="2"/>
      </rPr>
      <t xml:space="preserve">
Lot 900 SP 301899</t>
    </r>
  </si>
  <si>
    <r>
      <t xml:space="preserve">MCU16/0143
</t>
    </r>
    <r>
      <rPr>
        <b/>
        <sz val="10"/>
        <rFont val="Arial"/>
        <family val="2"/>
      </rPr>
      <t xml:space="preserve">(STAGE 2)
</t>
    </r>
    <r>
      <rPr>
        <strike/>
        <sz val="9"/>
        <color rgb="FFFF0000"/>
        <rFont val="Arial"/>
        <family val="2"/>
      </rPr>
      <t>OR 
alternative to 23120 DA</t>
    </r>
  </si>
  <si>
    <r>
      <rPr>
        <b/>
        <sz val="10"/>
        <color rgb="FF0000FF"/>
        <rFont val="Arial"/>
        <family val="2"/>
      </rPr>
      <t xml:space="preserve">N </t>
    </r>
    <r>
      <rPr>
        <b/>
        <sz val="10"/>
        <rFont val="Arial"/>
        <family val="2"/>
      </rPr>
      <t xml:space="preserve">1223
</t>
    </r>
    <r>
      <rPr>
        <strike/>
        <sz val="9"/>
        <color rgb="FFFF0000"/>
        <rFont val="Arial"/>
        <family val="2"/>
      </rPr>
      <t xml:space="preserve">OR
alternative to 23120 DA + IA25 +AICN.N1129
</t>
    </r>
    <r>
      <rPr>
        <sz val="9"/>
        <color rgb="FFFF0000"/>
        <rFont val="Arial"/>
        <family val="2"/>
      </rPr>
      <t>Issued PC21/0306</t>
    </r>
  </si>
  <si>
    <t>update journal 
# 1733014 
and GL Posting journal 
# 1733016</t>
  </si>
  <si>
    <t>Building Work 
Speedy Certifications &amp; Approvals  – Decision
Notice: 20180248</t>
  </si>
  <si>
    <t>Do It For You Conversions</t>
  </si>
  <si>
    <t>PO Box 1584 
BUDERIM QLD 4556</t>
  </si>
  <si>
    <t>5 Ferntree Court 
NOOSAVILLE QLD 4566</t>
  </si>
  <si>
    <t>Lot 210 on SP108679</t>
  </si>
  <si>
    <t>Development has already been completed however:
In accordance with Council’s COVID-19 Business Support Initiatives dated 26 March 2020 to defer infrastructure charges until July 2021, with no interest payments applied.</t>
  </si>
  <si>
    <t xml:space="preserve">1 x Dwelling House </t>
  </si>
  <si>
    <t>Rooming Accommodation = 
3 x Suites + 2 bedrooms</t>
  </si>
  <si>
    <t>PC21/0271
Approved: 11/03/2021
Received &amp; Registered by NSC 16/03/2021</t>
  </si>
  <si>
    <t>Building Work 
The Building Company – Decision
Notice: 210327</t>
  </si>
  <si>
    <t>Tony &amp; Kate Driscoll</t>
  </si>
  <si>
    <t>22 James Street
COORAN QLD 4569</t>
  </si>
  <si>
    <t>Lot 7 RP 41064</t>
  </si>
  <si>
    <t>PC21/0331
Approved: 23/03/2021
Received &amp; Registered by NSC 31/03/2022</t>
  </si>
  <si>
    <t>Building Work 
Building Approvals United QLD – Decision
Notice: 20202331</t>
  </si>
  <si>
    <t>Fiona Hallyburton</t>
  </si>
  <si>
    <t>4 Palm Gove Crescent
TEWANTIN QLD 4565</t>
  </si>
  <si>
    <t>Lot 127 RP 174102</t>
  </si>
  <si>
    <t>RAL20/0032
Approved: 25/03/2021
Issued: 31/03/2021</t>
  </si>
  <si>
    <t>RE McCracken &amp; TJ McCracken</t>
  </si>
  <si>
    <t>Lot 5 RP 209025</t>
  </si>
  <si>
    <t>20 Curry Court
COOROY QLD 4563</t>
  </si>
  <si>
    <r>
      <t xml:space="preserve">11/03/2023 </t>
    </r>
    <r>
      <rPr>
        <sz val="10"/>
        <color rgb="FFFF0000"/>
        <rFont val="Arial"/>
        <family val="2"/>
      </rPr>
      <t>COC issued 22/03/2021</t>
    </r>
  </si>
  <si>
    <r>
      <t xml:space="preserve">23/03/2023
</t>
    </r>
    <r>
      <rPr>
        <sz val="10"/>
        <color rgb="FFFF0000"/>
        <rFont val="Arial"/>
        <family val="2"/>
      </rPr>
      <t>Final issued 27/03/2021</t>
    </r>
  </si>
  <si>
    <t>MCU20/0138
Approved: 6/04/2021
Issued: 6/04/2021</t>
  </si>
  <si>
    <t>Elisabeth &amp; Paul Clout</t>
  </si>
  <si>
    <t xml:space="preserve">C/- Pivotal Perspective
4/59 Mary Street
NOOSAVILLE QLD 4566
</t>
  </si>
  <si>
    <t>7 William Street 
NOOSAVILLE QLD 4566</t>
  </si>
  <si>
    <t>Lot 24 RP 65319</t>
  </si>
  <si>
    <t>Multiple Dwellings = 
2 x 3 B/R Dwellings +
1 x 1 B/R Dwelling</t>
  </si>
  <si>
    <r>
      <rPr>
        <b/>
        <sz val="10"/>
        <color rgb="FF0000FF"/>
        <rFont val="Arial"/>
        <family val="2"/>
      </rPr>
      <t xml:space="preserve">N </t>
    </r>
    <r>
      <rPr>
        <b/>
        <sz val="10"/>
        <rFont val="Arial"/>
        <family val="2"/>
      </rPr>
      <t xml:space="preserve">1441
</t>
    </r>
    <r>
      <rPr>
        <sz val="10"/>
        <color rgb="FFFF0000"/>
        <rFont val="Arial"/>
        <family val="2"/>
      </rPr>
      <t xml:space="preserve">Final Inspection Certificate issued 2/02/2021
</t>
    </r>
  </si>
  <si>
    <t>D271187</t>
  </si>
  <si>
    <t>MCU20/0127
Approved: 6/04/2021
Issued: 12/04/2021</t>
  </si>
  <si>
    <t>Devcon Capital 9 P/L</t>
  </si>
  <si>
    <t>C/- Innovative Planning Solutions Pty Ltd
PO Box 1043
MAROOCHYDORE QLD 4558</t>
  </si>
  <si>
    <t>11 Leo Alley Rd
NOOSAVILLE QLD 4566</t>
  </si>
  <si>
    <t>Low Impact Industry &amp; Warehouse = 2,800m2 gfa +
4,240m2 impervious area</t>
  </si>
  <si>
    <t xml:space="preserve">Commercial bulk goods (Landscape supplies) = 
308 m2 gfa + 1,200m2 impervious area </t>
  </si>
  <si>
    <r>
      <t xml:space="preserve">This Infrastructure Charges Notice is an alternative to the previous Infrastructure Charges Notice </t>
    </r>
    <r>
      <rPr>
        <b/>
        <sz val="10"/>
        <color rgb="FF0000FF"/>
        <rFont val="Arial"/>
        <family val="2"/>
      </rPr>
      <t>N1496</t>
    </r>
    <r>
      <rPr>
        <sz val="10"/>
        <color rgb="FF0000FF"/>
        <rFont val="Arial"/>
        <family val="2"/>
      </rPr>
      <t xml:space="preserve"> issued under previous approval </t>
    </r>
    <r>
      <rPr>
        <b/>
        <sz val="10"/>
        <color rgb="FF0000FF"/>
        <rFont val="Arial"/>
        <family val="2"/>
      </rPr>
      <t>MCU19/0075</t>
    </r>
    <r>
      <rPr>
        <sz val="10"/>
        <color rgb="FF0000FF"/>
        <rFont val="Arial"/>
        <family val="2"/>
      </rPr>
      <t xml:space="preserve">. </t>
    </r>
  </si>
  <si>
    <t xml:space="preserve">11 Vision Ct 
NOOSAVILLE QLD 4566 </t>
  </si>
  <si>
    <t xml:space="preserve">Lot 4 on SP 295958 </t>
  </si>
  <si>
    <t xml:space="preserve">13 Vision Ct 
NOOSAVILLE QLD 4566 </t>
  </si>
  <si>
    <t xml:space="preserve">Lot 5 on SP 295958 </t>
  </si>
  <si>
    <t>Karloo Constructions</t>
  </si>
  <si>
    <t>• Remaining Offset Credit for Constructed Trunk Pathways = $1,322.00 for lot 4 at 1 July 2014 = $1,427.00 at current 2020-2021 financial year</t>
  </si>
  <si>
    <t xml:space="preserve">Credits &amp; Offset have been applied under previous approval 2007/1626 (152007.1626.03) - Lot Reconfiguration </t>
  </si>
  <si>
    <t xml:space="preserve">• 0.9 residential lot (equivalent to 0.9 Non-res lot)
</t>
  </si>
  <si>
    <t>Low impact industry = 1,168 m2 GFA +
1,872 m2 mpervious area</t>
  </si>
  <si>
    <t>Low impact industry = 1,018 m2 GFA +
1,784 m2 Impervious area</t>
  </si>
  <si>
    <t>• Remaining Offset Credit for Constructed Trunk Pathways = $1,386.00 for lot 5 at 1 July 2014 = $1,496.00 at current 2020-2021 financial year</t>
  </si>
  <si>
    <t>MCU20/0159
Approved: 6/04/2021
Issued: 13/04/2021</t>
  </si>
  <si>
    <t>MCU21/0002
Approved: 6/04/2021
Issued: 13/04/2021</t>
  </si>
  <si>
    <t>$5,000 Part Pmt</t>
  </si>
  <si>
    <t>$5,000 Part Payment 13/04/2021</t>
  </si>
  <si>
    <t>PC21/0362
Approved: 25/03/2021
Received &amp; Registered by NSC 31/03/2021</t>
  </si>
  <si>
    <t>PC21/0324
Approved: 17/03/2021
Received &amp; Registered by NSC 24/03/2021</t>
  </si>
  <si>
    <t>PC21/0273
Approved: 26/03/2021
Received &amp; Registered by NSC 13/04/2021</t>
  </si>
  <si>
    <t>Building Work 
Suncoast Building Approvals – Decision
Notice: 00011210</t>
  </si>
  <si>
    <t>McIntosh Building</t>
  </si>
  <si>
    <t>25 Ashgrove Drive 
COOROY QLD 4563</t>
  </si>
  <si>
    <t>Lot 9 RP 213046</t>
  </si>
  <si>
    <t>12 Ponderosa Drive
COOROY QLD 4563</t>
  </si>
  <si>
    <t>D271406</t>
  </si>
  <si>
    <t>ICN Total = $6.437.00 @ Planning Reg 2020-2021 Property owner called 12/04/2024 advising development completed &amp; occupied &amp; requested delayed staged payments plan in accordance with: 
“Delayed Staged Payments of Infrastructure Charges” (amended due to COVID-19 Business Support Initiatives dated 26 March 2020)</t>
  </si>
  <si>
    <t>RAL20/0031
Approved: 14/04/2021
Issued: 14/04/2021</t>
  </si>
  <si>
    <t>Brett David Starkey</t>
  </si>
  <si>
    <t>5 Goldfinch Cres
PEREGIAN SPRINGS QLD 4573</t>
  </si>
  <si>
    <t>The Palms
755/61 Noosa Springs Drive, NOOSA HEADS QLD 4567</t>
  </si>
  <si>
    <t xml:space="preserve">Lot 55 GTP 107028 </t>
  </si>
  <si>
    <t>1 existing residential lot</t>
  </si>
  <si>
    <t>D271593</t>
  </si>
  <si>
    <t>D271594</t>
  </si>
  <si>
    <r>
      <rPr>
        <b/>
        <sz val="10"/>
        <color rgb="FF0000FF"/>
        <rFont val="Arial"/>
        <family val="2"/>
      </rPr>
      <t xml:space="preserve">N </t>
    </r>
    <r>
      <rPr>
        <b/>
        <sz val="10"/>
        <rFont val="Arial"/>
        <family val="2"/>
      </rPr>
      <t xml:space="preserve">1563
</t>
    </r>
    <r>
      <rPr>
        <sz val="10"/>
        <color rgb="FFFF0000"/>
        <rFont val="Arial"/>
        <family val="2"/>
      </rPr>
      <t>Phone call received 15/04/2021 advising completed &amp; requested NSC bank details to make payment</t>
    </r>
  </si>
  <si>
    <t>D271810</t>
  </si>
  <si>
    <r>
      <rPr>
        <b/>
        <sz val="10"/>
        <color rgb="FF0000FF"/>
        <rFont val="Arial"/>
        <family val="2"/>
      </rPr>
      <t xml:space="preserve">N </t>
    </r>
    <r>
      <rPr>
        <b/>
        <sz val="10"/>
        <rFont val="Arial"/>
        <family val="2"/>
      </rPr>
      <t xml:space="preserve">1282
</t>
    </r>
    <r>
      <rPr>
        <b/>
        <sz val="10"/>
        <color rgb="FF0000FF"/>
        <rFont val="Arial"/>
        <family val="2"/>
      </rPr>
      <t xml:space="preserve">(Stage 1B)
</t>
    </r>
    <r>
      <rPr>
        <sz val="10"/>
        <color rgb="FF0000FF"/>
        <rFont val="Arial"/>
        <family val="2"/>
      </rPr>
      <t xml:space="preserve">(Note Stage 1A = Nil)
</t>
    </r>
    <r>
      <rPr>
        <sz val="10"/>
        <color rgb="FFFF0000"/>
        <rFont val="Arial"/>
        <family val="2"/>
      </rPr>
      <t>Amended by Court Judgment 19/07/2019
Plan Seal PS21/0013 lodged &amp; Now DUE</t>
    </r>
  </si>
  <si>
    <r>
      <rPr>
        <b/>
        <sz val="10"/>
        <color rgb="FF0000FF"/>
        <rFont val="Arial"/>
        <family val="2"/>
      </rPr>
      <t xml:space="preserve">N </t>
    </r>
    <r>
      <rPr>
        <b/>
        <sz val="10"/>
        <rFont val="Arial"/>
        <family val="2"/>
      </rPr>
      <t xml:space="preserve">1609
</t>
    </r>
    <r>
      <rPr>
        <sz val="10"/>
        <color rgb="FFFF0000"/>
        <rFont val="Arial"/>
        <family val="2"/>
      </rPr>
      <t>Final Inspection Cert 27/03/2021</t>
    </r>
    <r>
      <rPr>
        <b/>
        <sz val="10"/>
        <rFont val="Arial"/>
        <family val="2"/>
      </rPr>
      <t xml:space="preserve">
</t>
    </r>
    <r>
      <rPr>
        <sz val="10"/>
        <color rgb="FFFF0000"/>
        <rFont val="Arial"/>
        <family val="2"/>
      </rPr>
      <t xml:space="preserve">DUE 1 JULY 2021 </t>
    </r>
    <r>
      <rPr>
        <b/>
        <sz val="10"/>
        <color rgb="FFFF0000"/>
        <rFont val="Arial"/>
        <family val="2"/>
      </rPr>
      <t xml:space="preserve">
</t>
    </r>
    <r>
      <rPr>
        <sz val="10"/>
        <color rgb="FFFF0000"/>
        <rFont val="Arial"/>
        <family val="2"/>
      </rPr>
      <t>but prior to any sale of property</t>
    </r>
  </si>
  <si>
    <t>D272322</t>
  </si>
  <si>
    <t>D272328</t>
  </si>
  <si>
    <t>D272341</t>
  </si>
  <si>
    <t>MCU20/0128
Approved: 15/04/2021
Issued: 19/04/2021</t>
  </si>
  <si>
    <t>Deluca Charitable Foundation Limited</t>
  </si>
  <si>
    <t>Lot 1 RP 226728</t>
  </si>
  <si>
    <t>Reservoir 32 Viewland Dr 
NOOSA HEADS QLD 4567</t>
  </si>
  <si>
    <t>Community Zoned Vacant lot = Nil credit</t>
  </si>
  <si>
    <t>Residential care facility = 1,231m2 gfa 
+
Impervious area = 1,712m2</t>
  </si>
  <si>
    <t>PC21/0456
Approved: 13/04/2021
Received &amp; Registered by NSC 20/04/2021</t>
  </si>
  <si>
    <t>Building Work 
Project B.A. – Decision
Notice: 20213123</t>
  </si>
  <si>
    <t>Stroud Homes</t>
  </si>
  <si>
    <t>107 Sugar Road
MAROOCHYDORE QLD 4558</t>
  </si>
  <si>
    <t>Lot 150 SP 118609</t>
  </si>
  <si>
    <t>12 Birkdale Court
TEWANTIN QLD 4565</t>
  </si>
  <si>
    <r>
      <rPr>
        <b/>
        <sz val="10"/>
        <color rgb="FF0000FF"/>
        <rFont val="Arial"/>
        <family val="2"/>
      </rPr>
      <t xml:space="preserve">N </t>
    </r>
    <r>
      <rPr>
        <b/>
        <sz val="10"/>
        <rFont val="Arial"/>
        <family val="2"/>
      </rPr>
      <t xml:space="preserve">1139
</t>
    </r>
    <r>
      <rPr>
        <i/>
        <sz val="10"/>
        <color rgb="FFFF0000"/>
        <rFont val="Arial"/>
        <family val="2"/>
      </rPr>
      <t>PC19/1055 CoC issued 18/02/2021
DUE 23 APRIL 2021</t>
    </r>
  </si>
  <si>
    <t>D272607</t>
  </si>
  <si>
    <t>APRIL 2021
Total =</t>
  </si>
  <si>
    <t>D273592</t>
  </si>
  <si>
    <t>PC21/0341
Approved: 21/04/2021
Received &amp; Registered by NSC 28/04/2021</t>
  </si>
  <si>
    <t>Building Work 
GMA Certification Group – Decision
Notice: 20211445</t>
  </si>
  <si>
    <t>Lot 3 RP 126712</t>
  </si>
  <si>
    <t>93 George Street
TEWANTIN QLD 4565</t>
  </si>
  <si>
    <t>PC21/0480
Approved: 21/04/2021
Received &amp; Registered by NSC 28/04/2021</t>
  </si>
  <si>
    <t>Building Work 
Sunshine Coast Building Approvals – Decision
Notice: 210302</t>
  </si>
  <si>
    <t>Maxbuild Construction</t>
  </si>
  <si>
    <t>1 Haflinger Road
NORTH ARM QLD 4561</t>
  </si>
  <si>
    <t>Lot 346 RP 178548</t>
  </si>
  <si>
    <t>3 Paluma Road
SUNRISE BEACH QLD 4567</t>
  </si>
  <si>
    <r>
      <rPr>
        <b/>
        <sz val="10"/>
        <color rgb="FF0000FF"/>
        <rFont val="Arial"/>
        <family val="2"/>
      </rPr>
      <t xml:space="preserve">N </t>
    </r>
    <r>
      <rPr>
        <b/>
        <sz val="10"/>
        <rFont val="Arial"/>
        <family val="2"/>
      </rPr>
      <t xml:space="preserve">1402
</t>
    </r>
    <r>
      <rPr>
        <sz val="10"/>
        <color rgb="FFFF0000"/>
        <rFont val="Arial"/>
        <family val="2"/>
      </rPr>
      <t>29/04/2021 requested current amount to pay</t>
    </r>
  </si>
  <si>
    <r>
      <rPr>
        <b/>
        <sz val="10"/>
        <color rgb="FF0000FF"/>
        <rFont val="Arial"/>
        <family val="2"/>
      </rPr>
      <t xml:space="preserve">N </t>
    </r>
    <r>
      <rPr>
        <b/>
        <sz val="10"/>
        <rFont val="Arial"/>
        <family val="2"/>
      </rPr>
      <t xml:space="preserve">1520
</t>
    </r>
    <r>
      <rPr>
        <sz val="10"/>
        <color rgb="FFFF0000"/>
        <rFont val="Arial"/>
        <family val="2"/>
      </rPr>
      <t>30/04/2021 Requested Bank details to make payment.</t>
    </r>
  </si>
  <si>
    <r>
      <t xml:space="preserve">27 Pavilion Street, 
POMONA QLD 4568
</t>
    </r>
    <r>
      <rPr>
        <sz val="10"/>
        <color rgb="FFFF0000"/>
        <rFont val="Arial"/>
        <family val="2"/>
      </rPr>
      <t>(now 23 &amp; 25 Pavillion St)</t>
    </r>
  </si>
  <si>
    <r>
      <t xml:space="preserve">Lot 2 RP 189023
</t>
    </r>
    <r>
      <rPr>
        <sz val="10"/>
        <color rgb="FFFF0000"/>
        <rFont val="Arial"/>
        <family val="2"/>
      </rPr>
      <t>(now Lot 20 &amp; 21 SP 316902)</t>
    </r>
  </si>
  <si>
    <r>
      <rPr>
        <b/>
        <sz val="10"/>
        <color rgb="FF0000FF"/>
        <rFont val="Arial"/>
        <family val="2"/>
      </rPr>
      <t xml:space="preserve">N </t>
    </r>
    <r>
      <rPr>
        <b/>
        <sz val="10"/>
        <rFont val="Arial"/>
        <family val="2"/>
      </rPr>
      <t xml:space="preserve">1199
</t>
    </r>
    <r>
      <rPr>
        <i/>
        <sz val="10"/>
        <color rgb="FFFF0000"/>
        <rFont val="Arial"/>
        <family val="2"/>
      </rPr>
      <t>PC20/0058 issued</t>
    </r>
    <r>
      <rPr>
        <sz val="10"/>
        <rFont val="Arial"/>
        <family val="2"/>
      </rPr>
      <t xml:space="preserve">
</t>
    </r>
    <r>
      <rPr>
        <sz val="10"/>
        <color rgb="FFFF0000"/>
        <rFont val="Arial"/>
        <family val="2"/>
      </rPr>
      <t xml:space="preserve">DUE 1 July 2021 
but prior to any sale of property 
</t>
    </r>
    <r>
      <rPr>
        <sz val="8"/>
        <color rgb="FFFF0000"/>
        <rFont val="Arial"/>
        <family val="2"/>
      </rPr>
      <t>Rates Search 30/04/2021</t>
    </r>
  </si>
  <si>
    <t>May 2021
Total =</t>
  </si>
  <si>
    <t>D276139</t>
  </si>
  <si>
    <t>D276134</t>
  </si>
  <si>
    <t>Altum Properties No 9 Pty Ltd</t>
  </si>
  <si>
    <t>C/- JFP Urban Consultants Pty Ltd
T1. 209 Kon-Tiki Business Centre
55 Plaza Parade
MAROOCHYDORE QLD 4558</t>
  </si>
  <si>
    <t>Offset re Condition 32 for upgrade to existing trunk pathway</t>
  </si>
  <si>
    <t>Total Concept Homes P/L</t>
  </si>
  <si>
    <t>C/- Cadcon Surveying &amp; Town Planning
PO Box 5774
MAROOCHYDORE BC QLD 4558</t>
  </si>
  <si>
    <t xml:space="preserve"> Lot 2 RP 131369</t>
  </si>
  <si>
    <t xml:space="preserve">108 Black Mountain Range Rd BLACK MOUNTAIN QLD 4563 </t>
  </si>
  <si>
    <t>RAL21/0003
Approved: 30/04/2021
Issued: 7/05/2021</t>
  </si>
  <si>
    <t>Vantralia Pty Ltd</t>
  </si>
  <si>
    <t>2 Pearsons Rd 
COOROY QLD 4563</t>
  </si>
  <si>
    <t>Lot 3 RP 113733</t>
  </si>
  <si>
    <t>16 Reidential Lots</t>
  </si>
  <si>
    <t>2 Residential lots</t>
  </si>
  <si>
    <t>1 Residential lot</t>
  </si>
  <si>
    <t>RAL20/0021
Approved: 30/04/2021
Issued: 10/05/2021</t>
  </si>
  <si>
    <t>Building Work
Core Building Certification - Decision Notice: 210106</t>
  </si>
  <si>
    <t>Lloyd Austin</t>
  </si>
  <si>
    <t>5 Granite Court
NOOSAVILLE QLD 4566</t>
  </si>
  <si>
    <t>Lot 66 SP 261203</t>
  </si>
  <si>
    <t>MCU21/0043
Approved: 6/05/2021
Issued: 10/05/2021</t>
  </si>
  <si>
    <t>Ms DE Dunn</t>
  </si>
  <si>
    <t>C/- Fluid Building Approvals
PO Box 404
ASPLEY QLD 4034</t>
  </si>
  <si>
    <t>24 Kamo Lane 
COOTHARABA QLD 4565</t>
  </si>
  <si>
    <t xml:space="preserve">Lot 1 SP 231617 </t>
  </si>
  <si>
    <t>1 x Vacant Res Lot</t>
  </si>
  <si>
    <t>D277198</t>
  </si>
  <si>
    <t>D277209</t>
  </si>
  <si>
    <r>
      <rPr>
        <b/>
        <sz val="10"/>
        <color rgb="FF0000FF"/>
        <rFont val="Arial"/>
        <family val="2"/>
      </rPr>
      <t xml:space="preserve">N </t>
    </r>
    <r>
      <rPr>
        <b/>
        <sz val="10"/>
        <rFont val="Arial"/>
        <family val="2"/>
      </rPr>
      <t>1656</t>
    </r>
    <r>
      <rPr>
        <sz val="11"/>
        <color theme="1"/>
        <rFont val="Calibri"/>
        <family val="2"/>
        <scheme val="minor"/>
      </rPr>
      <t/>
    </r>
  </si>
  <si>
    <r>
      <rPr>
        <b/>
        <sz val="10"/>
        <color rgb="FF0000FF"/>
        <rFont val="Arial"/>
        <family val="2"/>
      </rPr>
      <t xml:space="preserve">N </t>
    </r>
    <r>
      <rPr>
        <b/>
        <sz val="10"/>
        <rFont val="Arial"/>
        <family val="2"/>
      </rPr>
      <t>1666</t>
    </r>
    <r>
      <rPr>
        <sz val="11"/>
        <color theme="1"/>
        <rFont val="Calibri"/>
        <family val="2"/>
        <scheme val="minor"/>
      </rPr>
      <t/>
    </r>
  </si>
  <si>
    <r>
      <rPr>
        <b/>
        <sz val="10"/>
        <color rgb="FF0000FF"/>
        <rFont val="Arial"/>
        <family val="2"/>
      </rPr>
      <t xml:space="preserve">N </t>
    </r>
    <r>
      <rPr>
        <b/>
        <sz val="10"/>
        <rFont val="Arial"/>
        <family val="2"/>
      </rPr>
      <t>1667</t>
    </r>
    <r>
      <rPr>
        <sz val="11"/>
        <color theme="1"/>
        <rFont val="Calibri"/>
        <family val="2"/>
        <scheme val="minor"/>
      </rPr>
      <t/>
    </r>
  </si>
  <si>
    <r>
      <rPr>
        <b/>
        <sz val="10"/>
        <color rgb="FF0000FF"/>
        <rFont val="Arial"/>
        <family val="2"/>
      </rPr>
      <t xml:space="preserve">N </t>
    </r>
    <r>
      <rPr>
        <b/>
        <sz val="10"/>
        <rFont val="Arial"/>
        <family val="2"/>
      </rPr>
      <t>1669</t>
    </r>
    <r>
      <rPr>
        <sz val="11"/>
        <color theme="1"/>
        <rFont val="Calibri"/>
        <family val="2"/>
        <scheme val="minor"/>
      </rPr>
      <t/>
    </r>
  </si>
  <si>
    <r>
      <rPr>
        <b/>
        <sz val="10"/>
        <color rgb="FF0000FF"/>
        <rFont val="Arial"/>
        <family val="2"/>
      </rPr>
      <t xml:space="preserve">N </t>
    </r>
    <r>
      <rPr>
        <b/>
        <sz val="10"/>
        <rFont val="Arial"/>
        <family val="2"/>
      </rPr>
      <t>1672</t>
    </r>
    <r>
      <rPr>
        <sz val="11"/>
        <color theme="1"/>
        <rFont val="Calibri"/>
        <family val="2"/>
        <scheme val="minor"/>
      </rPr>
      <t/>
    </r>
  </si>
  <si>
    <r>
      <rPr>
        <b/>
        <sz val="10"/>
        <color rgb="FF0000FF"/>
        <rFont val="Arial"/>
        <family val="2"/>
      </rPr>
      <t xml:space="preserve">N </t>
    </r>
    <r>
      <rPr>
        <b/>
        <sz val="10"/>
        <rFont val="Arial"/>
        <family val="2"/>
      </rPr>
      <t>1676</t>
    </r>
    <r>
      <rPr>
        <sz val="11"/>
        <color theme="1"/>
        <rFont val="Calibri"/>
        <family val="2"/>
        <scheme val="minor"/>
      </rPr>
      <t/>
    </r>
  </si>
  <si>
    <r>
      <rPr>
        <b/>
        <sz val="10"/>
        <color rgb="FF0000FF"/>
        <rFont val="Arial"/>
        <family val="2"/>
      </rPr>
      <t xml:space="preserve">N </t>
    </r>
    <r>
      <rPr>
        <b/>
        <sz val="10"/>
        <rFont val="Arial"/>
        <family val="2"/>
      </rPr>
      <t>1680</t>
    </r>
    <r>
      <rPr>
        <sz val="11"/>
        <color theme="1"/>
        <rFont val="Calibri"/>
        <family val="2"/>
        <scheme val="minor"/>
      </rPr>
      <t/>
    </r>
  </si>
  <si>
    <r>
      <rPr>
        <b/>
        <sz val="10"/>
        <color rgb="FF0000FF"/>
        <rFont val="Arial"/>
        <family val="2"/>
      </rPr>
      <t xml:space="preserve">N </t>
    </r>
    <r>
      <rPr>
        <b/>
        <sz val="10"/>
        <rFont val="Arial"/>
        <family val="2"/>
      </rPr>
      <t>1684</t>
    </r>
    <r>
      <rPr>
        <sz val="11"/>
        <color theme="1"/>
        <rFont val="Calibri"/>
        <family val="2"/>
        <scheme val="minor"/>
      </rPr>
      <t/>
    </r>
  </si>
  <si>
    <r>
      <rPr>
        <b/>
        <sz val="10"/>
        <color rgb="FF0000FF"/>
        <rFont val="Arial"/>
        <family val="2"/>
      </rPr>
      <t xml:space="preserve">N </t>
    </r>
    <r>
      <rPr>
        <b/>
        <sz val="10"/>
        <rFont val="Arial"/>
        <family val="2"/>
      </rPr>
      <t>1687</t>
    </r>
    <r>
      <rPr>
        <sz val="11"/>
        <color theme="1"/>
        <rFont val="Calibri"/>
        <family val="2"/>
        <scheme val="minor"/>
      </rPr>
      <t/>
    </r>
  </si>
  <si>
    <r>
      <rPr>
        <b/>
        <sz val="10"/>
        <color rgb="FF0000FF"/>
        <rFont val="Arial"/>
        <family val="2"/>
      </rPr>
      <t xml:space="preserve">N </t>
    </r>
    <r>
      <rPr>
        <b/>
        <sz val="10"/>
        <rFont val="Arial"/>
        <family val="2"/>
      </rPr>
      <t>1689</t>
    </r>
    <r>
      <rPr>
        <sz val="11"/>
        <color theme="1"/>
        <rFont val="Calibri"/>
        <family val="2"/>
        <scheme val="minor"/>
      </rPr>
      <t/>
    </r>
  </si>
  <si>
    <r>
      <rPr>
        <b/>
        <sz val="10"/>
        <color rgb="FF0000FF"/>
        <rFont val="Arial"/>
        <family val="2"/>
      </rPr>
      <t xml:space="preserve">N </t>
    </r>
    <r>
      <rPr>
        <b/>
        <sz val="10"/>
        <rFont val="Arial"/>
        <family val="2"/>
      </rPr>
      <t>1690</t>
    </r>
    <r>
      <rPr>
        <sz val="11"/>
        <color theme="1"/>
        <rFont val="Calibri"/>
        <family val="2"/>
        <scheme val="minor"/>
      </rPr>
      <t/>
    </r>
  </si>
  <si>
    <r>
      <rPr>
        <b/>
        <sz val="10"/>
        <color rgb="FF0000FF"/>
        <rFont val="Arial"/>
        <family val="2"/>
      </rPr>
      <t xml:space="preserve">N </t>
    </r>
    <r>
      <rPr>
        <b/>
        <sz val="10"/>
        <rFont val="Arial"/>
        <family val="2"/>
      </rPr>
      <t>1696</t>
    </r>
    <r>
      <rPr>
        <sz val="11"/>
        <color theme="1"/>
        <rFont val="Calibri"/>
        <family val="2"/>
        <scheme val="minor"/>
      </rPr>
      <t/>
    </r>
  </si>
  <si>
    <r>
      <rPr>
        <b/>
        <sz val="10"/>
        <color rgb="FF0000FF"/>
        <rFont val="Arial"/>
        <family val="2"/>
      </rPr>
      <t xml:space="preserve">N </t>
    </r>
    <r>
      <rPr>
        <b/>
        <sz val="10"/>
        <rFont val="Arial"/>
        <family val="2"/>
      </rPr>
      <t>1697</t>
    </r>
    <r>
      <rPr>
        <sz val="11"/>
        <color theme="1"/>
        <rFont val="Calibri"/>
        <family val="2"/>
        <scheme val="minor"/>
      </rPr>
      <t/>
    </r>
  </si>
  <si>
    <t>D277416</t>
  </si>
  <si>
    <r>
      <t xml:space="preserve">Part Payments: 
$200-1/2/2021
$200-12/2/2021
$100-26/2/2021
$100-11/03/2021
$200-22/03/2021
$100-24/03/2021
$100-19/04/2021
$200-13/05/2021
</t>
    </r>
    <r>
      <rPr>
        <b/>
        <sz val="10"/>
        <color rgb="FF0000FF"/>
        <rFont val="Arial"/>
        <family val="2"/>
      </rPr>
      <t>Final Payment</t>
    </r>
  </si>
  <si>
    <t>D277661</t>
  </si>
  <si>
    <t>Courtney Family Investments P/L TTE</t>
  </si>
  <si>
    <t>C/- Bennett + Bennett
3/7 Golf Street
MAROOCHYDORE QLD 4558</t>
  </si>
  <si>
    <t xml:space="preserve">Lot 1 RP 174646 </t>
  </si>
  <si>
    <t xml:space="preserve">9 Butler St 
TEWANTIN QLD 4565 </t>
  </si>
  <si>
    <t xml:space="preserve">1 Residential lot </t>
  </si>
  <si>
    <t>Industrial - 
additional mezzanine = 80m2 gfa</t>
  </si>
  <si>
    <t>Home Occupation
(Bottling of Natural Spring Water) maximum floor area of 50m2
A. As of Right Development (per day):-
· 4 Passenger Vehicle Trips + 4 Class 6 (Three Axle Articulated) Vehicle Trips</t>
  </si>
  <si>
    <t>Resource Based Spring Water Bottling Plant - 300m2 additional shed + other extensions
B. Proposed Development (per day):-
· 47 Passenger Vehicle Trips + 13 Class 3 (Two Axle Truck) Vehicle Trips + 2 Class 8 (Five Axle Articulated) Vehicle Trips + 2 Class 9 (Six Axle Articulated) Vehicle Trips.</t>
  </si>
  <si>
    <t>1 x 2 bedroom Ancillary dwelling +
1 x secondary dwelling</t>
  </si>
  <si>
    <t>Ancillary Dwelling Unit = 1 x 2 bed unit</t>
  </si>
  <si>
    <t>1 x 3 bed Ancillary Dwelling 
(Caretakers unit)</t>
  </si>
  <si>
    <t>Ancillary Dwelling unit = 1 bedroom unit
Entertainment &amp; Dining Type 1 Food &amp; Bev = 14 m2 gfa
Industrial Business Type 2 = 721 m2 gfa
Impervious area = 1422 m2</t>
  </si>
  <si>
    <t>From MCU16/0098.01 change =
Ancillary Dwelling unit = 1 bedroom unit
Entertainment &amp; Dining Type 1 Food &amp; Bev = 15 m2 gfa
Industrial Business Type 2 = 723 m2 gfa
Impervious area = 1357 m2</t>
  </si>
  <si>
    <t>Stormwater reduction for the Ancillary dwelling covered by existing industrial impervious area 
In accordance with Council’s COVID-19 Business Support Initiatives dated 26 March 2020 to defer infrastructure charges until July 2021, with no interest payments applied.</t>
  </si>
  <si>
    <t xml:space="preserve">Additional Ancillary Dwelling Unit = 1 x 3 bed </t>
  </si>
  <si>
    <t>Detached House x 1 
+ 1 x secondary dwelling</t>
  </si>
  <si>
    <r>
      <t xml:space="preserve">06/2436 (DA)
132006.2436
</t>
    </r>
    <r>
      <rPr>
        <sz val="8"/>
        <color rgb="FF0000FF"/>
        <rFont val="Arial"/>
        <family val="2"/>
      </rPr>
      <t>Ext: 132006.2436.02
132006.2436.03</t>
    </r>
  </si>
  <si>
    <r>
      <rPr>
        <strike/>
        <sz val="8"/>
        <rFont val="Arial"/>
        <family val="2"/>
      </rPr>
      <t>16/07/2007
4/09/2007</t>
    </r>
    <r>
      <rPr>
        <sz val="8"/>
        <rFont val="Arial"/>
        <family val="2"/>
      </rPr>
      <t xml:space="preserve">
</t>
    </r>
    <r>
      <rPr>
        <strike/>
        <sz val="8"/>
        <rFont val="Arial"/>
        <family val="2"/>
      </rPr>
      <t>31/03/2011</t>
    </r>
    <r>
      <rPr>
        <sz val="8"/>
        <rFont val="Arial"/>
        <family val="2"/>
      </rPr>
      <t xml:space="preserve">
</t>
    </r>
    <r>
      <rPr>
        <strike/>
        <sz val="8"/>
        <rFont val="Arial"/>
        <family val="2"/>
      </rPr>
      <t>25/06/2014</t>
    </r>
    <r>
      <rPr>
        <sz val="8"/>
        <rFont val="Arial"/>
        <family val="2"/>
      </rPr>
      <t xml:space="preserve">
</t>
    </r>
    <r>
      <rPr>
        <sz val="8"/>
        <color rgb="FF0000FF"/>
        <rFont val="Arial"/>
        <family val="2"/>
      </rPr>
      <t>4/05/2016</t>
    </r>
    <r>
      <rPr>
        <sz val="8"/>
        <rFont val="Arial"/>
        <family val="2"/>
      </rPr>
      <t xml:space="preserve">
</t>
    </r>
  </si>
  <si>
    <r>
      <t xml:space="preserve">IC 523
</t>
    </r>
    <r>
      <rPr>
        <b/>
        <sz val="8"/>
        <color rgb="FFFF0000"/>
        <rFont val="Arial"/>
        <family val="2"/>
      </rPr>
      <t xml:space="preserve">
Lapsed per MC advice &amp; T1 event 18/05/2021</t>
    </r>
  </si>
  <si>
    <r>
      <t xml:space="preserve">N/A
</t>
    </r>
    <r>
      <rPr>
        <b/>
        <sz val="8"/>
        <color rgb="FF0000FF"/>
        <rFont val="Arial"/>
        <family val="2"/>
      </rPr>
      <t xml:space="preserve">+
IA 35
    9/07/2014
</t>
    </r>
    <r>
      <rPr>
        <b/>
        <sz val="8"/>
        <color rgb="FFFF0000"/>
        <rFont val="Arial"/>
        <family val="2"/>
      </rPr>
      <t>Lapsed per MC advice &amp; T1 event 18/05/2021</t>
    </r>
  </si>
  <si>
    <t>D278228</t>
  </si>
  <si>
    <t>Lot 153 RP 174105</t>
  </si>
  <si>
    <t xml:space="preserve">5 Forest Court TEWANTIN </t>
  </si>
  <si>
    <t>Building Work
Earthcert Building Approvals - Decision Notice: 210063</t>
  </si>
  <si>
    <t>4 Jarrah Street
COOROY QLD 4563</t>
  </si>
  <si>
    <t>D278632</t>
  </si>
  <si>
    <t>D278633</t>
  </si>
  <si>
    <t>GC Knight &amp; KL Martin &amp; KA Makinson &amp; LL Kuenkel</t>
  </si>
  <si>
    <t>C/- Adapt Town Planning + Development Management
PO Box 7618
SIPPY DOWNS QLD 4556</t>
  </si>
  <si>
    <t>MCU21/0039
Approved: 14/05/2021
Issued: 20/05/2021</t>
  </si>
  <si>
    <t xml:space="preserve"> Multiple dwelling (3 small dwellings)
Unit 11 = 1 x 1 bedroom unit
Units 12 &amp; 13 = 2 x 2 bedroom units</t>
  </si>
  <si>
    <t>ICN Total = $6.437.00 @ Planning Reg 2020-2021 Property owner requested 24/05/2021 delayed staged payments plan in accordance with: 
“Delayed Staged Payments of Infrastructure Charges” (amended due to COVID-19 Business Support Initiatives dated 26 March 2020)</t>
  </si>
  <si>
    <t>D279380</t>
  </si>
  <si>
    <t>PC21/0133
Approved: 6/02//2021
(Registered by NSC 21/04/2020 )</t>
  </si>
  <si>
    <t>Building Work
Caloundra Building Approvals - Decision Notice: 00009562</t>
  </si>
  <si>
    <t>Saltair Modular</t>
  </si>
  <si>
    <t>c/- Noosa Shire Council (Shine Constructon Project)</t>
  </si>
  <si>
    <t>100 Langura St
NOOSA HEADS QLD 4567</t>
  </si>
  <si>
    <t xml:space="preserve">Additional 3 bedroom dwelling </t>
  </si>
  <si>
    <t>Shine Constructon Project - for Domestic Violence Shelter 
Council Policy “Infrastructure Charges Rebates For Community Organisations” = 100%</t>
  </si>
  <si>
    <t xml:space="preserve">Lot 1 SP 239726
</t>
  </si>
  <si>
    <t>Not Issued
(Shine Constructon Project)
Final Inspection Certificate 20/04/2021</t>
  </si>
  <si>
    <t>MCU21/0044
Approved: 24/05/2021
Issued: 25/05/2021</t>
  </si>
  <si>
    <t>Charles Miller P/L TTE</t>
  </si>
  <si>
    <t>C/- Viva Property Group Pty Ltd
PO Box 419
INDROOROOPILLY QLD 4068</t>
  </si>
  <si>
    <t xml:space="preserve">8/11 Bartlett Road, Noosaville Qld 4566 </t>
  </si>
  <si>
    <t>Lot 13 SP 290687</t>
  </si>
  <si>
    <t>Warehouse = 193m2 gfa 
+ 193 Impervious area</t>
  </si>
  <si>
    <t>Warehouse = 293m2 gfa (Additional 100m2 mezzanine)
+ 193 Impervious area</t>
  </si>
  <si>
    <r>
      <rPr>
        <strike/>
        <sz val="10"/>
        <rFont val="Arial"/>
        <family val="2"/>
      </rPr>
      <t xml:space="preserve">26 &amp; </t>
    </r>
    <r>
      <rPr>
        <sz val="10"/>
        <rFont val="Arial"/>
        <family val="2"/>
      </rPr>
      <t xml:space="preserve">28 Lionel Donovan Drive NOOSAVILLE QLD 4566 
</t>
    </r>
    <r>
      <rPr>
        <sz val="10"/>
        <color rgb="FF0000FF"/>
        <rFont val="Arial"/>
        <family val="2"/>
      </rPr>
      <t>(re: Stage 2)</t>
    </r>
  </si>
  <si>
    <r>
      <t xml:space="preserve">Lots 302 </t>
    </r>
    <r>
      <rPr>
        <strike/>
        <sz val="10"/>
        <rFont val="Arial"/>
        <family val="2"/>
      </rPr>
      <t>&amp; 303 on</t>
    </r>
    <r>
      <rPr>
        <sz val="10"/>
        <rFont val="Arial"/>
        <family val="2"/>
      </rPr>
      <t xml:space="preserve"> SP 222132 
</t>
    </r>
    <r>
      <rPr>
        <sz val="10"/>
        <color rgb="FF0000FF"/>
        <rFont val="Arial"/>
        <family val="2"/>
      </rPr>
      <t>(re: Stage 2)</t>
    </r>
  </si>
  <si>
    <r>
      <rPr>
        <b/>
        <sz val="10"/>
        <color rgb="FF0000FF"/>
        <rFont val="Arial"/>
        <family val="2"/>
      </rPr>
      <t xml:space="preserve">N </t>
    </r>
    <r>
      <rPr>
        <b/>
        <sz val="10"/>
        <rFont val="Arial"/>
        <family val="2"/>
      </rPr>
      <t xml:space="preserve">1486
</t>
    </r>
    <r>
      <rPr>
        <b/>
        <sz val="10"/>
        <color rgb="FF0000FF"/>
        <rFont val="Arial"/>
        <family val="2"/>
      </rPr>
      <t xml:space="preserve">Negotiated STAGE 2
</t>
    </r>
    <r>
      <rPr>
        <sz val="10"/>
        <color rgb="FFFF0000"/>
        <rFont val="Arial"/>
        <family val="2"/>
      </rPr>
      <t>(26/05/2021 Owner requesting current payable)</t>
    </r>
  </si>
  <si>
    <r>
      <t xml:space="preserve">Stormwater not applicable for Development outside PIA per LGIP - original IC = $5,500.00
</t>
    </r>
    <r>
      <rPr>
        <sz val="10"/>
        <color rgb="FFFF0000"/>
        <rFont val="Arial"/>
        <family val="2"/>
      </rPr>
      <t>In accordance with Council’s COVID-19 Business Support Initiatives dated 26 March 2020 to defer infrastructure charges until July 2021, with no interest payments applied.
IA#113 Staged Payments Approved 26/05/2021</t>
    </r>
  </si>
  <si>
    <r>
      <t xml:space="preserve">Paid full amount </t>
    </r>
    <r>
      <rPr>
        <i/>
        <sz val="10"/>
        <color rgb="FF0000FF"/>
        <rFont val="Arial"/>
        <family val="2"/>
      </rPr>
      <t>(i.e. all 3 Staged Payments)</t>
    </r>
  </si>
  <si>
    <t>D279775</t>
  </si>
  <si>
    <t xml:space="preserve"> D279793</t>
  </si>
  <si>
    <t>D280538</t>
  </si>
  <si>
    <t>D280539</t>
  </si>
  <si>
    <t>Building Work
Sunshine Coast Building Approvals - Decision Notice: 210430</t>
  </si>
  <si>
    <t>PC21/0636
Approved:24/05/2021
Issued: 1/06/2021</t>
  </si>
  <si>
    <t>Leesa Borradaile</t>
  </si>
  <si>
    <t>2 Risley Court
COORAN QLD 4569</t>
  </si>
  <si>
    <t>Lot 17 RP 885195</t>
  </si>
  <si>
    <t>JUNE 2021 Total =</t>
  </si>
  <si>
    <t>D281000</t>
  </si>
  <si>
    <t>D281003</t>
  </si>
  <si>
    <t>D281281</t>
  </si>
  <si>
    <r>
      <rPr>
        <b/>
        <sz val="10"/>
        <color rgb="FF0000FF"/>
        <rFont val="Arial"/>
        <family val="2"/>
      </rPr>
      <t xml:space="preserve">N </t>
    </r>
    <r>
      <rPr>
        <b/>
        <sz val="10"/>
        <rFont val="Arial"/>
        <family val="2"/>
      </rPr>
      <t xml:space="preserve">1399
</t>
    </r>
    <r>
      <rPr>
        <sz val="10"/>
        <color rgb="FFFF0000"/>
        <rFont val="Arial"/>
        <family val="2"/>
      </rPr>
      <t xml:space="preserve">COMPLETED  - Final Inspection Cetificate 30/07/2019
</t>
    </r>
    <r>
      <rPr>
        <sz val="8"/>
        <color rgb="FFFF0000"/>
        <rFont val="Arial"/>
        <family val="2"/>
      </rPr>
      <t xml:space="preserve">IA 90-FINAL STAGED PAYMENT 3
DUE 15 JUNE 2021
</t>
    </r>
    <r>
      <rPr>
        <u/>
        <sz val="8"/>
        <color rgb="FFFF0000"/>
        <rFont val="Arial"/>
        <family val="2"/>
      </rPr>
      <t>but</t>
    </r>
    <r>
      <rPr>
        <sz val="8"/>
        <color rgb="FFFF0000"/>
        <rFont val="Arial"/>
        <family val="2"/>
      </rPr>
      <t xml:space="preserve"> prior to any sale of property </t>
    </r>
  </si>
  <si>
    <t>JUNE 2021
Total =</t>
  </si>
  <si>
    <r>
      <t xml:space="preserve">23/07/2020
</t>
    </r>
    <r>
      <rPr>
        <sz val="10"/>
        <color rgb="FFFF0000"/>
        <rFont val="Arial"/>
        <family val="2"/>
      </rPr>
      <t>8/06/2021</t>
    </r>
  </si>
  <si>
    <t>PC20/1109
Approved: 31/05/2021
Issued: 9/06/2022</t>
  </si>
  <si>
    <t>Building Work
Pure Building Approvals - Decision Notice: 20208902</t>
  </si>
  <si>
    <t>Building Work
Earthcert Building Approvals - Decision Notice: 210172</t>
  </si>
  <si>
    <t>Karen Gompelman</t>
  </si>
  <si>
    <t>Foxrob Pty Ltd TTE</t>
  </si>
  <si>
    <t>29 Oak Street
COOROY QLD 4563</t>
  </si>
  <si>
    <t>122 Werin Street
TEWANTIN QLD 4565</t>
  </si>
  <si>
    <t>Lot 17 SP 103507</t>
  </si>
  <si>
    <t>Lot 15 RP 93966</t>
  </si>
  <si>
    <t>70 Hendry Street
TEWANTIN QLD 4565</t>
  </si>
  <si>
    <t>D281977</t>
  </si>
  <si>
    <r>
      <rPr>
        <sz val="10"/>
        <color rgb="FF0000FF"/>
        <rFont val="Arial"/>
        <family val="2"/>
      </rPr>
      <t xml:space="preserve">N </t>
    </r>
    <r>
      <rPr>
        <sz val="10"/>
        <rFont val="Arial"/>
        <family val="2"/>
      </rPr>
      <t xml:space="preserve">1303
</t>
    </r>
    <r>
      <rPr>
        <sz val="10"/>
        <color rgb="FFFF0000"/>
        <rFont val="Arial"/>
        <family val="2"/>
      </rPr>
      <t xml:space="preserve">Completed MC Advice 23/10/2020
PC19/0638 Final Inspection Certificate issued 31/01/2020
DUE 1 July 2021 
</t>
    </r>
    <r>
      <rPr>
        <u/>
        <sz val="10"/>
        <color rgb="FFFF0000"/>
        <rFont val="Arial"/>
        <family val="2"/>
      </rPr>
      <t xml:space="preserve">but prior to any sale of property </t>
    </r>
  </si>
  <si>
    <t>Online Credit Card Pmt Inv 11722
Rec D281523</t>
  </si>
  <si>
    <t>D282173</t>
  </si>
  <si>
    <r>
      <rPr>
        <sz val="10"/>
        <color rgb="FF0000FF"/>
        <rFont val="Arial"/>
        <family val="2"/>
      </rPr>
      <t>Online Credit Card Pmt</t>
    </r>
    <r>
      <rPr>
        <b/>
        <sz val="10"/>
        <color rgb="FF0000FF"/>
        <rFont val="Arial"/>
        <family val="2"/>
      </rPr>
      <t xml:space="preserve">
D282043
</t>
    </r>
  </si>
  <si>
    <r>
      <t xml:space="preserve">$5,000 Part Pmt
$2,000 Part Pmt
$5,000 Part Pmt
</t>
    </r>
    <r>
      <rPr>
        <b/>
        <sz val="10"/>
        <color rgb="FF0000FF"/>
        <rFont val="Arial"/>
        <family val="2"/>
      </rPr>
      <t>PAID $13,147 Bal</t>
    </r>
  </si>
  <si>
    <t>D282434</t>
  </si>
  <si>
    <t>D282435</t>
  </si>
  <si>
    <r>
      <t xml:space="preserve">13/12/2019
26/03/2020
13/04/2021
</t>
    </r>
    <r>
      <rPr>
        <b/>
        <sz val="10"/>
        <color rgb="FF0000FF"/>
        <rFont val="Arial"/>
        <family val="2"/>
      </rPr>
      <t>15/06/2021</t>
    </r>
  </si>
  <si>
    <t>Paid by cc</t>
  </si>
  <si>
    <r>
      <rPr>
        <b/>
        <sz val="10"/>
        <color rgb="FF0000FF"/>
        <rFont val="Arial"/>
        <family val="2"/>
      </rPr>
      <t xml:space="preserve">N </t>
    </r>
    <r>
      <rPr>
        <b/>
        <sz val="10"/>
        <rFont val="Arial"/>
        <family val="2"/>
      </rPr>
      <t>1303</t>
    </r>
    <r>
      <rPr>
        <sz val="10"/>
        <rFont val="Arial"/>
        <family val="2"/>
      </rPr>
      <t xml:space="preserve">
</t>
    </r>
    <r>
      <rPr>
        <sz val="10"/>
        <color rgb="FFFF0000"/>
        <rFont val="Arial"/>
        <family val="2"/>
      </rPr>
      <t xml:space="preserve">PC19/0638 Final Certificate 31/01/2020
DUE 1 July 2021 </t>
    </r>
    <r>
      <rPr>
        <sz val="12"/>
        <color rgb="FFFF0000"/>
        <rFont val="Arial"/>
        <family val="2"/>
      </rPr>
      <t xml:space="preserve">
</t>
    </r>
    <r>
      <rPr>
        <u/>
        <sz val="10"/>
        <color rgb="FFFF0000"/>
        <rFont val="Arial"/>
        <family val="2"/>
      </rPr>
      <t xml:space="preserve">but prior to any sale of property </t>
    </r>
  </si>
  <si>
    <r>
      <rPr>
        <b/>
        <sz val="10"/>
        <color rgb="FF0000FF"/>
        <rFont val="Arial"/>
        <family val="2"/>
      </rPr>
      <t xml:space="preserve">N </t>
    </r>
    <r>
      <rPr>
        <b/>
        <sz val="10"/>
        <rFont val="Arial"/>
        <family val="2"/>
      </rPr>
      <t xml:space="preserve">1275
</t>
    </r>
    <r>
      <rPr>
        <i/>
        <sz val="10"/>
        <color rgb="FFFF0000"/>
        <rFont val="Arial"/>
        <family val="2"/>
      </rPr>
      <t xml:space="preserve">CoC Issued 19/03/2020
</t>
    </r>
    <r>
      <rPr>
        <sz val="10"/>
        <color rgb="FFFF0000"/>
        <rFont val="Arial"/>
        <family val="2"/>
      </rPr>
      <t xml:space="preserve">DUE 1 July 2021 
but prior to any sale of property </t>
    </r>
  </si>
  <si>
    <r>
      <rPr>
        <b/>
        <sz val="10"/>
        <color rgb="FF0000FF"/>
        <rFont val="Arial"/>
        <family val="2"/>
      </rPr>
      <t xml:space="preserve">N </t>
    </r>
    <r>
      <rPr>
        <b/>
        <sz val="10"/>
        <rFont val="Arial"/>
        <family val="2"/>
      </rPr>
      <t xml:space="preserve">1180
</t>
    </r>
    <r>
      <rPr>
        <sz val="10"/>
        <color rgb="FF0000FF"/>
        <rFont val="Arial"/>
        <family val="2"/>
      </rPr>
      <t>IA 83</t>
    </r>
    <r>
      <rPr>
        <sz val="10"/>
        <rFont val="Arial"/>
        <family val="2"/>
      </rPr>
      <t xml:space="preserve">
</t>
    </r>
    <r>
      <rPr>
        <sz val="10"/>
        <color rgb="FFFF0000"/>
        <rFont val="Arial"/>
        <family val="2"/>
      </rPr>
      <t>Staged Payment No.3
DUE 15 JUNE 2021 
but prior to any sale of property</t>
    </r>
  </si>
  <si>
    <t>D000282869</t>
  </si>
  <si>
    <t>D000282870</t>
  </si>
  <si>
    <t>D000282874</t>
  </si>
  <si>
    <t>D000282876</t>
  </si>
  <si>
    <t>D000282878</t>
  </si>
  <si>
    <t>D000282880</t>
  </si>
  <si>
    <t xml:space="preserve">Yallambee
11/219 Weyba Road, Noosaville
</t>
  </si>
  <si>
    <t>Lot 11 on BUP5601</t>
  </si>
  <si>
    <t>3 Accommodation Units  (short-term accommodation)
Unit 11 = 1 x 1 bedroom unit
Units 12 &amp; 13 = 2 x 2 bedroom units</t>
  </si>
  <si>
    <t>Approval &amp; Infrastructure charge $15,296.00 applies to units 11,12 &amp; 13 / 219 Weyba Rd Noosaville =  Unit 13 = $6,477.00</t>
  </si>
  <si>
    <t>Approval &amp; Infrastructure charge $15,296.00 applies to units 11,12 &amp; 13 / 219 Weyba Rd Noosaville = Unit 11 = $2,342.00</t>
  </si>
  <si>
    <r>
      <t xml:space="preserve">Approval &amp; Infrastructure charge $15,296.00 applies to units 11,12 &amp; 13 / 219 Weyba Rd Noosaville = Unit 13 = $6,477.00
</t>
    </r>
    <r>
      <rPr>
        <sz val="10"/>
        <color rgb="FFFF0000"/>
        <rFont val="Arial"/>
        <family val="2"/>
      </rPr>
      <t>IA#115 Delayed Staged Payment In accordance with Council’s COVID-19 Business Support Initiatives dated 26 March 2020</t>
    </r>
  </si>
  <si>
    <r>
      <rPr>
        <b/>
        <sz val="10"/>
        <color rgb="FF0000FF"/>
        <rFont val="Arial"/>
        <family val="2"/>
      </rPr>
      <t xml:space="preserve">N </t>
    </r>
    <r>
      <rPr>
        <b/>
        <sz val="10"/>
        <rFont val="Arial"/>
        <family val="2"/>
      </rPr>
      <t xml:space="preserve">1629 
</t>
    </r>
    <r>
      <rPr>
        <b/>
        <sz val="10"/>
        <color rgb="FF0000FF"/>
        <rFont val="Arial"/>
        <family val="2"/>
      </rPr>
      <t>Applicable to Unit 11</t>
    </r>
    <r>
      <rPr>
        <b/>
        <sz val="10"/>
        <rFont val="Arial"/>
        <family val="2"/>
      </rPr>
      <t xml:space="preserve">
</t>
    </r>
    <r>
      <rPr>
        <sz val="10"/>
        <color rgb="FFFF0000"/>
        <rFont val="Arial"/>
        <family val="2"/>
      </rPr>
      <t>DUE 1 JULY 2021</t>
    </r>
  </si>
  <si>
    <r>
      <t xml:space="preserve">Online Credit Card Pmt
</t>
    </r>
    <r>
      <rPr>
        <b/>
        <sz val="10"/>
        <color rgb="FF0000FF"/>
        <rFont val="Arial"/>
        <family val="2"/>
      </rPr>
      <t>D000282966</t>
    </r>
  </si>
  <si>
    <t>D000283105</t>
  </si>
  <si>
    <t>D000283109</t>
  </si>
  <si>
    <t>D000283110</t>
  </si>
  <si>
    <t>D000283113</t>
  </si>
  <si>
    <r>
      <rPr>
        <b/>
        <sz val="10"/>
        <color rgb="FF0000FF"/>
        <rFont val="Arial"/>
        <family val="2"/>
      </rPr>
      <t xml:space="preserve">N </t>
    </r>
    <r>
      <rPr>
        <b/>
        <sz val="10"/>
        <rFont val="Arial"/>
        <family val="2"/>
      </rPr>
      <t xml:space="preserve">1607
</t>
    </r>
    <r>
      <rPr>
        <sz val="10"/>
        <rFont val="Arial"/>
        <family val="2"/>
      </rPr>
      <t xml:space="preserve">
</t>
    </r>
    <r>
      <rPr>
        <sz val="10"/>
        <color rgb="FFFF0000"/>
        <rFont val="Arial"/>
        <family val="2"/>
      </rPr>
      <t>DUE 1 JULY 2021 
but prior to any sale of property</t>
    </r>
  </si>
  <si>
    <t>D000283313</t>
  </si>
  <si>
    <t>D000283314</t>
  </si>
  <si>
    <t>EJ Lambros</t>
  </si>
  <si>
    <t>400 Black Mountain Rd 
Black Mountain Qld 4563</t>
  </si>
  <si>
    <t>Lot 90 SP 158854</t>
  </si>
  <si>
    <r>
      <t xml:space="preserve">1 x Residential lot = equivalent to a 3+bedroom dwelling </t>
    </r>
    <r>
      <rPr>
        <i/>
        <sz val="10"/>
        <rFont val="Arial"/>
        <family val="2"/>
      </rPr>
      <t>(which is greater than a credit for just the existing 1 bedroom dwelling approved under Building permit PC18/0223 dated 21/02/2018)</t>
    </r>
  </si>
  <si>
    <r>
      <t>• New Dwelling house</t>
    </r>
    <r>
      <rPr>
        <i/>
        <sz val="10"/>
        <rFont val="Arial"/>
        <family val="2"/>
      </rPr>
      <t xml:space="preserve"> (3 bedroom)</t>
    </r>
    <r>
      <rPr>
        <sz val="10"/>
        <rFont val="Arial"/>
        <family val="2"/>
      </rPr>
      <t xml:space="preserve"> + Secondary dwelling</t>
    </r>
    <r>
      <rPr>
        <i/>
        <sz val="10"/>
        <rFont val="Arial"/>
        <family val="2"/>
      </rPr>
      <t xml:space="preserve"> (existing 1 bedroom dwelling approved under Building permit PC18/0223 dated 21/02/2018)</t>
    </r>
  </si>
  <si>
    <r>
      <rPr>
        <strike/>
        <sz val="10"/>
        <rFont val="Arial"/>
        <family val="2"/>
      </rPr>
      <t xml:space="preserve">152006.1999
</t>
    </r>
    <r>
      <rPr>
        <sz val="10"/>
        <rFont val="Arial"/>
        <family val="2"/>
      </rPr>
      <t xml:space="preserve">152006.1999.2
152006.1999.3
152006.1999.4 
re: </t>
    </r>
    <r>
      <rPr>
        <i/>
        <sz val="10"/>
        <rFont val="Arial"/>
        <family val="2"/>
      </rPr>
      <t xml:space="preserve">P&amp;E Court Appeal No. 1605 of 2020 – Judgement Order 
</t>
    </r>
    <r>
      <rPr>
        <sz val="10"/>
        <rFont val="Arial"/>
        <family val="2"/>
      </rPr>
      <t>Approved 20/08/2020
(Registered by NSC 24/08/2020)</t>
    </r>
  </si>
  <si>
    <r>
      <rPr>
        <b/>
        <sz val="10"/>
        <color rgb="FF0000FF"/>
        <rFont val="Arial"/>
        <family val="2"/>
      </rPr>
      <t xml:space="preserve">N </t>
    </r>
    <r>
      <rPr>
        <b/>
        <sz val="10"/>
        <rFont val="Arial"/>
        <family val="2"/>
      </rPr>
      <t xml:space="preserve">1553
</t>
    </r>
    <r>
      <rPr>
        <b/>
        <sz val="10"/>
        <color rgb="FF0000FF"/>
        <rFont val="Arial"/>
        <family val="2"/>
      </rPr>
      <t xml:space="preserve">STAGE 3
</t>
    </r>
    <r>
      <rPr>
        <b/>
        <sz val="10"/>
        <color rgb="FFFF0000"/>
        <rFont val="Arial"/>
        <family val="2"/>
      </rPr>
      <t xml:space="preserve">LAPSED 16/06/2021 
</t>
    </r>
    <r>
      <rPr>
        <sz val="10"/>
        <color rgb="FFFF0000"/>
        <rFont val="Arial"/>
        <family val="2"/>
      </rPr>
      <t xml:space="preserve">P&amp;E Appeal 3560 of 2017  DISMISSED Extension 152006.1999.2 
P&amp;E Appeal 2379 of 2019  DISMISSED Change Cond 5 152006.1999.3 </t>
    </r>
  </si>
  <si>
    <r>
      <rPr>
        <b/>
        <sz val="10"/>
        <color rgb="FF0000FF"/>
        <rFont val="Arial"/>
        <family val="2"/>
      </rPr>
      <t xml:space="preserve">N </t>
    </r>
    <r>
      <rPr>
        <b/>
        <sz val="10"/>
        <rFont val="Arial"/>
        <family val="2"/>
      </rPr>
      <t xml:space="preserve">1553
</t>
    </r>
    <r>
      <rPr>
        <b/>
        <sz val="10"/>
        <color rgb="FF0000FF"/>
        <rFont val="Arial"/>
        <family val="2"/>
      </rPr>
      <t xml:space="preserve">STAGE 2
</t>
    </r>
    <r>
      <rPr>
        <b/>
        <sz val="10"/>
        <color rgb="FFFF0000"/>
        <rFont val="Arial"/>
        <family val="2"/>
      </rPr>
      <t xml:space="preserve">LAPSED 16/06/2021 
</t>
    </r>
    <r>
      <rPr>
        <sz val="10"/>
        <color rgb="FFFF0000"/>
        <rFont val="Arial"/>
        <family val="2"/>
      </rPr>
      <t xml:space="preserve">P&amp;E Appeal 3560 of 2017  DISMISSED Extension 152006.1999.2 
P&amp;E Appeal 2379 of 2019  DISMISSED Change Cond 5 152006.1999.3 </t>
    </r>
  </si>
  <si>
    <r>
      <rPr>
        <b/>
        <sz val="10"/>
        <color rgb="FF0000FF"/>
        <rFont val="Arial"/>
        <family val="2"/>
      </rPr>
      <t xml:space="preserve">N </t>
    </r>
    <r>
      <rPr>
        <b/>
        <sz val="10"/>
        <rFont val="Arial"/>
        <family val="2"/>
      </rPr>
      <t xml:space="preserve">1553
</t>
    </r>
    <r>
      <rPr>
        <b/>
        <sz val="10"/>
        <color rgb="FF0000FF"/>
        <rFont val="Arial"/>
        <family val="2"/>
      </rPr>
      <t xml:space="preserve">STAGE 1
</t>
    </r>
    <r>
      <rPr>
        <b/>
        <sz val="10"/>
        <color rgb="FFFF0000"/>
        <rFont val="Arial"/>
        <family val="2"/>
      </rPr>
      <t xml:space="preserve">LAPSED 16/06/2021 
</t>
    </r>
    <r>
      <rPr>
        <sz val="10"/>
        <color rgb="FFFF0000"/>
        <rFont val="Arial"/>
        <family val="2"/>
      </rPr>
      <t xml:space="preserve">P&amp;E Appeal 3560 of 2017  DISMISSED Extension 152006.1999.2 
P&amp;E Appeal 2379 of 2019  DISMISSED Change Cond 5 152006.1999.3 </t>
    </r>
  </si>
  <si>
    <r>
      <t xml:space="preserve">223
</t>
    </r>
    <r>
      <rPr>
        <b/>
        <sz val="10"/>
        <color rgb="FFFF0000"/>
        <rFont val="Arial"/>
        <family val="2"/>
      </rPr>
      <t>LAPSED 17/06/2021</t>
    </r>
    <r>
      <rPr>
        <b/>
        <sz val="10"/>
        <rFont val="Arial"/>
        <family val="2"/>
      </rPr>
      <t xml:space="preserve">
</t>
    </r>
    <r>
      <rPr>
        <sz val="10"/>
        <color rgb="FFFF0000"/>
        <rFont val="Arial"/>
        <family val="2"/>
      </rPr>
      <t>P&amp;E Appeal No. 2974 of 2020 Dismissed Extn</t>
    </r>
  </si>
  <si>
    <r>
      <rPr>
        <b/>
        <strike/>
        <sz val="8"/>
        <rFont val="Arial"/>
        <family val="2"/>
      </rPr>
      <t xml:space="preserve">IC 783 </t>
    </r>
    <r>
      <rPr>
        <b/>
        <strike/>
        <sz val="8"/>
        <color rgb="FF0000FF"/>
        <rFont val="Arial"/>
        <family val="2"/>
      </rPr>
      <t xml:space="preserve">(Rev 1)
</t>
    </r>
    <r>
      <rPr>
        <strike/>
        <sz val="8"/>
        <color rgb="FF0000FF"/>
        <rFont val="Arial"/>
        <family val="2"/>
      </rPr>
      <t>IA 10
 15/03/2013</t>
    </r>
    <r>
      <rPr>
        <b/>
        <sz val="8"/>
        <color rgb="FF0000FF"/>
        <rFont val="Arial"/>
        <family val="2"/>
      </rPr>
      <t xml:space="preserve">
</t>
    </r>
    <r>
      <rPr>
        <b/>
        <sz val="8"/>
        <color rgb="FFFF0000"/>
        <rFont val="Arial"/>
        <family val="2"/>
      </rPr>
      <t>Replaced by IA 88
 1/07/2019</t>
    </r>
  </si>
  <si>
    <r>
      <t xml:space="preserve">PSPs &amp; ICP to ADOPTED CHARGE </t>
    </r>
    <r>
      <rPr>
        <b/>
        <sz val="8"/>
        <color rgb="FFFF0000"/>
        <rFont val="Arial"/>
        <family val="2"/>
      </rPr>
      <t xml:space="preserve">refer: IA 88
Refer excel sheet 2 AICN (Issued) </t>
    </r>
  </si>
  <si>
    <t>D000283896</t>
  </si>
  <si>
    <t>D000283898</t>
  </si>
  <si>
    <t>D000283897</t>
  </si>
  <si>
    <t>PC21/0749
Approved: 10/06/2021
Issued: 22/06/2021</t>
  </si>
  <si>
    <t>Building Work
Building Approvals United - Decision Notice: 20202242</t>
  </si>
  <si>
    <t>Kane Upton</t>
  </si>
  <si>
    <t>PO Box 202
NOOSAVILLE QLD 4566</t>
  </si>
  <si>
    <t>Lot 3 SP 152097</t>
  </si>
  <si>
    <t>523 Cooroy Noosa Road TINBEERWAH QLD 4563</t>
  </si>
  <si>
    <r>
      <rPr>
        <sz val="10"/>
        <color rgb="FF0000FF"/>
        <rFont val="Arial"/>
        <family val="2"/>
      </rPr>
      <t>IC issued = $5,484.00</t>
    </r>
    <r>
      <rPr>
        <sz val="10"/>
        <color rgb="FFFF0000"/>
        <rFont val="Arial"/>
        <family val="2"/>
      </rPr>
      <t xml:space="preserve">
IA#115 Delayed Staged Payment In accordance with Council’s COVID-19 Business Support Initiatives dated 26 March 2020</t>
    </r>
  </si>
  <si>
    <t>D000284466</t>
  </si>
  <si>
    <t>RAL21/0008
Approved: 10/05/2021
Issued: 13/05/2021</t>
  </si>
  <si>
    <t>D000284471</t>
  </si>
  <si>
    <t>D000284472</t>
  </si>
  <si>
    <t>GL Walker</t>
  </si>
  <si>
    <t xml:space="preserve">18 Pearsons Rd 
COOROY QLD 4563 </t>
  </si>
  <si>
    <t xml:space="preserve">Lot 5 RP 202304 </t>
  </si>
  <si>
    <t>D000284710</t>
  </si>
  <si>
    <t>MCU21/0071</t>
  </si>
  <si>
    <t xml:space="preserve">IA 117
</t>
  </si>
  <si>
    <t>TTF PTY LTD AFT THE TONY FITZGERALD FAMILY TRUST</t>
  </si>
  <si>
    <t>C/- Urban Places Town Planning Consultants
4/59 Mary St
NOOSAVILLE QLD 4566</t>
  </si>
  <si>
    <t>Change to include Food &amp; Drink Outlett + Additional Dining 24m2
Contribution of off-streel parking for 1 car park space</t>
  </si>
  <si>
    <t>0 &amp; 1/10 THOMAS ST, NOOSAVILLE QLD 4566</t>
  </si>
  <si>
    <t>Lot 0 &amp; 1 on SP 100808</t>
  </si>
  <si>
    <t>1 carparking spaces in Lieu
CPI Mar 2021 @ 2021-2022 financial year</t>
  </si>
  <si>
    <r>
      <t>Negotiated Decision additional condition 81 &amp; 82 approved area for sole use of vehicle manouvering &amp; loading. IC = 47,830 @ 2017-2018
STAGED PAYMENT AGREEMENTS DATED 28/06/20212</t>
    </r>
    <r>
      <rPr>
        <sz val="10"/>
        <color rgb="FFFF0000"/>
        <rFont val="Arial"/>
        <family val="2"/>
      </rPr>
      <t xml:space="preserve">
(Amended due to COVID-19 Business Support Initiative dated 26 March 2020)</t>
    </r>
  </si>
  <si>
    <r>
      <t>Negotiated Decision additional condition 81 &amp; 82 approved area for sole use of vehicle manouvering &amp; loading. IC = 47,830 @ 2017-2018
($51,022 @ 2020-2021)
STAGED PAYMENT AGREEMENTS DATED 28/06/20212</t>
    </r>
    <r>
      <rPr>
        <sz val="10"/>
        <color rgb="FFFF0000"/>
        <rFont val="Arial"/>
        <family val="2"/>
      </rPr>
      <t xml:space="preserve">
(Amended due to COVID-19 Business Support Initiative dated 26 March 2020)</t>
    </r>
  </si>
  <si>
    <t xml:space="preserve">Camtegan P/L TTE
</t>
  </si>
  <si>
    <t xml:space="preserve">Lot 136 on RP88934 </t>
  </si>
  <si>
    <t>31 Bottlebrush Ave, 
Noosa Heads Qld 4567</t>
  </si>
  <si>
    <t>Multiple dwellings = 
2 x 3 bed units +
2 x 2 bed units</t>
  </si>
  <si>
    <t>TJ Morris &amp; DJ Biss</t>
  </si>
  <si>
    <t xml:space="preserve">Lot 8 RP 835350 </t>
  </si>
  <si>
    <t xml:space="preserve">503 Middle Creek Rd 
Federal Qld 4568 </t>
  </si>
  <si>
    <t>MCU20/0146
Approved: 25/06/2021
Issued: 28/06/2021</t>
  </si>
  <si>
    <t>1 x Detached House + 1 x secondary dwelling</t>
  </si>
  <si>
    <t>RAL20/0028
Approved: 22/06/2021
Issued: 24/06/2021</t>
  </si>
  <si>
    <r>
      <rPr>
        <sz val="10"/>
        <color rgb="FF0000FF"/>
        <rFont val="Arial"/>
        <family val="2"/>
      </rPr>
      <t>Online Credit Card Pmt</t>
    </r>
    <r>
      <rPr>
        <b/>
        <sz val="10"/>
        <color rgb="FF0000FF"/>
        <rFont val="Arial"/>
        <family val="2"/>
      </rPr>
      <t xml:space="preserve">
D000284735</t>
    </r>
  </si>
  <si>
    <r>
      <rPr>
        <sz val="8"/>
        <color rgb="FF0000FF"/>
        <rFont val="Arial"/>
        <family val="2"/>
      </rPr>
      <t>Part Paid $9,068.00 9/06/2021</t>
    </r>
    <r>
      <rPr>
        <sz val="10"/>
        <color rgb="FF0000FF"/>
        <rFont val="Arial"/>
        <family val="2"/>
      </rPr>
      <t xml:space="preserve">
</t>
    </r>
    <r>
      <rPr>
        <b/>
        <sz val="10"/>
        <color rgb="FF0000FF"/>
        <rFont val="Arial"/>
        <family val="2"/>
      </rPr>
      <t>PAID BALANCE</t>
    </r>
  </si>
  <si>
    <r>
      <rPr>
        <b/>
        <sz val="10"/>
        <color rgb="FF0000FF"/>
        <rFont val="Arial"/>
        <family val="2"/>
      </rPr>
      <t xml:space="preserve">N </t>
    </r>
    <r>
      <rPr>
        <b/>
        <sz val="10"/>
        <rFont val="Arial"/>
        <family val="2"/>
      </rPr>
      <t xml:space="preserve">1145
</t>
    </r>
    <r>
      <rPr>
        <sz val="10"/>
        <color rgb="FFFF0000"/>
        <rFont val="Arial"/>
        <family val="2"/>
      </rPr>
      <t xml:space="preserve">DUE 1 July 2021 
but prior to any sale of property </t>
    </r>
    <r>
      <rPr>
        <sz val="10"/>
        <rFont val="Arial"/>
        <family val="2"/>
      </rPr>
      <t xml:space="preserve">
</t>
    </r>
  </si>
  <si>
    <r>
      <t xml:space="preserve">Paid Part $10,000 28/06/2021 
Paid Bal $8,136 29/06/2021
</t>
    </r>
    <r>
      <rPr>
        <b/>
        <sz val="10"/>
        <color rgb="FF0000FF"/>
        <rFont val="Arial"/>
        <family val="2"/>
      </rPr>
      <t>PAID</t>
    </r>
  </si>
  <si>
    <r>
      <rPr>
        <b/>
        <sz val="10"/>
        <color rgb="FF0000FF"/>
        <rFont val="Arial"/>
        <family val="2"/>
      </rPr>
      <t xml:space="preserve">N </t>
    </r>
    <r>
      <rPr>
        <b/>
        <sz val="10"/>
        <rFont val="Arial"/>
        <family val="2"/>
      </rPr>
      <t xml:space="preserve">1414
</t>
    </r>
    <r>
      <rPr>
        <sz val="10"/>
        <color rgb="FFFF0000"/>
        <rFont val="Arial"/>
        <family val="2"/>
      </rPr>
      <t>CoC issued 09/04/2020</t>
    </r>
    <r>
      <rPr>
        <b/>
        <sz val="10"/>
        <rFont val="Arial"/>
        <family val="2"/>
      </rPr>
      <t xml:space="preserve">
</t>
    </r>
    <r>
      <rPr>
        <sz val="10"/>
        <color rgb="FFFF0000"/>
        <rFont val="Arial"/>
        <family val="2"/>
      </rPr>
      <t xml:space="preserve">DUE 1 July 2021 </t>
    </r>
    <r>
      <rPr>
        <b/>
        <sz val="10"/>
        <color rgb="FFFF0000"/>
        <rFont val="Arial"/>
        <family val="2"/>
      </rPr>
      <t xml:space="preserve">
</t>
    </r>
    <r>
      <rPr>
        <u/>
        <sz val="10"/>
        <color rgb="FFFF0000"/>
        <rFont val="Arial"/>
        <family val="2"/>
      </rPr>
      <t xml:space="preserve">but </t>
    </r>
    <r>
      <rPr>
        <sz val="10"/>
        <color rgb="FFFF0000"/>
        <rFont val="Arial"/>
        <family val="2"/>
      </rPr>
      <t xml:space="preserve">prior to any sale of property </t>
    </r>
  </si>
  <si>
    <t>CPI Mar 2021 @ 2021-2022 financial year</t>
  </si>
  <si>
    <r>
      <rPr>
        <b/>
        <sz val="10"/>
        <color rgb="FF0000FF"/>
        <rFont val="Arial"/>
        <family val="2"/>
      </rPr>
      <t xml:space="preserve">N </t>
    </r>
    <r>
      <rPr>
        <b/>
        <sz val="10"/>
        <rFont val="Arial"/>
        <family val="2"/>
      </rPr>
      <t xml:space="preserve">1498
</t>
    </r>
    <r>
      <rPr>
        <sz val="10"/>
        <color rgb="FFFF0000"/>
        <rFont val="Arial"/>
        <family val="2"/>
      </rPr>
      <t>Completed per MC inspection advice 3/04/2020 
DUE 1 JULY 2021</t>
    </r>
    <r>
      <rPr>
        <b/>
        <sz val="12"/>
        <color rgb="FFFF0000"/>
        <rFont val="Arial"/>
        <family val="2"/>
      </rPr>
      <t xml:space="preserve"> </t>
    </r>
    <r>
      <rPr>
        <sz val="10"/>
        <color rgb="FFFF0000"/>
        <rFont val="Arial"/>
        <family val="2"/>
      </rPr>
      <t xml:space="preserve">
but prior to any sale of property</t>
    </r>
  </si>
  <si>
    <t>D000285222</t>
  </si>
  <si>
    <t>D000285225</t>
  </si>
  <si>
    <t>D000285237</t>
  </si>
  <si>
    <t>D000285241</t>
  </si>
  <si>
    <t>D000285242</t>
  </si>
  <si>
    <r>
      <t xml:space="preserve">Paid Part $10,000 28/06/2021 
Bal $7603 paid 29/06/21
</t>
    </r>
    <r>
      <rPr>
        <b/>
        <sz val="8"/>
        <color rgb="FF0000FF"/>
        <rFont val="Arial"/>
        <family val="2"/>
      </rPr>
      <t>PAID</t>
    </r>
  </si>
  <si>
    <r>
      <t xml:space="preserve">*Picked up on BA Report Review*
</t>
    </r>
    <r>
      <rPr>
        <sz val="10"/>
        <color rgb="FFFF0000"/>
        <rFont val="Arial"/>
        <family val="2"/>
      </rPr>
      <t xml:space="preserve">Use commenced 30 July 2020 &amp; approved deferred payment &amp; then IA#114 In accordance with Council’s COVID-19 Business Support Initiatives dated 26 March 2020
</t>
    </r>
    <r>
      <rPr>
        <b/>
        <sz val="10"/>
        <color rgb="FF0000FF"/>
        <rFont val="Arial"/>
        <family val="2"/>
      </rPr>
      <t>Decided to pay Full Deferred amount instead</t>
    </r>
  </si>
  <si>
    <r>
      <rPr>
        <b/>
        <sz val="10"/>
        <color rgb="FF0000FF"/>
        <rFont val="Arial"/>
        <family val="2"/>
      </rPr>
      <t xml:space="preserve">N </t>
    </r>
    <r>
      <rPr>
        <b/>
        <sz val="10"/>
        <rFont val="Arial"/>
        <family val="2"/>
      </rPr>
      <t xml:space="preserve">1549
</t>
    </r>
    <r>
      <rPr>
        <sz val="10"/>
        <color rgb="FFFF0000"/>
        <rFont val="Arial"/>
        <family val="2"/>
      </rPr>
      <t>Build competed &amp; Occ 30/07/2020</t>
    </r>
    <r>
      <rPr>
        <b/>
        <sz val="10"/>
        <rFont val="Arial"/>
        <family val="2"/>
      </rPr>
      <t xml:space="preserve">
</t>
    </r>
    <r>
      <rPr>
        <sz val="10"/>
        <color rgb="FFFF0000"/>
        <rFont val="Arial"/>
        <family val="2"/>
      </rPr>
      <t xml:space="preserve">DUE 1JULY 2021 </t>
    </r>
    <r>
      <rPr>
        <b/>
        <sz val="10"/>
        <color rgb="FFFF0000"/>
        <rFont val="Arial"/>
        <family val="2"/>
      </rPr>
      <t xml:space="preserve">
</t>
    </r>
    <r>
      <rPr>
        <sz val="10"/>
        <color rgb="FFFF0000"/>
        <rFont val="Arial"/>
        <family val="2"/>
      </rPr>
      <t>but prior to any sale of property</t>
    </r>
  </si>
  <si>
    <t>D000285396</t>
  </si>
  <si>
    <t>D000285397</t>
  </si>
  <si>
    <t>From 17th March 2008 - IC notices issued from SCRC - IC 737 onwards</t>
  </si>
  <si>
    <t>MCU21/0088
Approved: 28/06/2021
Issued: 1/07/2021</t>
  </si>
  <si>
    <t>MA Van Der Stoep</t>
  </si>
  <si>
    <t>C/- Fluid Building Approvals
37 Mary St
NOOSAVILLE QLD 4566</t>
  </si>
  <si>
    <t xml:space="preserve">8 Dandaloo Lane COOTHARABA QLD </t>
  </si>
  <si>
    <t>Lot 9 RP 908915</t>
  </si>
  <si>
    <t>One Property</t>
  </si>
  <si>
    <t>C/- M Joyce
62 Karelyn Drive
JOYNER QLD 4500</t>
  </si>
  <si>
    <t>21 Nannygai St 
NOOSAVILLE QLD 4566</t>
  </si>
  <si>
    <t>Lot 54 RP 76937</t>
  </si>
  <si>
    <r>
      <rPr>
        <b/>
        <sz val="10"/>
        <color rgb="FF0000FF"/>
        <rFont val="Arial"/>
        <family val="2"/>
      </rPr>
      <t xml:space="preserve">N </t>
    </r>
    <r>
      <rPr>
        <b/>
        <sz val="10"/>
        <rFont val="Arial"/>
        <family val="2"/>
      </rPr>
      <t xml:space="preserve">1404
</t>
    </r>
    <r>
      <rPr>
        <sz val="10"/>
        <color rgb="FFFF0000"/>
        <rFont val="Arial"/>
        <family val="2"/>
      </rPr>
      <t>Final Inspection Certificate issued 11 Dec 2020</t>
    </r>
    <r>
      <rPr>
        <b/>
        <sz val="10"/>
        <color rgb="FFFF0000"/>
        <rFont val="Arial"/>
        <family val="2"/>
      </rPr>
      <t xml:space="preserve">
</t>
    </r>
    <r>
      <rPr>
        <sz val="10"/>
        <color rgb="FFFF0000"/>
        <rFont val="Arial"/>
        <family val="2"/>
      </rPr>
      <t>DUE 1 July 2021</t>
    </r>
    <r>
      <rPr>
        <sz val="12"/>
        <color rgb="FFFF0000"/>
        <rFont val="Arial"/>
        <family val="2"/>
      </rPr>
      <t xml:space="preserve"> </t>
    </r>
    <r>
      <rPr>
        <b/>
        <sz val="12"/>
        <color rgb="FFFF0000"/>
        <rFont val="Arial"/>
        <family val="2"/>
      </rPr>
      <t xml:space="preserve">
</t>
    </r>
    <r>
      <rPr>
        <sz val="10"/>
        <color rgb="FFFF0000"/>
        <rFont val="Arial"/>
        <family val="2"/>
      </rPr>
      <t xml:space="preserve">but prior to any sale of property </t>
    </r>
  </si>
  <si>
    <t>D000285876</t>
  </si>
  <si>
    <t>D000285874</t>
  </si>
  <si>
    <t>2 Risley Ct</t>
  </si>
  <si>
    <t>JULY 2021
Total =</t>
  </si>
  <si>
    <t>Planning Reg 2021-2022</t>
  </si>
  <si>
    <r>
      <t xml:space="preserve">Planning Reg </t>
    </r>
    <r>
      <rPr>
        <b/>
        <sz val="10"/>
        <rFont val="Arial"/>
        <family val="2"/>
      </rPr>
      <t>2021-2022</t>
    </r>
  </si>
  <si>
    <r>
      <t xml:space="preserve">PART Paid
</t>
    </r>
    <r>
      <rPr>
        <sz val="10"/>
        <color rgb="FFFF0000"/>
        <rFont val="Arial"/>
        <family val="2"/>
      </rPr>
      <t>Missing indexation</t>
    </r>
  </si>
  <si>
    <t>D000286182</t>
  </si>
  <si>
    <t>D000286368</t>
  </si>
  <si>
    <t>D000286384</t>
  </si>
  <si>
    <r>
      <t xml:space="preserve">Part Paid $17,001.00 without indexation 5/07/2021
</t>
    </r>
    <r>
      <rPr>
        <b/>
        <sz val="10"/>
        <color rgb="FF0000FF"/>
        <rFont val="Arial"/>
        <family val="2"/>
      </rPr>
      <t>BALANCE PAID</t>
    </r>
  </si>
  <si>
    <t>D286389</t>
  </si>
  <si>
    <t>D000286521</t>
  </si>
  <si>
    <r>
      <rPr>
        <b/>
        <sz val="10"/>
        <color rgb="FF0000FF"/>
        <rFont val="Arial"/>
        <family val="2"/>
      </rPr>
      <t xml:space="preserve">N </t>
    </r>
    <r>
      <rPr>
        <b/>
        <sz val="10"/>
        <rFont val="Arial"/>
        <family val="2"/>
      </rPr>
      <t xml:space="preserve">1437
</t>
    </r>
    <r>
      <rPr>
        <sz val="10"/>
        <color rgb="FFFF0000"/>
        <rFont val="Arial"/>
        <family val="2"/>
      </rPr>
      <t xml:space="preserve">Final Inspection Certificate 18/03/2020
DUE 1 JULY 2021
Not paid - Transferred to Rates 8/07/2021 </t>
    </r>
  </si>
  <si>
    <t>Planning Reg 2020-2021
+ Compound interest from 18/03/2020</t>
  </si>
  <si>
    <t>TRANSFERRED TO RATES with Compound</t>
  </si>
  <si>
    <t>CPI Dec 2019
(Amended COVID-19)
+ Compound interest from 27/11/2018</t>
  </si>
  <si>
    <r>
      <rPr>
        <b/>
        <sz val="10"/>
        <color rgb="FF0000FF"/>
        <rFont val="Arial"/>
        <family val="2"/>
      </rPr>
      <t xml:space="preserve">N </t>
    </r>
    <r>
      <rPr>
        <b/>
        <sz val="10"/>
        <rFont val="Arial"/>
        <family val="2"/>
      </rPr>
      <t xml:space="preserve">1328
</t>
    </r>
    <r>
      <rPr>
        <b/>
        <sz val="10"/>
        <color rgb="FF0000FF"/>
        <rFont val="Arial"/>
        <family val="2"/>
      </rPr>
      <t>IA#77</t>
    </r>
    <r>
      <rPr>
        <b/>
        <sz val="10"/>
        <color rgb="FFFF0000"/>
        <rFont val="Arial"/>
        <family val="2"/>
      </rPr>
      <t xml:space="preserve">
</t>
    </r>
    <r>
      <rPr>
        <sz val="10"/>
        <color rgb="FFFF0000"/>
        <rFont val="Arial"/>
        <family val="2"/>
      </rPr>
      <t xml:space="preserve">STAGED Pmts 4 &amp; 5
DUE 15 JUNE 2021
Not paid &amp; IA Breached - Transferred to Rates 8/07/2021 </t>
    </r>
  </si>
  <si>
    <r>
      <rPr>
        <b/>
        <sz val="10"/>
        <color rgb="FF0000FF"/>
        <rFont val="Arial"/>
        <family val="2"/>
      </rPr>
      <t xml:space="preserve">N </t>
    </r>
    <r>
      <rPr>
        <b/>
        <sz val="10"/>
        <rFont val="Arial"/>
        <family val="2"/>
      </rPr>
      <t xml:space="preserve">1195
</t>
    </r>
    <r>
      <rPr>
        <sz val="10"/>
        <color rgb="FF0000FF"/>
        <rFont val="Arial"/>
        <family val="2"/>
      </rPr>
      <t>IA 84</t>
    </r>
    <r>
      <rPr>
        <sz val="10"/>
        <color rgb="FFFF0000"/>
        <rFont val="Arial"/>
        <family val="2"/>
      </rPr>
      <t xml:space="preserve">
STAGED Pmts 3 &amp; 4
DUE 15 JUNE 2021
Not paid &amp; IA Breached - Transferred to Rates 8/07/2021 </t>
    </r>
  </si>
  <si>
    <t>CPI Dec 2019
(Amended COVID-19)
+ Compound interest from 10/05/2019</t>
  </si>
  <si>
    <r>
      <t xml:space="preserve">Final Inspection Cert issued 27/11/2018
STAGED PAYMENT AGREEMENTS DATED 12/03/2019
</t>
    </r>
    <r>
      <rPr>
        <sz val="10"/>
        <color rgb="FFFF0000"/>
        <rFont val="Arial"/>
        <family val="2"/>
      </rPr>
      <t>Stg Pmt 3 Underpaid $17 added to Stg 4
(Amended due to COVID-19 Business Support Initiative dated 26 March 2020)</t>
    </r>
  </si>
  <si>
    <t>charges journal 
# 1737100 and 
GL journal 
# 1737101</t>
  </si>
  <si>
    <r>
      <rPr>
        <strike/>
        <sz val="10"/>
        <color rgb="FFFF0000"/>
        <rFont val="Arial"/>
        <family val="2"/>
      </rPr>
      <t>CPI Dec 2018</t>
    </r>
    <r>
      <rPr>
        <sz val="10"/>
        <color rgb="FFFF0000"/>
        <rFont val="Arial"/>
        <family val="2"/>
      </rPr>
      <t xml:space="preserve">
CPI June 2021
</t>
    </r>
  </si>
  <si>
    <t>XXXX</t>
  </si>
  <si>
    <r>
      <t xml:space="preserve">5/05/2021
</t>
    </r>
    <r>
      <rPr>
        <sz val="10"/>
        <color rgb="FF0000FF"/>
        <rFont val="Arial"/>
        <family val="2"/>
      </rPr>
      <t>Will not lapse due to completion of stage 1</t>
    </r>
  </si>
  <si>
    <r>
      <t xml:space="preserve">15/06/2021
</t>
    </r>
    <r>
      <rPr>
        <sz val="10"/>
        <color rgb="FF0000FF"/>
        <rFont val="Arial"/>
        <family val="2"/>
      </rPr>
      <t>Will not lapse due to completion of stage 1</t>
    </r>
  </si>
  <si>
    <t>Remittance Payment No.  063625</t>
  </si>
  <si>
    <r>
      <rPr>
        <sz val="10"/>
        <color rgb="FF0000FF"/>
        <rFont val="Arial"/>
        <family val="2"/>
      </rPr>
      <t>IC issued = $5,484.00</t>
    </r>
    <r>
      <rPr>
        <sz val="10"/>
        <color rgb="FFFF0000"/>
        <rFont val="Arial"/>
        <family val="2"/>
      </rPr>
      <t xml:space="preserve">
IA#116 Delayed Staged Payment In accordance with Council’s COVID-19 Business Support Initiatives dated 26 March 2020</t>
    </r>
  </si>
  <si>
    <r>
      <rPr>
        <b/>
        <sz val="10"/>
        <color rgb="FF0000FF"/>
        <rFont val="Arial"/>
        <family val="2"/>
      </rPr>
      <t xml:space="preserve">N </t>
    </r>
    <r>
      <rPr>
        <b/>
        <sz val="10"/>
        <rFont val="Arial"/>
        <family val="2"/>
      </rPr>
      <t xml:space="preserve">1598
</t>
    </r>
    <r>
      <rPr>
        <sz val="10"/>
        <color rgb="FFFF0000"/>
        <rFont val="Arial"/>
        <family val="2"/>
      </rPr>
      <t>PC21/0179 CoC 4/05/2021
MC 12/07/2021 Use Commenced
DUE 6 AUGUST 2021</t>
    </r>
  </si>
  <si>
    <t>D000287454</t>
  </si>
  <si>
    <t>Building Work
Earthcert Building Approvals - Decision Notice: 210129.01</t>
  </si>
  <si>
    <t>JM Designs &amp; Constructions Pty Ltd</t>
  </si>
  <si>
    <t>24 Bottlebrush Place
EUMUNDI QLD 4562</t>
  </si>
  <si>
    <t>Lot 12 SP 2315578</t>
  </si>
  <si>
    <t>10 Robin Place
LAKE MACDONALD QLD 4563</t>
  </si>
  <si>
    <t>Building Work
Pure Building Approvals - Decision Notice: 20219571</t>
  </si>
  <si>
    <t>19//07/2023</t>
  </si>
  <si>
    <t>Randall Hunt</t>
  </si>
  <si>
    <t>18 Ray Street
SUNSHINE BEACH QLD 4567</t>
  </si>
  <si>
    <t>Lot 241 RP 160521</t>
  </si>
  <si>
    <t>D000287807</t>
  </si>
  <si>
    <r>
      <rPr>
        <b/>
        <sz val="10"/>
        <color rgb="FF0000FF"/>
        <rFont val="Arial"/>
        <family val="2"/>
      </rPr>
      <t xml:space="preserve">N </t>
    </r>
    <r>
      <rPr>
        <b/>
        <sz val="10"/>
        <rFont val="Arial"/>
        <family val="2"/>
      </rPr>
      <t xml:space="preserve">1396
</t>
    </r>
    <r>
      <rPr>
        <i/>
        <sz val="10"/>
        <color rgb="FFFF0000"/>
        <rFont val="Arial"/>
        <family val="2"/>
      </rPr>
      <t>(PC19/0139 Issued)
MC use commenced 24/06/2021 OPW19/0150 On Maint 6/7/2021
DUE 30 JULY 2021</t>
    </r>
  </si>
  <si>
    <t xml:space="preserve">Building Work
</t>
  </si>
  <si>
    <t>GJL Willard</t>
  </si>
  <si>
    <t>C/- Murray Bell Planning Co.
L54, 111 Eagle Street
BRISBANE QLD 4000</t>
  </si>
  <si>
    <t>1 Upland Ct 
TINBEERWAH QLD 4563</t>
  </si>
  <si>
    <t xml:space="preserve">Lot 15 SP 148807 </t>
  </si>
  <si>
    <t>Detached House = 1 Dwelling House +  
1 x Secondary Dwelling</t>
  </si>
  <si>
    <t>DBW21/0085
Approved: 12/07/2021
Issued: 16/07/2021</t>
  </si>
  <si>
    <t>D000288332</t>
  </si>
  <si>
    <t>T Gordon &amp; A Davidson</t>
  </si>
  <si>
    <t>76 Kauri Street
COOROY QLD 4563</t>
  </si>
  <si>
    <t>Lot 13 SP 173328</t>
  </si>
  <si>
    <r>
      <t xml:space="preserve">IC issued = $6,437.00
</t>
    </r>
    <r>
      <rPr>
        <sz val="10"/>
        <color rgb="FFFF0000"/>
        <rFont val="Arial"/>
        <family val="2"/>
      </rPr>
      <t>IA#119 Delayed Staged Payment In accordance with Council’s COVID-19 Business Support Initiatives dated 26 March 2020
Stage Payment 1 DUE 6 AUG 2021 = $1609.00
Stage Payment 2 DUE 15 DEC 2021 = $1609.00
Stage Payment 3 DUE 15 JUNE 2022 = $3,219.00</t>
    </r>
  </si>
  <si>
    <t>Paid $1,800.00
Stg Pmt 1 &amp; part Pmt 2</t>
  </si>
  <si>
    <t>D000289059</t>
  </si>
  <si>
    <t>The exact same plans were lodged under PC11/5208 but Lapsed on 5/01/2015.  The build still went ahead - this is a retrospective application.</t>
  </si>
  <si>
    <t>D000290151</t>
  </si>
  <si>
    <r>
      <rPr>
        <b/>
        <sz val="10"/>
        <color rgb="FF0000FF"/>
        <rFont val="Arial"/>
        <family val="2"/>
      </rPr>
      <t xml:space="preserve">N </t>
    </r>
    <r>
      <rPr>
        <b/>
        <sz val="10"/>
        <rFont val="Arial"/>
        <family val="2"/>
      </rPr>
      <t xml:space="preserve">1353
</t>
    </r>
    <r>
      <rPr>
        <b/>
        <sz val="10"/>
        <color rgb="FF0000FF"/>
        <rFont val="Arial"/>
        <family val="2"/>
      </rPr>
      <t>Amended</t>
    </r>
    <r>
      <rPr>
        <b/>
        <sz val="10"/>
        <rFont val="Arial"/>
        <family val="2"/>
      </rPr>
      <t xml:space="preserve">
</t>
    </r>
    <r>
      <rPr>
        <sz val="10"/>
        <color rgb="FFFF0000"/>
        <rFont val="Arial"/>
        <family val="2"/>
      </rPr>
      <t>Final BA Inspection Certificates 27/11/2020 to 1/03/2021
DUE 23 JULY 2021</t>
    </r>
  </si>
  <si>
    <t>D000290154</t>
  </si>
  <si>
    <r>
      <t xml:space="preserve">IA Bridge Upgrading Contribution
</t>
    </r>
    <r>
      <rPr>
        <sz val="10"/>
        <color rgb="FFFF0000"/>
        <rFont val="Arial"/>
        <family val="2"/>
      </rPr>
      <t>Letter sent 28/07/2021 on lodgement of plan seal application</t>
    </r>
  </si>
  <si>
    <t>CPI Mar 2021 for 2021-2022 financial year
+
$500 for signage re Condition 14</t>
  </si>
  <si>
    <t>D000292949</t>
  </si>
  <si>
    <t>JULY 2021 Total =</t>
  </si>
  <si>
    <r>
      <t xml:space="preserve">PAID 
</t>
    </r>
    <r>
      <rPr>
        <sz val="8"/>
        <color rgb="FF0000FF"/>
        <rFont val="Arial"/>
        <family val="2"/>
      </rPr>
      <t>by crediti card</t>
    </r>
  </si>
  <si>
    <r>
      <t xml:space="preserve">ePay Reference 
</t>
    </r>
    <r>
      <rPr>
        <b/>
        <sz val="8"/>
        <color rgb="FF0000FF"/>
        <rFont val="Arial"/>
        <family val="2"/>
      </rPr>
      <t>D000293314</t>
    </r>
  </si>
  <si>
    <t>Online Credit Card Pmt Inv 12004
Rec D000293117</t>
  </si>
  <si>
    <t>DBW21/0091
Approved: 26/07/2021
Issued: 2/08/2021</t>
  </si>
  <si>
    <t>CG Lawson, JL Lawson</t>
  </si>
  <si>
    <t>311 Cooroy Belli Creek Rd
COOROY QLD 4563</t>
  </si>
  <si>
    <t>Lot 14 RP 883230</t>
  </si>
  <si>
    <t>Dwelling House + Secondary dwelling</t>
  </si>
  <si>
    <t>D000296046</t>
  </si>
  <si>
    <t>473 McKinnonDrive
COOROIBAH QLD 45</t>
  </si>
  <si>
    <t xml:space="preserve">Building Work
Earthcert Building Approvals - Decision Notice: 200337
</t>
  </si>
  <si>
    <t xml:space="preserve">Luna Constructions Pty Ltd
</t>
  </si>
  <si>
    <t>21 Edward Street
COORAN QLD 4569</t>
  </si>
  <si>
    <t>Lot 1 SP 199340</t>
  </si>
  <si>
    <t>1 x Residential Dwelling house + 1 x Type 2 Community Housing - 2 bedroom dwelling</t>
  </si>
  <si>
    <t>1 x Residential Dwelling house</t>
  </si>
  <si>
    <t xml:space="preserve">Building Work
GMA Certification Group - Decision Notice: 20213135
</t>
  </si>
  <si>
    <r>
      <rPr>
        <b/>
        <sz val="10"/>
        <color rgb="FF0000FF"/>
        <rFont val="Arial"/>
        <family val="2"/>
      </rPr>
      <t xml:space="preserve">N </t>
    </r>
    <r>
      <rPr>
        <b/>
        <sz val="10"/>
        <rFont val="Arial"/>
        <family val="2"/>
      </rPr>
      <t xml:space="preserve">1639
</t>
    </r>
    <r>
      <rPr>
        <i/>
        <sz val="10"/>
        <color rgb="FF0000FF"/>
        <rFont val="Arial"/>
        <family val="2"/>
      </rPr>
      <t>PC21/0949</t>
    </r>
  </si>
  <si>
    <t>ICN Total = $5,567.00 @ Planning Reg 2021-2022   
Delayed Staged Payments approved 10/08/2021 with 5% fee = $279.00</t>
  </si>
  <si>
    <t>Building Work
Suncoast Building Approvals - Decision Notice: 00012066</t>
  </si>
  <si>
    <t>McIntosh Building Pty Ltd</t>
  </si>
  <si>
    <t>24 Sunrise Avenue
TEWANTIN QLD 4565</t>
  </si>
  <si>
    <t>Building Work
Urban Certifiers - Decision Notice: 9273</t>
  </si>
  <si>
    <t>Dayne Lawrie Constructions Pty Ltd</t>
  </si>
  <si>
    <t>PO Box 568
COOLUM BEACH QLD 4573</t>
  </si>
  <si>
    <t>Lot 54 RP 127116</t>
  </si>
  <si>
    <t>Lot 3941 SP 160795</t>
  </si>
  <si>
    <t>2 Currawong Crescent
PEREGIAN BEACH QLD 4573</t>
  </si>
  <si>
    <t>Existing 1 x Vacant Lot</t>
  </si>
  <si>
    <t>Building Work
Project B.A. - Decision Notice: 20201838</t>
  </si>
  <si>
    <t>Whydee Constructions</t>
  </si>
  <si>
    <t>23 Satinay Drive
TEWANTIN QLD 4565</t>
  </si>
  <si>
    <t>Lot 148 RP 897883</t>
  </si>
  <si>
    <t>53 Golf Course Drive
TEWANTIN QLD 4565</t>
  </si>
  <si>
    <r>
      <rPr>
        <b/>
        <sz val="10"/>
        <color rgb="FF0000FF"/>
        <rFont val="Arial"/>
        <family val="2"/>
      </rPr>
      <t xml:space="preserve">N </t>
    </r>
    <r>
      <rPr>
        <b/>
        <sz val="10"/>
        <rFont val="Arial"/>
        <family val="2"/>
      </rPr>
      <t xml:space="preserve">1626
</t>
    </r>
    <r>
      <rPr>
        <b/>
        <sz val="10"/>
        <color rgb="FFFF0000"/>
        <rFont val="Arial"/>
        <family val="2"/>
      </rPr>
      <t xml:space="preserve">CANCELLED 7/07/2021 </t>
    </r>
    <r>
      <rPr>
        <sz val="10"/>
        <color rgb="FFFF0000"/>
        <rFont val="Arial"/>
        <family val="2"/>
      </rPr>
      <t xml:space="preserve">on issue of MCU Negotiated Decision </t>
    </r>
    <r>
      <rPr>
        <b/>
        <sz val="10"/>
        <color rgb="FFFF0000"/>
        <rFont val="Arial"/>
        <family val="2"/>
      </rPr>
      <t xml:space="preserve"> </t>
    </r>
    <r>
      <rPr>
        <b/>
        <sz val="10"/>
        <rFont val="Arial"/>
        <family val="2"/>
      </rPr>
      <t xml:space="preserve"> 
</t>
    </r>
    <r>
      <rPr>
        <sz val="10"/>
        <color rgb="FF0000FF"/>
        <rFont val="Arial"/>
        <family val="2"/>
      </rPr>
      <t>PC21/0996 issued with laundry but excluding other lower ground areas.</t>
    </r>
  </si>
  <si>
    <t xml:space="preserve">Paid Staged Payment 1 </t>
  </si>
  <si>
    <t>D000306277</t>
  </si>
  <si>
    <t>Building Work
Building Approvals United QLD - Decision Notice: 20212479</t>
  </si>
  <si>
    <t>Jeff Glen</t>
  </si>
  <si>
    <t>PC21/0998
Approved: 3/08/2021
Received &amp; Registered by NSC: 12/08/2021</t>
  </si>
  <si>
    <t>PC21/0956
Approved: 26/07/2021
Received &amp; Registered by NSC : 5/08/2020</t>
  </si>
  <si>
    <t>PC21/0518
Approved: 29/07/2021
Received &amp; Registered by NSC : 12/08/2021</t>
  </si>
  <si>
    <t>PC21/0757
Approved: 4/08/2021
Received &amp; Registered by NSC : 12/08/2021</t>
  </si>
  <si>
    <t>PC21/0619
Approved: 6/07/2021
Received &amp; Registered by NSC : 20/07/2021</t>
  </si>
  <si>
    <t>PC21/0698
Approved: 1/07/2021
Received &amp; Registered by NSC : 15/07/2021</t>
  </si>
  <si>
    <t>PC21/0491
Approved: 1/06/2021
Received &amp; Registered by NSC : 9/06/2022</t>
  </si>
  <si>
    <t>PC21/0159
Approved: 11/05/2021
Received &amp; Registered by NSC : 19/05/2021</t>
  </si>
  <si>
    <t>PC21/0289
Approved: 29/04/2021
Received &amp; Registered by NSC : 11/05/2021</t>
  </si>
  <si>
    <t>PC21/0348
Approved: 2/08/2021
Received &amp; Registered by NSC: 9/08/2021</t>
  </si>
  <si>
    <t>30 Goodchap St 
TEWANTIN QLD 4565</t>
  </si>
  <si>
    <t>3 Coral Fern Dr 
COOROIBAH QLD 4565</t>
  </si>
  <si>
    <t>Lot 2 RP 129288</t>
  </si>
  <si>
    <t xml:space="preserve">Barwood Construction Services
</t>
  </si>
  <si>
    <t>Lot 9 SP 103496</t>
  </si>
  <si>
    <t>Building Work
 North Shore Building Approvals Pty Ltd - Job Number:  21-115</t>
  </si>
  <si>
    <t>PC21/0765
Approved: 10/08/2021
Received &amp; Registered by NSC: 12/08/2021</t>
  </si>
  <si>
    <t>n/a completed</t>
  </si>
  <si>
    <t>Cooroy RSL
c/- JFH Murray &amp; Assoc</t>
  </si>
  <si>
    <t>PO Box 246 
Nambour QLD 4560</t>
  </si>
  <si>
    <t>Part Lot 1 C 560038
Lot 228 MCH 4113
Part Lot 1 C 56038
(Now current Lot 11 SP 288942)</t>
  </si>
  <si>
    <t>23-29 Maple St 
COOROY QLD 4563</t>
  </si>
  <si>
    <t xml:space="preserve">MCU 
</t>
  </si>
  <si>
    <t>Rezoning to Special Facilities (RSL Club In accordance with Plan of Development) Zone</t>
  </si>
  <si>
    <r>
      <t>Condition 3 = $42,000 for 21 carparking spaces in Lieu</t>
    </r>
    <r>
      <rPr>
        <sz val="7"/>
        <color rgb="FFFF0000"/>
        <rFont val="Arial"/>
        <family val="2"/>
      </rPr>
      <t xml:space="preserve">
at 1993 no indexation  Remaining amount held via bank guarantee</t>
    </r>
  </si>
  <si>
    <r>
      <t xml:space="preserve">25 Kauri Street COOROY QLD 4563
</t>
    </r>
    <r>
      <rPr>
        <sz val="10"/>
        <color rgb="FFFF0000"/>
        <rFont val="Arial"/>
        <family val="2"/>
      </rPr>
      <t>(Now 2A Olivine St)</t>
    </r>
  </si>
  <si>
    <r>
      <t xml:space="preserve">Lot 27 C 56016
</t>
    </r>
    <r>
      <rPr>
        <sz val="10"/>
        <color rgb="FFFF0000"/>
        <rFont val="Arial"/>
        <family val="2"/>
      </rPr>
      <t>(now Lot 100 SP 316901)</t>
    </r>
  </si>
  <si>
    <r>
      <t xml:space="preserve">MCU17/0025
</t>
    </r>
    <r>
      <rPr>
        <sz val="10"/>
        <color rgb="FF0000FF"/>
        <rFont val="Arial"/>
        <family val="2"/>
      </rPr>
      <t>MCU17/0025.01 ext</t>
    </r>
  </si>
  <si>
    <r>
      <rPr>
        <strike/>
        <sz val="10"/>
        <rFont val="Arial"/>
        <family val="2"/>
      </rPr>
      <t>22/09/2021</t>
    </r>
    <r>
      <rPr>
        <sz val="10"/>
        <rFont val="Arial"/>
        <family val="2"/>
      </rPr>
      <t xml:space="preserve">
</t>
    </r>
    <r>
      <rPr>
        <sz val="10"/>
        <color rgb="FF0000FF"/>
        <rFont val="Arial"/>
        <family val="2"/>
      </rPr>
      <t>21/12/2022</t>
    </r>
  </si>
  <si>
    <t>D000316081</t>
  </si>
  <si>
    <t>PC21/0502
Approved: 16/08/2021
Received &amp; Registered by NSC 18/08/2021</t>
  </si>
  <si>
    <t>PC21/0869
Approved:06/08/2021
Received &amp; Registered by NSC 19/08/2022</t>
  </si>
  <si>
    <t>Building Work
Pacific BCQ - Decision Notice: 20210203</t>
  </si>
  <si>
    <t>Building Work
Earthcert Building Approvals - Decision Notice: 210301</t>
  </si>
  <si>
    <t>GE &amp; MC Terry</t>
  </si>
  <si>
    <t>C/- Jason Barton
175 Wilson Road
ILKLEY QLD 4554</t>
  </si>
  <si>
    <t>25 Green Gate Road
COOROIBAH QLD 4565</t>
  </si>
  <si>
    <t>Lot 6 RP 848522</t>
  </si>
  <si>
    <t>Bradley Voigt</t>
  </si>
  <si>
    <t>31 Overlander Avenue
COOROY QLD 4563</t>
  </si>
  <si>
    <t>Lot 48 RP 179733</t>
  </si>
  <si>
    <t>MCU20/0072
Approved: 19/08/2021
Issued: 23/08/2021</t>
  </si>
  <si>
    <t>TTF P/L ATF The Tony Fitzgerald Family Trust</t>
  </si>
  <si>
    <t>C/- NB Urban Places Town Planning
20 Driftwood Dr
CASTAWAYS BEACH QLD 4567</t>
  </si>
  <si>
    <t>Lots 0 &amp; 1 on SP 100808</t>
  </si>
  <si>
    <t>0 &amp; 1 / 10 Thomas St NOOSAVILLE QLD 4566</t>
  </si>
  <si>
    <t xml:space="preserve">Shop &amp; Food &amp; Drink Outlet café/restaurant = 67 m2 gfa 
No change to impervious area </t>
  </si>
  <si>
    <t xml:space="preserve">Shop = 43 m2 gfa </t>
  </si>
  <si>
    <t xml:space="preserve">Education Establishement = Additional demountable buildings = 290 m2 gfa
No change to impervious area </t>
  </si>
  <si>
    <r>
      <rPr>
        <b/>
        <sz val="10"/>
        <color rgb="FF0000FF"/>
        <rFont val="Arial"/>
        <family val="2"/>
      </rPr>
      <t xml:space="preserve">N </t>
    </r>
    <r>
      <rPr>
        <b/>
        <sz val="10"/>
        <rFont val="Arial"/>
        <family val="2"/>
      </rPr>
      <t xml:space="preserve">1654
</t>
    </r>
    <r>
      <rPr>
        <sz val="10"/>
        <rFont val="Arial"/>
        <family val="2"/>
      </rPr>
      <t>(IA#121 applicable for delayed internal works)</t>
    </r>
  </si>
  <si>
    <r>
      <t xml:space="preserve">MCU18/0102
</t>
    </r>
    <r>
      <rPr>
        <sz val="10"/>
        <color rgb="FFFF0000"/>
        <rFont val="Arial"/>
        <family val="2"/>
      </rPr>
      <t>(PC19/0235 issued)</t>
    </r>
  </si>
  <si>
    <t>Visitor accommodation Type 4 Conventional 
122 beds: 6 x 2 bed suites and 19 bedrooms
+
Non-Res component = Office Reception, Store &amp; Travel desk etc =  116m2 gfa &amp; impervious area</t>
  </si>
  <si>
    <t xml:space="preserve">Non-conforming use approved for a Depot
Building footprint  = 491m2 gfa
Impervious area = building 491m2 + additional hardstand 375m2 = 866m2 existing impervious   </t>
  </si>
  <si>
    <t>NSC CR (No.6)</t>
  </si>
  <si>
    <t>132004.5633.03
Approved: 27/07/2021
Issued: 3/08/2021</t>
  </si>
  <si>
    <t xml:space="preserve">Education Establishment = 4,751 m2 gfa &amp; Impervious area
</t>
  </si>
  <si>
    <t xml:space="preserve">Education Establishment = 2,884 m2 gfa &amp; Impervious area
</t>
  </si>
  <si>
    <t>MCU21/0031
Approved: 16/07/2021
Issued: 26/08/2021</t>
  </si>
  <si>
    <t xml:space="preserve">PB Sivyer </t>
  </si>
  <si>
    <t>Lot 7 RP 838780</t>
  </si>
  <si>
    <t>497 Black Mountain Road
LACK MOUNTAIN QLD 4563</t>
  </si>
  <si>
    <t>OPW19/0266</t>
  </si>
  <si>
    <t>Op Works</t>
  </si>
  <si>
    <t>Pensar</t>
  </si>
  <si>
    <t>C/- Morgan Consulting Engineers Pty Ltd
1 Great George St
PADDINGTON QLD 4064</t>
  </si>
  <si>
    <t>215 David Low Way Peregian Beach Qld 4573</t>
  </si>
  <si>
    <t>Earthworks, Landscaping, Stormwater</t>
  </si>
  <si>
    <t>AGREED DELIVERY ARRANGEMENT - Environmental Offset - Financial Settlement Offset 
re: 18 non-juvenile koala habitat trees</t>
  </si>
  <si>
    <t>Environmental Offset - Financial Settlement Offset 
re: 18 non-juvenile koala habitat trees</t>
  </si>
  <si>
    <t>MCU20/0009.02 (Minor Change
Approved: 20/08/2021
Issued: 26/08/2021</t>
  </si>
  <si>
    <t>173 Eumundi Noosa Rd &amp; 3 Leo Alley Rd,
NOOSAVILLE QLD 4566</t>
  </si>
  <si>
    <t>N/A - additional to previous approval</t>
  </si>
  <si>
    <r>
      <rPr>
        <b/>
        <sz val="10"/>
        <color rgb="FF0000FF"/>
        <rFont val="Arial"/>
        <family val="2"/>
      </rPr>
      <t xml:space="preserve">N </t>
    </r>
    <r>
      <rPr>
        <b/>
        <sz val="10"/>
        <rFont val="Arial"/>
        <family val="2"/>
      </rPr>
      <t xml:space="preserve">1552
</t>
    </r>
    <r>
      <rPr>
        <b/>
        <sz val="10"/>
        <color rgb="FF0000FF"/>
        <rFont val="Arial"/>
        <family val="2"/>
      </rPr>
      <t>Negotiated</t>
    </r>
    <r>
      <rPr>
        <b/>
        <sz val="10"/>
        <rFont val="Arial"/>
        <family val="2"/>
      </rPr>
      <t xml:space="preserve">
</t>
    </r>
    <r>
      <rPr>
        <b/>
        <sz val="10"/>
        <color rgb="FF0000FF"/>
        <rFont val="Arial"/>
        <family val="2"/>
      </rPr>
      <t>STAGE 2</t>
    </r>
    <r>
      <rPr>
        <b/>
        <sz val="10"/>
        <rFont val="Arial"/>
        <family val="2"/>
      </rPr>
      <t xml:space="preserve">
</t>
    </r>
    <r>
      <rPr>
        <b/>
        <sz val="10"/>
        <color rgb="FFFF0000"/>
        <rFont val="Arial"/>
        <family val="2"/>
      </rPr>
      <t>+
N1658 Stage 2</t>
    </r>
  </si>
  <si>
    <r>
      <t xml:space="preserve">Stage 2 =
868m2 gfa = 19.0% of total + 
1 Ancillary Dwelling
</t>
    </r>
    <r>
      <rPr>
        <sz val="8"/>
        <color rgb="FFFF0000"/>
        <rFont val="Arial"/>
        <family val="2"/>
      </rPr>
      <t>Negotiated due to the charge originally apportioned to Stage 1 (as existing) agreed to be reallocated to next Stage 2 as negotiated via telephone with Mr William Sharpe.</t>
    </r>
  </si>
  <si>
    <r>
      <rPr>
        <b/>
        <sz val="10"/>
        <color rgb="FF0000FF"/>
        <rFont val="Arial"/>
        <family val="2"/>
      </rPr>
      <t xml:space="preserve">N </t>
    </r>
    <r>
      <rPr>
        <b/>
        <sz val="10"/>
        <rFont val="Arial"/>
        <family val="2"/>
      </rPr>
      <t xml:space="preserve">1658
STAGE 2
</t>
    </r>
    <r>
      <rPr>
        <b/>
        <sz val="10"/>
        <color rgb="FFFF0000"/>
        <rFont val="Arial"/>
        <family val="2"/>
      </rPr>
      <t>+
N1552 STAGE 2</t>
    </r>
  </si>
  <si>
    <t xml:space="preserve">Stage 2 = 198.2 m2 = 35.46% </t>
  </si>
  <si>
    <t>Industrial Business Type 1 = 
additional 559 m2 gfa = $19,604.00
No change to impervious</t>
  </si>
  <si>
    <t xml:space="preserve">Stage 3 = 342.4 m2 = 61.25% </t>
  </si>
  <si>
    <t xml:space="preserve">Stage 4 = 18.4 m2 = 3.29% </t>
  </si>
  <si>
    <t>AUGUST 2021 Total =</t>
  </si>
  <si>
    <t>D000318555</t>
  </si>
  <si>
    <t>AUGUST 2021
Total =</t>
  </si>
  <si>
    <r>
      <rPr>
        <b/>
        <sz val="10"/>
        <color rgb="FF0000FF"/>
        <rFont val="Arial"/>
        <family val="2"/>
      </rPr>
      <t xml:space="preserve">N </t>
    </r>
    <r>
      <rPr>
        <b/>
        <sz val="10"/>
        <rFont val="Arial"/>
        <family val="2"/>
      </rPr>
      <t xml:space="preserve">1472 
</t>
    </r>
    <r>
      <rPr>
        <b/>
        <sz val="10"/>
        <color rgb="FF0000FF"/>
        <rFont val="Arial"/>
        <family val="2"/>
      </rPr>
      <t>Amended</t>
    </r>
  </si>
  <si>
    <t>D000318572</t>
  </si>
  <si>
    <r>
      <rPr>
        <b/>
        <sz val="10"/>
        <color rgb="FF0000FF"/>
        <rFont val="Arial"/>
        <family val="2"/>
      </rPr>
      <t xml:space="preserve">N </t>
    </r>
    <r>
      <rPr>
        <b/>
        <sz val="10"/>
        <rFont val="Arial"/>
        <family val="2"/>
      </rPr>
      <t>1647</t>
    </r>
    <r>
      <rPr>
        <sz val="10"/>
        <rFont val="Arial"/>
        <family val="2"/>
      </rPr>
      <t xml:space="preserve">
</t>
    </r>
    <r>
      <rPr>
        <sz val="10"/>
        <color rgb="FFFF0000"/>
        <rFont val="Arial"/>
        <family val="2"/>
      </rPr>
      <t>Bank transfer details requested 30/08/2021</t>
    </r>
  </si>
  <si>
    <t>D000319239</t>
  </si>
  <si>
    <t xml:space="preserve">31/08/2021
</t>
  </si>
  <si>
    <t>Building Work 
(Council Approved)</t>
  </si>
  <si>
    <t>GJ Gardner Homes Noosa</t>
  </si>
  <si>
    <t>Lot 15 RP 865256</t>
  </si>
  <si>
    <t>94 Maguires Lane
COORAN QLD 4569</t>
  </si>
  <si>
    <t>D000321779</t>
  </si>
  <si>
    <t>SEPTEMBER 2021
Total =</t>
  </si>
  <si>
    <t>DBW21/0136
Approved: 25/08/2021
Issued: 27/08/2021</t>
  </si>
  <si>
    <r>
      <rPr>
        <b/>
        <sz val="10"/>
        <color rgb="FF0000FF"/>
        <rFont val="Arial"/>
        <family val="2"/>
      </rPr>
      <t xml:space="preserve">N </t>
    </r>
    <r>
      <rPr>
        <b/>
        <sz val="10"/>
        <rFont val="Arial"/>
        <family val="2"/>
      </rPr>
      <t xml:space="preserve">1499
</t>
    </r>
    <r>
      <rPr>
        <sz val="10"/>
        <color rgb="FFFF0000"/>
        <rFont val="Arial"/>
        <family val="2"/>
      </rPr>
      <t>Final Inspection 23/07/2021
DUE 30 SEPT 2022</t>
    </r>
  </si>
  <si>
    <r>
      <rPr>
        <b/>
        <sz val="10"/>
        <color rgb="FF0000FF"/>
        <rFont val="Arial"/>
        <family val="2"/>
      </rPr>
      <t xml:space="preserve">N </t>
    </r>
    <r>
      <rPr>
        <b/>
        <sz val="10"/>
        <rFont val="Arial"/>
        <family val="2"/>
      </rPr>
      <t xml:space="preserve">1541
</t>
    </r>
    <r>
      <rPr>
        <i/>
        <sz val="10"/>
        <color rgb="FF0000FF"/>
        <rFont val="Arial"/>
        <family val="2"/>
      </rPr>
      <t xml:space="preserve">PC19/0980 issued
20/08/2021 MC advice </t>
    </r>
    <r>
      <rPr>
        <i/>
        <sz val="8"/>
        <color rgb="FF0000FF"/>
        <rFont val="Arial"/>
        <family val="2"/>
      </rPr>
      <t xml:space="preserve">use to commence
</t>
    </r>
    <r>
      <rPr>
        <sz val="10"/>
        <color rgb="FFFF0000"/>
        <rFont val="Arial"/>
        <family val="2"/>
      </rPr>
      <t>DUE 13 SEP 2021</t>
    </r>
  </si>
  <si>
    <t>MCU19/0081 (re: Court Judgement - P&amp;E Court Appeal No D176 of 2019)
Approved &amp; Issued: 16/07/2021
Received IC: 8/09/2021</t>
  </si>
  <si>
    <t>64 Gateway Drive Pty Ltd TTE</t>
  </si>
  <si>
    <t xml:space="preserve">4/18 Edgar Bennett Ave 
NOOSA HEADS  QLD  4567
</t>
  </si>
  <si>
    <t>64 Gateway Dr 
NOOSAVILLE QLD 4566</t>
  </si>
  <si>
    <t>Industry = 238 m2 gfa</t>
  </si>
  <si>
    <t>Industry = 1057 m2 gfa</t>
  </si>
  <si>
    <t>Changes to previous approval 132007.738.04 Use &amp; Quantities (Stage 2)</t>
  </si>
  <si>
    <t>Changes to previous approval 132007.738.04 Use &amp; Quantities (Stage 3)</t>
  </si>
  <si>
    <t>TURNER PROPERTY GROUP PTY LTD</t>
  </si>
  <si>
    <t>Noosaville Industrial Service Park Two 1/33 Gateway Drive,
NOOSAVILLE QLD 4566</t>
  </si>
  <si>
    <t>Lot 1 SP 170305</t>
  </si>
  <si>
    <t>Ancillary Dwelling Unit = 3 x 2 bed units
+ Indusrty = 50 m2 gfa Mezz
No Change to approved Impervious area</t>
  </si>
  <si>
    <t>Ancillary Dwelling Unit = 13 x 2 bed units
+ Indusrty = 225 m2 gfa Mezz
No Change to approved Impervious area</t>
  </si>
  <si>
    <t>14 Ross Cres 
SUNRISE BEACH  QLD  4567</t>
  </si>
  <si>
    <r>
      <t xml:space="preserve">IA 88
(STAGE 3)
</t>
    </r>
    <r>
      <rPr>
        <b/>
        <sz val="10"/>
        <color rgb="FF0000FF"/>
        <rFont val="Arial"/>
        <family val="2"/>
      </rPr>
      <t>+
N1660 (Stage 3)</t>
    </r>
  </si>
  <si>
    <r>
      <rPr>
        <b/>
        <sz val="10"/>
        <color rgb="FF0000FF"/>
        <rFont val="Arial"/>
        <family val="2"/>
      </rPr>
      <t xml:space="preserve">N </t>
    </r>
    <r>
      <rPr>
        <b/>
        <sz val="10"/>
        <rFont val="Arial"/>
        <family val="2"/>
      </rPr>
      <t xml:space="preserve">1660
(STAGE 3)
</t>
    </r>
    <r>
      <rPr>
        <b/>
        <sz val="10"/>
        <color rgb="FF0000FF"/>
        <rFont val="Arial"/>
        <family val="2"/>
      </rPr>
      <t>+ 
IA88 (Stage 3)</t>
    </r>
  </si>
  <si>
    <t>D000322632</t>
  </si>
  <si>
    <t>DBW21/0132
Approved: 6/09/2021
Issued: 8/09/2021</t>
  </si>
  <si>
    <t xml:space="preserve">43 Mountain View Rd 
Pinbarren Qld 4568 </t>
  </si>
  <si>
    <t xml:space="preserve">Lot 5 RP 809822 </t>
  </si>
  <si>
    <r>
      <rPr>
        <b/>
        <sz val="10"/>
        <color rgb="FF0000FF"/>
        <rFont val="Arial"/>
        <family val="2"/>
      </rPr>
      <t xml:space="preserve">N </t>
    </r>
    <r>
      <rPr>
        <b/>
        <sz val="10"/>
        <rFont val="Arial"/>
        <family val="2"/>
      </rPr>
      <t xml:space="preserve">1657
</t>
    </r>
  </si>
  <si>
    <t>Brown Rooster P/L TTE</t>
  </si>
  <si>
    <t xml:space="preserve">27 Grant St 
NOOSA HEADS QLD 4567 </t>
  </si>
  <si>
    <t>1 x Vacant Residential lot</t>
  </si>
  <si>
    <t>Dual occupancy = 2 x 3 bedroom units
(Media room equiv to bedroom)</t>
  </si>
  <si>
    <t xml:space="preserve"> D000323941</t>
  </si>
  <si>
    <t>Building Work
Earthcert Building Approvals - Decision Notice: 190329.02</t>
  </si>
  <si>
    <t>444 Coles Creek Road
COORAN QLD 4569</t>
  </si>
  <si>
    <t xml:space="preserve">Lot 6 SP 179879 </t>
  </si>
  <si>
    <t>56 Willawong Place
COORAN QLD 4569</t>
  </si>
  <si>
    <t>Lot 9 SP 119747</t>
  </si>
  <si>
    <t>D000323964</t>
  </si>
  <si>
    <t>PC21/0516
Approved: 31/08/2021
Received &amp; Registered by NSC: 09/09/2021</t>
  </si>
  <si>
    <r>
      <rPr>
        <b/>
        <sz val="10"/>
        <color rgb="FF0000FF"/>
        <rFont val="Arial"/>
        <family val="2"/>
      </rPr>
      <t xml:space="preserve">N </t>
    </r>
    <r>
      <rPr>
        <b/>
        <sz val="10"/>
        <rFont val="Arial"/>
        <family val="2"/>
      </rPr>
      <t xml:space="preserve">1348
</t>
    </r>
    <r>
      <rPr>
        <i/>
        <sz val="10"/>
        <color rgb="FF0000FF"/>
        <rFont val="Arial"/>
        <family val="2"/>
      </rPr>
      <t>(BAs issued 
PC19/0557 &amp; PC19/0558)</t>
    </r>
    <r>
      <rPr>
        <b/>
        <sz val="10"/>
        <color rgb="FF0000FF"/>
        <rFont val="Arial"/>
        <family val="2"/>
      </rPr>
      <t xml:space="preserve">
</t>
    </r>
    <r>
      <rPr>
        <sz val="10"/>
        <color rgb="FFFF0000"/>
        <rFont val="Arial"/>
        <family val="2"/>
      </rPr>
      <t>COC issued 8/06/2021
MC 16/082021 completed</t>
    </r>
  </si>
  <si>
    <r>
      <rPr>
        <b/>
        <sz val="10"/>
        <color rgb="FF0000FF"/>
        <rFont val="Arial"/>
        <family val="2"/>
      </rPr>
      <t xml:space="preserve">N </t>
    </r>
    <r>
      <rPr>
        <b/>
        <sz val="10"/>
        <rFont val="Arial"/>
        <family val="2"/>
      </rPr>
      <t xml:space="preserve">1348
</t>
    </r>
    <r>
      <rPr>
        <i/>
        <sz val="10"/>
        <color rgb="FF0000FF"/>
        <rFont val="Arial"/>
        <family val="2"/>
      </rPr>
      <t>(BAs issued 
PC19/0557 &amp; PC19/0558)</t>
    </r>
    <r>
      <rPr>
        <sz val="10"/>
        <color rgb="FF0000FF"/>
        <rFont val="Arial"/>
        <family val="2"/>
      </rPr>
      <t xml:space="preserve">
</t>
    </r>
    <r>
      <rPr>
        <sz val="10"/>
        <color rgb="FFFF0000"/>
        <rFont val="Arial"/>
        <family val="2"/>
      </rPr>
      <t>COC issued 8/06/2021
MC 16/082021 completed</t>
    </r>
  </si>
  <si>
    <r>
      <t>This Infrastructure Charges Notice replaces previous ICN-</t>
    </r>
    <r>
      <rPr>
        <b/>
        <sz val="10"/>
        <color rgb="FF0000FF"/>
        <rFont val="Arial"/>
        <family val="2"/>
      </rPr>
      <t>N1068</t>
    </r>
    <r>
      <rPr>
        <sz val="10"/>
        <color rgb="FF0000FF"/>
        <rFont val="Arial"/>
        <family val="2"/>
      </rPr>
      <t xml:space="preserve"> issued on </t>
    </r>
    <r>
      <rPr>
        <b/>
        <sz val="10"/>
        <color rgb="FF0000FF"/>
        <rFont val="Arial"/>
        <family val="2"/>
      </rPr>
      <t xml:space="preserve">MCU15/0047 </t>
    </r>
    <r>
      <rPr>
        <sz val="10"/>
        <color rgb="FF0000FF"/>
        <rFont val="Arial"/>
        <family val="2"/>
      </rPr>
      <t>at 30 The Cockleshell Noosaville.</t>
    </r>
  </si>
  <si>
    <t xml:space="preserve">Part Paid 14/09/2021 - $5,260.- 
32 The Cockleshell  </t>
  </si>
  <si>
    <r>
      <rPr>
        <b/>
        <sz val="10"/>
        <color rgb="FF0000FF"/>
        <rFont val="Arial"/>
        <family val="2"/>
      </rPr>
      <t xml:space="preserve">PAID Balance  </t>
    </r>
    <r>
      <rPr>
        <sz val="10"/>
        <color rgb="FF0000FF"/>
        <rFont val="Arial"/>
        <family val="2"/>
      </rPr>
      <t xml:space="preserve">
$18,406.00 re: 
</t>
    </r>
    <r>
      <rPr>
        <sz val="8"/>
        <color rgb="FF0000FF"/>
        <rFont val="Arial"/>
        <family val="2"/>
      </rPr>
      <t xml:space="preserve">30 The Cockleshell </t>
    </r>
  </si>
  <si>
    <r>
      <t xml:space="preserve">Part Paid 
</t>
    </r>
    <r>
      <rPr>
        <sz val="10"/>
        <color rgb="FF0000FF"/>
        <rFont val="Arial"/>
        <family val="2"/>
      </rPr>
      <t xml:space="preserve">$5,260.00 re:
</t>
    </r>
    <r>
      <rPr>
        <sz val="8"/>
        <color rgb="FF0000FF"/>
        <rFont val="Arial"/>
        <family val="2"/>
      </rPr>
      <t>32 The Cockleshell</t>
    </r>
  </si>
  <si>
    <r>
      <t xml:space="preserve">MCU18/0165
</t>
    </r>
    <r>
      <rPr>
        <b/>
        <sz val="10"/>
        <rFont val="Arial"/>
        <family val="2"/>
      </rPr>
      <t xml:space="preserve">Stage 2
</t>
    </r>
    <r>
      <rPr>
        <sz val="10"/>
        <color rgb="FFFF0000"/>
        <rFont val="Arial"/>
        <family val="2"/>
      </rPr>
      <t>PC21/1182 issued</t>
    </r>
  </si>
  <si>
    <r>
      <rPr>
        <b/>
        <sz val="10"/>
        <color rgb="FF0000FF"/>
        <rFont val="Arial"/>
        <family val="2"/>
      </rPr>
      <t xml:space="preserve">N </t>
    </r>
    <r>
      <rPr>
        <b/>
        <sz val="10"/>
        <rFont val="Arial"/>
        <family val="2"/>
      </rPr>
      <t xml:space="preserve">1580
</t>
    </r>
    <r>
      <rPr>
        <sz val="10"/>
        <color rgb="FFFF0000"/>
        <rFont val="Arial"/>
        <family val="2"/>
      </rPr>
      <t xml:space="preserve">Cancelled 1 July 2021 due to ICN.N1422 Stage 2 of MCU18/0165 applying to the balance of development on the property
</t>
    </r>
  </si>
  <si>
    <t>D000324706</t>
  </si>
  <si>
    <r>
      <rPr>
        <b/>
        <sz val="10"/>
        <color rgb="FF0000FF"/>
        <rFont val="Arial"/>
        <family val="2"/>
      </rPr>
      <t xml:space="preserve">N </t>
    </r>
    <r>
      <rPr>
        <b/>
        <sz val="10"/>
        <rFont val="Arial"/>
        <family val="2"/>
      </rPr>
      <t>1704</t>
    </r>
    <r>
      <rPr>
        <sz val="11"/>
        <color theme="1"/>
        <rFont val="Calibri"/>
        <family val="2"/>
        <scheme val="minor"/>
      </rPr>
      <t/>
    </r>
  </si>
  <si>
    <r>
      <rPr>
        <b/>
        <sz val="10"/>
        <color rgb="FF0000FF"/>
        <rFont val="Arial"/>
        <family val="2"/>
      </rPr>
      <t xml:space="preserve">N </t>
    </r>
    <r>
      <rPr>
        <b/>
        <sz val="10"/>
        <rFont val="Arial"/>
        <family val="2"/>
      </rPr>
      <t>1705</t>
    </r>
    <r>
      <rPr>
        <sz val="11"/>
        <color theme="1"/>
        <rFont val="Calibri"/>
        <family val="2"/>
        <scheme val="minor"/>
      </rPr>
      <t/>
    </r>
  </si>
  <si>
    <r>
      <rPr>
        <b/>
        <sz val="10"/>
        <color rgb="FF0000FF"/>
        <rFont val="Arial"/>
        <family val="2"/>
      </rPr>
      <t xml:space="preserve">N </t>
    </r>
    <r>
      <rPr>
        <b/>
        <sz val="10"/>
        <rFont val="Arial"/>
        <family val="2"/>
      </rPr>
      <t>1706</t>
    </r>
    <r>
      <rPr>
        <sz val="11"/>
        <color theme="1"/>
        <rFont val="Calibri"/>
        <family val="2"/>
        <scheme val="minor"/>
      </rPr>
      <t/>
    </r>
  </si>
  <si>
    <r>
      <rPr>
        <b/>
        <sz val="10"/>
        <color rgb="FF0000FF"/>
        <rFont val="Arial"/>
        <family val="2"/>
      </rPr>
      <t xml:space="preserve">N </t>
    </r>
    <r>
      <rPr>
        <b/>
        <sz val="10"/>
        <rFont val="Arial"/>
        <family val="2"/>
      </rPr>
      <t>1707</t>
    </r>
    <r>
      <rPr>
        <sz val="11"/>
        <color theme="1"/>
        <rFont val="Calibri"/>
        <family val="2"/>
        <scheme val="minor"/>
      </rPr>
      <t/>
    </r>
  </si>
  <si>
    <r>
      <rPr>
        <b/>
        <sz val="10"/>
        <color rgb="FF0000FF"/>
        <rFont val="Arial"/>
        <family val="2"/>
      </rPr>
      <t xml:space="preserve">N </t>
    </r>
    <r>
      <rPr>
        <b/>
        <sz val="10"/>
        <rFont val="Arial"/>
        <family val="2"/>
      </rPr>
      <t>1708</t>
    </r>
    <r>
      <rPr>
        <sz val="11"/>
        <color theme="1"/>
        <rFont val="Calibri"/>
        <family val="2"/>
        <scheme val="minor"/>
      </rPr>
      <t/>
    </r>
  </si>
  <si>
    <r>
      <rPr>
        <b/>
        <sz val="10"/>
        <color rgb="FF0000FF"/>
        <rFont val="Arial"/>
        <family val="2"/>
      </rPr>
      <t xml:space="preserve">N </t>
    </r>
    <r>
      <rPr>
        <b/>
        <sz val="10"/>
        <rFont val="Arial"/>
        <family val="2"/>
      </rPr>
      <t>1710</t>
    </r>
    <r>
      <rPr>
        <sz val="11"/>
        <color theme="1"/>
        <rFont val="Calibri"/>
        <family val="2"/>
        <scheme val="minor"/>
      </rPr>
      <t/>
    </r>
  </si>
  <si>
    <r>
      <rPr>
        <b/>
        <sz val="10"/>
        <color rgb="FF0000FF"/>
        <rFont val="Arial"/>
        <family val="2"/>
      </rPr>
      <t xml:space="preserve">N </t>
    </r>
    <r>
      <rPr>
        <b/>
        <sz val="10"/>
        <rFont val="Arial"/>
        <family val="2"/>
      </rPr>
      <t>1714</t>
    </r>
    <r>
      <rPr>
        <sz val="11"/>
        <color theme="1"/>
        <rFont val="Calibri"/>
        <family val="2"/>
        <scheme val="minor"/>
      </rPr>
      <t/>
    </r>
  </si>
  <si>
    <r>
      <rPr>
        <b/>
        <sz val="10"/>
        <color rgb="FF0000FF"/>
        <rFont val="Arial"/>
        <family val="2"/>
      </rPr>
      <t xml:space="preserve">N </t>
    </r>
    <r>
      <rPr>
        <b/>
        <sz val="10"/>
        <rFont val="Arial"/>
        <family val="2"/>
      </rPr>
      <t>1715</t>
    </r>
    <r>
      <rPr>
        <sz val="11"/>
        <color theme="1"/>
        <rFont val="Calibri"/>
        <family val="2"/>
        <scheme val="minor"/>
      </rPr>
      <t/>
    </r>
  </si>
  <si>
    <r>
      <rPr>
        <b/>
        <sz val="10"/>
        <color rgb="FF0000FF"/>
        <rFont val="Arial"/>
        <family val="2"/>
      </rPr>
      <t xml:space="preserve">N </t>
    </r>
    <r>
      <rPr>
        <b/>
        <sz val="10"/>
        <rFont val="Arial"/>
        <family val="2"/>
      </rPr>
      <t>1716</t>
    </r>
    <r>
      <rPr>
        <sz val="11"/>
        <color theme="1"/>
        <rFont val="Calibri"/>
        <family val="2"/>
        <scheme val="minor"/>
      </rPr>
      <t/>
    </r>
  </si>
  <si>
    <r>
      <rPr>
        <b/>
        <sz val="10"/>
        <color rgb="FF0000FF"/>
        <rFont val="Arial"/>
        <family val="2"/>
      </rPr>
      <t xml:space="preserve">N </t>
    </r>
    <r>
      <rPr>
        <b/>
        <sz val="10"/>
        <rFont val="Arial"/>
        <family val="2"/>
      </rPr>
      <t>1720</t>
    </r>
    <r>
      <rPr>
        <sz val="11"/>
        <color theme="1"/>
        <rFont val="Calibri"/>
        <family val="2"/>
        <scheme val="minor"/>
      </rPr>
      <t/>
    </r>
  </si>
  <si>
    <r>
      <rPr>
        <b/>
        <sz val="10"/>
        <color rgb="FF0000FF"/>
        <rFont val="Arial"/>
        <family val="2"/>
      </rPr>
      <t xml:space="preserve">N </t>
    </r>
    <r>
      <rPr>
        <b/>
        <sz val="10"/>
        <rFont val="Arial"/>
        <family val="2"/>
      </rPr>
      <t>1722</t>
    </r>
    <r>
      <rPr>
        <sz val="11"/>
        <color theme="1"/>
        <rFont val="Calibri"/>
        <family val="2"/>
        <scheme val="minor"/>
      </rPr>
      <t/>
    </r>
  </si>
  <si>
    <r>
      <rPr>
        <b/>
        <sz val="10"/>
        <color rgb="FF0000FF"/>
        <rFont val="Arial"/>
        <family val="2"/>
      </rPr>
      <t xml:space="preserve">N </t>
    </r>
    <r>
      <rPr>
        <b/>
        <sz val="10"/>
        <rFont val="Arial"/>
        <family val="2"/>
      </rPr>
      <t>1725</t>
    </r>
    <r>
      <rPr>
        <sz val="11"/>
        <color theme="1"/>
        <rFont val="Calibri"/>
        <family val="2"/>
        <scheme val="minor"/>
      </rPr>
      <t/>
    </r>
  </si>
  <si>
    <r>
      <rPr>
        <b/>
        <sz val="10"/>
        <color rgb="FF0000FF"/>
        <rFont val="Arial"/>
        <family val="2"/>
      </rPr>
      <t xml:space="preserve">N </t>
    </r>
    <r>
      <rPr>
        <b/>
        <sz val="10"/>
        <rFont val="Arial"/>
        <family val="2"/>
      </rPr>
      <t>1727</t>
    </r>
    <r>
      <rPr>
        <sz val="11"/>
        <color theme="1"/>
        <rFont val="Calibri"/>
        <family val="2"/>
        <scheme val="minor"/>
      </rPr>
      <t/>
    </r>
  </si>
  <si>
    <r>
      <rPr>
        <b/>
        <sz val="10"/>
        <color rgb="FF0000FF"/>
        <rFont val="Arial"/>
        <family val="2"/>
      </rPr>
      <t xml:space="preserve">N </t>
    </r>
    <r>
      <rPr>
        <b/>
        <sz val="10"/>
        <rFont val="Arial"/>
        <family val="2"/>
      </rPr>
      <t>1730</t>
    </r>
    <r>
      <rPr>
        <sz val="11"/>
        <color theme="1"/>
        <rFont val="Calibri"/>
        <family val="2"/>
        <scheme val="minor"/>
      </rPr>
      <t/>
    </r>
  </si>
  <si>
    <r>
      <rPr>
        <b/>
        <sz val="10"/>
        <color rgb="FF0000FF"/>
        <rFont val="Arial"/>
        <family val="2"/>
      </rPr>
      <t xml:space="preserve">N </t>
    </r>
    <r>
      <rPr>
        <b/>
        <sz val="10"/>
        <rFont val="Arial"/>
        <family val="2"/>
      </rPr>
      <t>1736</t>
    </r>
    <r>
      <rPr>
        <sz val="11"/>
        <color theme="1"/>
        <rFont val="Calibri"/>
        <family val="2"/>
        <scheme val="minor"/>
      </rPr>
      <t/>
    </r>
  </si>
  <si>
    <r>
      <rPr>
        <b/>
        <sz val="10"/>
        <color rgb="FF0000FF"/>
        <rFont val="Arial"/>
        <family val="2"/>
      </rPr>
      <t xml:space="preserve">N </t>
    </r>
    <r>
      <rPr>
        <b/>
        <sz val="10"/>
        <rFont val="Arial"/>
        <family val="2"/>
      </rPr>
      <t>1737</t>
    </r>
    <r>
      <rPr>
        <sz val="11"/>
        <color theme="1"/>
        <rFont val="Calibri"/>
        <family val="2"/>
        <scheme val="minor"/>
      </rPr>
      <t/>
    </r>
  </si>
  <si>
    <r>
      <rPr>
        <b/>
        <sz val="10"/>
        <color rgb="FF0000FF"/>
        <rFont val="Arial"/>
        <family val="2"/>
      </rPr>
      <t xml:space="preserve">N </t>
    </r>
    <r>
      <rPr>
        <b/>
        <sz val="10"/>
        <rFont val="Arial"/>
        <family val="2"/>
      </rPr>
      <t>1738</t>
    </r>
    <r>
      <rPr>
        <sz val="11"/>
        <color theme="1"/>
        <rFont val="Calibri"/>
        <family val="2"/>
        <scheme val="minor"/>
      </rPr>
      <t/>
    </r>
  </si>
  <si>
    <r>
      <rPr>
        <b/>
        <sz val="10"/>
        <color rgb="FF0000FF"/>
        <rFont val="Arial"/>
        <family val="2"/>
      </rPr>
      <t xml:space="preserve">N </t>
    </r>
    <r>
      <rPr>
        <b/>
        <sz val="10"/>
        <rFont val="Arial"/>
        <family val="2"/>
      </rPr>
      <t>1739</t>
    </r>
    <r>
      <rPr>
        <sz val="11"/>
        <color theme="1"/>
        <rFont val="Calibri"/>
        <family val="2"/>
        <scheme val="minor"/>
      </rPr>
      <t/>
    </r>
  </si>
  <si>
    <r>
      <rPr>
        <b/>
        <sz val="10"/>
        <color rgb="FF0000FF"/>
        <rFont val="Arial"/>
        <family val="2"/>
      </rPr>
      <t xml:space="preserve">N </t>
    </r>
    <r>
      <rPr>
        <b/>
        <sz val="10"/>
        <rFont val="Arial"/>
        <family val="2"/>
      </rPr>
      <t>1740</t>
    </r>
    <r>
      <rPr>
        <sz val="11"/>
        <color theme="1"/>
        <rFont val="Calibri"/>
        <family val="2"/>
        <scheme val="minor"/>
      </rPr>
      <t/>
    </r>
  </si>
  <si>
    <r>
      <rPr>
        <b/>
        <sz val="10"/>
        <color rgb="FF0000FF"/>
        <rFont val="Arial"/>
        <family val="2"/>
      </rPr>
      <t xml:space="preserve">N </t>
    </r>
    <r>
      <rPr>
        <b/>
        <sz val="10"/>
        <rFont val="Arial"/>
        <family val="2"/>
      </rPr>
      <t xml:space="preserve">1557
</t>
    </r>
    <r>
      <rPr>
        <i/>
        <sz val="10"/>
        <color rgb="FF0000FF"/>
        <rFont val="Arial"/>
        <family val="2"/>
      </rPr>
      <t xml:space="preserve">PC19/1418 Final 22/02/2021
MC Use commenced 12/07/2021
</t>
    </r>
    <r>
      <rPr>
        <i/>
        <sz val="10"/>
        <color rgb="FFFF0000"/>
        <rFont val="Arial"/>
        <family val="2"/>
      </rPr>
      <t>IA#120</t>
    </r>
    <r>
      <rPr>
        <i/>
        <sz val="10"/>
        <color rgb="FF0000FF"/>
        <rFont val="Arial"/>
        <family val="2"/>
      </rPr>
      <t xml:space="preserve"> </t>
    </r>
    <r>
      <rPr>
        <i/>
        <sz val="10"/>
        <color rgb="FFFF0000"/>
        <rFont val="Arial"/>
        <family val="2"/>
      </rPr>
      <t xml:space="preserve">
</t>
    </r>
    <r>
      <rPr>
        <sz val="10"/>
        <color rgb="FFFF0000"/>
        <rFont val="Arial"/>
        <family val="2"/>
      </rPr>
      <t>Stg Pmt 2 = $4,384.00 
DUE 7 SEPT 2022</t>
    </r>
  </si>
  <si>
    <r>
      <rPr>
        <b/>
        <sz val="10"/>
        <color rgb="FF0000FF"/>
        <rFont val="Arial"/>
        <family val="2"/>
      </rPr>
      <t xml:space="preserve">N </t>
    </r>
    <r>
      <rPr>
        <b/>
        <sz val="10"/>
        <rFont val="Arial"/>
        <family val="2"/>
      </rPr>
      <t>1422
Stage 2</t>
    </r>
    <r>
      <rPr>
        <sz val="10"/>
        <color rgb="FFFF0000"/>
        <rFont val="Arial"/>
        <family val="2"/>
      </rPr>
      <t xml:space="preserve">
CoC issued 31/08/2021 
DUE 30 Sept 2021</t>
    </r>
  </si>
  <si>
    <t>D000325149</t>
  </si>
  <si>
    <t>D000325150</t>
  </si>
  <si>
    <t>MCU21/0109
Approved: 16/09/2021
Issued: 21/09/2021</t>
  </si>
  <si>
    <t>AE Martin, MacMartin Investments Pty Ltd TTE</t>
  </si>
  <si>
    <t>PO Box 205
PEREGIAN BEACH QLD 4573</t>
  </si>
  <si>
    <t>Lot 4 SP 274446</t>
  </si>
  <si>
    <t>4/216 David Low Way
PEREGIAN BEACH QLD 4573</t>
  </si>
  <si>
    <t>Calc based only on the change relating to the upper level = 
Office = 72 m2 gfa 
No change to existing impervious area</t>
  </si>
  <si>
    <t xml:space="preserve">Calc based only on the change relating to the upper level = 
Caretakers Accommodation = 1 x 1 bedroom unit 
(note that residential stormwater component was included &amp; paid under IA so full rate included in existing credit) </t>
  </si>
  <si>
    <t>PC21/1224
Approved: 08/09/2021
Received &amp; Registered by NSC : 13/09/2021</t>
  </si>
  <si>
    <t xml:space="preserve">Building Work
Lateral Certification Group - Decision Notice: 00002007
</t>
  </si>
  <si>
    <t>Superior Granny Flats</t>
  </si>
  <si>
    <t>3/6 Graham Street
UNDERWOOD QLD 4119</t>
  </si>
  <si>
    <t>Lot 25 RP 113635</t>
  </si>
  <si>
    <t>6 Ridge Street 
TEWANTIN QLD 4565</t>
  </si>
  <si>
    <r>
      <rPr>
        <b/>
        <sz val="10"/>
        <color rgb="FF0000FF"/>
        <rFont val="Arial"/>
        <family val="2"/>
      </rPr>
      <t xml:space="preserve">N </t>
    </r>
    <r>
      <rPr>
        <b/>
        <sz val="10"/>
        <rFont val="Arial"/>
        <family val="2"/>
      </rPr>
      <t xml:space="preserve">1378
</t>
    </r>
    <r>
      <rPr>
        <sz val="10"/>
        <color rgb="FF0000FF"/>
        <rFont val="Arial"/>
        <family val="2"/>
      </rPr>
      <t>Requested Notice of Amount Due 22/09/2021</t>
    </r>
  </si>
  <si>
    <t>DBW21/0154
Approved: 17/09/2021
Issued: 23/09/2021</t>
  </si>
  <si>
    <t>SG Nash &amp; ND Nash
C/- Brennan Planning</t>
  </si>
  <si>
    <t>44 Maple Street
COOROY QLD 4563</t>
  </si>
  <si>
    <t>Lot 10 SP 161929</t>
  </si>
  <si>
    <t>292 Pomona Kin Kin Road
PINBARREN QLD 4568</t>
  </si>
  <si>
    <t>CPI June 2021</t>
  </si>
  <si>
    <t>D000329548</t>
  </si>
  <si>
    <r>
      <t xml:space="preserve">IA 88
(STAGE 1)
</t>
    </r>
    <r>
      <rPr>
        <b/>
        <i/>
        <sz val="10"/>
        <rFont val="Arial"/>
        <family val="2"/>
      </rPr>
      <t xml:space="preserve">
</t>
    </r>
    <r>
      <rPr>
        <i/>
        <sz val="10"/>
        <color rgb="FF0000FF"/>
        <rFont val="Arial"/>
        <family val="2"/>
      </rPr>
      <t>Requested Notice of Amount Due 30/09/2021</t>
    </r>
  </si>
  <si>
    <t>D000331113</t>
  </si>
  <si>
    <t>OCTOBER 2021
Total =</t>
  </si>
  <si>
    <r>
      <t xml:space="preserve">IA Carparking Contribution in Lieu
</t>
    </r>
    <r>
      <rPr>
        <sz val="8"/>
        <color rgb="FFFF0000"/>
        <rFont val="Arial"/>
        <family val="2"/>
      </rPr>
      <t xml:space="preserve">LETTER ISSUED 17/08/2021 </t>
    </r>
    <r>
      <rPr>
        <b/>
        <sz val="8"/>
        <color rgb="FFFF0000"/>
        <rFont val="Arial"/>
        <family val="2"/>
      </rPr>
      <t>Payment by 4/11/2021</t>
    </r>
  </si>
  <si>
    <r>
      <rPr>
        <strike/>
        <sz val="10"/>
        <rFont val="Arial"/>
        <family val="2"/>
      </rPr>
      <t>Planning Reg 2018-19</t>
    </r>
    <r>
      <rPr>
        <sz val="10"/>
        <rFont val="Arial"/>
        <family val="2"/>
      </rPr>
      <t xml:space="preserve">
</t>
    </r>
    <r>
      <rPr>
        <sz val="10"/>
        <color rgb="FFFF0000"/>
        <rFont val="Arial"/>
        <family val="2"/>
      </rPr>
      <t>Planning Reg 2021-2022</t>
    </r>
  </si>
  <si>
    <r>
      <rPr>
        <b/>
        <sz val="10"/>
        <color rgb="FF0000FF"/>
        <rFont val="Arial"/>
        <family val="2"/>
      </rPr>
      <t xml:space="preserve">N </t>
    </r>
    <r>
      <rPr>
        <b/>
        <sz val="10"/>
        <rFont val="Arial"/>
        <family val="2"/>
      </rPr>
      <t xml:space="preserve">1397
</t>
    </r>
    <r>
      <rPr>
        <b/>
        <sz val="10"/>
        <color rgb="FFFF0000"/>
        <rFont val="Arial"/>
        <family val="2"/>
      </rPr>
      <t xml:space="preserve">IA#122 
</t>
    </r>
    <r>
      <rPr>
        <sz val="10"/>
        <color rgb="FFFF0000"/>
        <rFont val="Arial"/>
        <family val="2"/>
      </rPr>
      <t>Pmt 1= $1,782. 1 OCT 2021</t>
    </r>
  </si>
  <si>
    <t>D000328930</t>
  </si>
  <si>
    <t>PAID Stg Pmt 1</t>
  </si>
  <si>
    <t>Special consideration for Delayed Staged Payments approved 26/08/2021 to current index plus 5% Admin fee</t>
  </si>
  <si>
    <t>PC16/0347 - Amended
Approved: 6/10/2021
Received &amp; Registered by NSC: 6/10/2021</t>
  </si>
  <si>
    <t>Building Work
Earthcert Building Approvals - Decision Notice: 160107 Amended</t>
  </si>
  <si>
    <t>Lot 121 SP 275884</t>
  </si>
  <si>
    <t xml:space="preserve">Triggered by Amended Decision Notice &amp; Amended Approved Drawings </t>
  </si>
  <si>
    <t>15 Wilkinsons Court 
COOROY QLD 4563</t>
  </si>
  <si>
    <t>WC Fuller &amp; E Fuller</t>
  </si>
  <si>
    <t>PO Box 758
COOROY QLD 4563</t>
  </si>
  <si>
    <t>D000332432</t>
  </si>
  <si>
    <t>MCU20/0116
Approved: 7/10/2021
Issued: 13/09/2021</t>
  </si>
  <si>
    <t>JS Haines TTE &amp; 356 Silver Fox Pty Ltd TTE</t>
  </si>
  <si>
    <t xml:space="preserve">C/- RG Strategic Australia
PO Box 1818
NOOSA HEADS QLD 4567
</t>
  </si>
  <si>
    <t>Lot 140 RP 88934</t>
  </si>
  <si>
    <t>23 Bottlebrush Ave 
NOOSA HEADS QLD 4567</t>
  </si>
  <si>
    <t>37 Yurol Forest Drive 
POMONA QLD 4568</t>
  </si>
  <si>
    <t>Lot 3 SP 305290</t>
  </si>
  <si>
    <t>KPM Building Solutions</t>
  </si>
  <si>
    <t>69-71 Blaze Ridge Drive
NARANGBA QLD 4504</t>
  </si>
  <si>
    <t>Building Work
Re: Adept Building Approvals - Decision Notice: 00010086</t>
  </si>
  <si>
    <t>PC21/1321
Approved: 6/10/2021
Received &amp; Registered by NSC: 6/10/2021</t>
  </si>
  <si>
    <t>Penny Delcastillo</t>
  </si>
  <si>
    <t>12/663 Victoria Street
ABBOTSFORD VIC 3067</t>
  </si>
  <si>
    <t>10 Adams Street 
SUNSHINE BEACH QLD 4567</t>
  </si>
  <si>
    <t xml:space="preserve">Building Work
Re: JDBA Certifiers - Decision Notice: BA211201
</t>
  </si>
  <si>
    <t>Lot 521 RP 48112</t>
  </si>
  <si>
    <t>PC21/1324
Approved: 22/09/2021
Received &amp; Registered by NSC: 31/09/2021</t>
  </si>
  <si>
    <t>Lots 3 &amp; 4 SP 158837</t>
  </si>
  <si>
    <t>132001.210363.1
Approved: 11/10/2021
Issued: 13/09/2021</t>
  </si>
  <si>
    <t>the Tewantin Café 
3 &amp; 4 / 105 Poinciana Ave, TEWANTIN QLD 4565</t>
  </si>
  <si>
    <t>Multiple Dwelling = 5 x 2 bed units</t>
  </si>
  <si>
    <t>Office = 146 m2 gfa</t>
  </si>
  <si>
    <t xml:space="preserve">Multiple Dwelling = 2 x 2 bed units
</t>
  </si>
  <si>
    <t>Stormwater component excluded as covered by existing impervious area of non-res development on ground floor</t>
  </si>
  <si>
    <t>RAL21/0016
Approved: 12/10/2021
Issued: 14/09/2021</t>
  </si>
  <si>
    <t>Van der Walt Property Trust</t>
  </si>
  <si>
    <t>C/- Danya Cook Town Planning
PO Box 9410
PACIFIC PARADISE QLD 4564</t>
  </si>
  <si>
    <t xml:space="preserve">Lot 1 RP 128401 </t>
  </si>
  <si>
    <t>108 Goodwin St 
Tewantin Qld 4565</t>
  </si>
  <si>
    <t>Lot 15 SP 208256</t>
  </si>
  <si>
    <t>98 Hayward Rd 
Lake Macdonald Qld 4563</t>
  </si>
  <si>
    <t>1 Secondary dwelling</t>
  </si>
  <si>
    <r>
      <rPr>
        <b/>
        <sz val="10"/>
        <color rgb="FF0000FF"/>
        <rFont val="Arial"/>
        <family val="2"/>
      </rPr>
      <t xml:space="preserve">N </t>
    </r>
    <r>
      <rPr>
        <b/>
        <sz val="10"/>
        <rFont val="Arial"/>
        <family val="2"/>
      </rPr>
      <t xml:space="preserve">1668
</t>
    </r>
    <r>
      <rPr>
        <sz val="10"/>
        <rFont val="Arial"/>
        <family val="2"/>
      </rPr>
      <t xml:space="preserve">
</t>
    </r>
    <r>
      <rPr>
        <sz val="10"/>
        <color rgb="FFFF0000"/>
        <rFont val="Arial"/>
        <family val="2"/>
      </rPr>
      <t>DUE 5 NOV 2021</t>
    </r>
  </si>
  <si>
    <r>
      <t xml:space="preserve">Stormwater not applicable for Development outside PIA per LGIP
</t>
    </r>
    <r>
      <rPr>
        <sz val="10"/>
        <color rgb="FFFF0000"/>
        <rFont val="Arial"/>
        <family val="2"/>
      </rPr>
      <t>Final Inspection Cert issued 25/04/2021 received NSC 14/11/2021
Delayed Staged Payment Agreement approved 18/10/2021</t>
    </r>
  </si>
  <si>
    <r>
      <rPr>
        <b/>
        <sz val="10"/>
        <color rgb="FF0000FF"/>
        <rFont val="Arial"/>
        <family val="2"/>
      </rPr>
      <t xml:space="preserve">N </t>
    </r>
    <r>
      <rPr>
        <b/>
        <sz val="10"/>
        <rFont val="Arial"/>
        <family val="2"/>
      </rPr>
      <t xml:space="preserve">1475
</t>
    </r>
    <r>
      <rPr>
        <sz val="10"/>
        <color rgb="FF0000FF"/>
        <rFont val="Arial"/>
        <family val="2"/>
      </rPr>
      <t>Requested Notice of Amount Due 18/10/2021</t>
    </r>
  </si>
  <si>
    <t>D000334253</t>
  </si>
  <si>
    <r>
      <rPr>
        <b/>
        <sz val="10"/>
        <color rgb="FF0000FF"/>
        <rFont val="Arial"/>
        <family val="2"/>
      </rPr>
      <t xml:space="preserve">N </t>
    </r>
    <r>
      <rPr>
        <b/>
        <sz val="10"/>
        <rFont val="Arial"/>
        <family val="2"/>
      </rPr>
      <t xml:space="preserve">1188
</t>
    </r>
    <r>
      <rPr>
        <b/>
        <sz val="10"/>
        <color rgb="FF0000FF"/>
        <rFont val="Arial"/>
        <family val="2"/>
      </rPr>
      <t>IA#85</t>
    </r>
    <r>
      <rPr>
        <sz val="10"/>
        <color rgb="FFFF0000"/>
        <rFont val="Arial"/>
        <family val="2"/>
      </rPr>
      <t xml:space="preserve">
Final Staged PAYMENT No.4 
DUE 15 DEC 2021 
but prior to any sale of property
Rates Search 5/05/2021</t>
    </r>
  </si>
  <si>
    <t>PC21/1378
Approved: 13/10/2021
Received &amp; Registered by NSC: 13/10/2021</t>
  </si>
  <si>
    <t>Building Work
Re: North Shore Building Approvals - Decision Notice: 21/179</t>
  </si>
  <si>
    <t>175 Wilson Road
ILKLEY QLD 4554</t>
  </si>
  <si>
    <t>Lot 19 RP 836908</t>
  </si>
  <si>
    <t>1 Solitaire Street 
DOONAN QLD 4562</t>
  </si>
  <si>
    <t>D000334625</t>
  </si>
  <si>
    <r>
      <rPr>
        <strike/>
        <sz val="10"/>
        <rFont val="Arial"/>
        <family val="2"/>
      </rPr>
      <t>7/02/2021</t>
    </r>
    <r>
      <rPr>
        <sz val="10"/>
        <rFont val="Arial"/>
        <family val="2"/>
      </rPr>
      <t xml:space="preserve">
</t>
    </r>
    <r>
      <rPr>
        <sz val="10"/>
        <color rgb="FF0000FF"/>
        <rFont val="Arial"/>
        <family val="2"/>
      </rPr>
      <t>3/02/2023</t>
    </r>
  </si>
  <si>
    <r>
      <t xml:space="preserve">MCU16/0139
</t>
    </r>
    <r>
      <rPr>
        <sz val="10"/>
        <color rgb="FF0000FF"/>
        <rFont val="Arial"/>
        <family val="2"/>
      </rPr>
      <t>MCU16/0139.01 Extn</t>
    </r>
  </si>
  <si>
    <r>
      <t xml:space="preserve">MCU11/0264
</t>
    </r>
    <r>
      <rPr>
        <sz val="10"/>
        <color rgb="FF0000FF"/>
        <rFont val="Arial"/>
        <family val="2"/>
      </rPr>
      <t xml:space="preserve">MCU11/0264.01 Ext
</t>
    </r>
    <r>
      <rPr>
        <sz val="10"/>
        <color rgb="FFFF0000"/>
        <rFont val="Arial"/>
        <family val="2"/>
      </rPr>
      <t>.02 Ext - under assessment</t>
    </r>
  </si>
  <si>
    <r>
      <t xml:space="preserve">MCU17/0014
</t>
    </r>
    <r>
      <rPr>
        <sz val="10"/>
        <color rgb="FF0000FF"/>
        <rFont val="Arial"/>
        <family val="2"/>
      </rPr>
      <t>MCU17/0014.02</t>
    </r>
  </si>
  <si>
    <t>16/02/2022
Will not lapse due to STG 1</t>
  </si>
  <si>
    <t>Online Credit Card Pmt Inv 127082
Rec D000334635</t>
  </si>
  <si>
    <t>D000335448</t>
  </si>
  <si>
    <t>D000335787</t>
  </si>
  <si>
    <t>D000336540</t>
  </si>
  <si>
    <t>EC Leape</t>
  </si>
  <si>
    <t>C/- Mr B Naismith
95 Groundwater Road
GYMPIE QLD 4570</t>
  </si>
  <si>
    <t xml:space="preserve">30 Pottery St 
POMONA QLD 4568 </t>
  </si>
  <si>
    <t xml:space="preserve">Lot 496 MCH 591 </t>
  </si>
  <si>
    <t>9 Residential lots</t>
  </si>
  <si>
    <t>RAL19/0014
Approved: 27/10/2021
Issued: 28/09/2021</t>
  </si>
  <si>
    <r>
      <rPr>
        <b/>
        <sz val="10"/>
        <color rgb="FF0000FF"/>
        <rFont val="Arial"/>
        <family val="2"/>
      </rPr>
      <t xml:space="preserve">N </t>
    </r>
    <r>
      <rPr>
        <b/>
        <sz val="10"/>
        <rFont val="Arial"/>
        <family val="2"/>
      </rPr>
      <t xml:space="preserve">1233
</t>
    </r>
    <r>
      <rPr>
        <sz val="10"/>
        <color rgb="FFFF0000"/>
        <rFont val="Arial"/>
        <family val="2"/>
      </rPr>
      <t xml:space="preserve">PC17/0580 CoC issued 24/07/2017 </t>
    </r>
    <r>
      <rPr>
        <sz val="10"/>
        <rFont val="Arial"/>
        <family val="2"/>
      </rPr>
      <t xml:space="preserve"> 
</t>
    </r>
    <r>
      <rPr>
        <sz val="10"/>
        <color rgb="FFFF0000"/>
        <rFont val="Arial"/>
        <family val="2"/>
      </rPr>
      <t>DUE 12 NOV</t>
    </r>
  </si>
  <si>
    <t>NOVEMBER 2021
Total =</t>
  </si>
  <si>
    <t>D000337508</t>
  </si>
  <si>
    <t>NOVEMBER 2021 Total =</t>
  </si>
  <si>
    <r>
      <rPr>
        <b/>
        <sz val="10"/>
        <color rgb="FF0000FF"/>
        <rFont val="Arial"/>
        <family val="2"/>
      </rPr>
      <t xml:space="preserve">N </t>
    </r>
    <r>
      <rPr>
        <b/>
        <sz val="10"/>
        <rFont val="Arial"/>
        <family val="2"/>
      </rPr>
      <t xml:space="preserve">1551
</t>
    </r>
    <r>
      <rPr>
        <i/>
        <sz val="10"/>
        <color rgb="FF0000FF"/>
        <rFont val="Arial"/>
        <family val="2"/>
      </rPr>
      <t xml:space="preserve">Requested Notice of Amount Due 30/09/2021
</t>
    </r>
    <r>
      <rPr>
        <i/>
        <sz val="10"/>
        <color rgb="FFFF0000"/>
        <rFont val="Arial"/>
        <family val="2"/>
      </rPr>
      <t>Final Inspection Certificate issued 13/09/2021</t>
    </r>
    <r>
      <rPr>
        <i/>
        <sz val="10"/>
        <color rgb="FF0000FF"/>
        <rFont val="Arial"/>
        <family val="2"/>
      </rPr>
      <t xml:space="preserve">
</t>
    </r>
    <r>
      <rPr>
        <i/>
        <sz val="10"/>
        <color rgb="FFFF0000"/>
        <rFont val="Arial"/>
        <family val="2"/>
      </rPr>
      <t>DUE 22 NOV 2021</t>
    </r>
  </si>
  <si>
    <t>Paid Stg Pmt 1</t>
  </si>
  <si>
    <t>D000337715</t>
  </si>
  <si>
    <r>
      <rPr>
        <b/>
        <sz val="10"/>
        <color rgb="FF0000FF"/>
        <rFont val="Arial"/>
        <family val="2"/>
      </rPr>
      <t xml:space="preserve">N </t>
    </r>
    <r>
      <rPr>
        <b/>
        <sz val="10"/>
        <rFont val="Arial"/>
        <family val="2"/>
      </rPr>
      <t xml:space="preserve">1440
</t>
    </r>
    <r>
      <rPr>
        <b/>
        <sz val="10"/>
        <color rgb="FFFF0000"/>
        <rFont val="Arial"/>
        <family val="2"/>
      </rPr>
      <t>IA#123 
Stg Pmt 2 - $4,411.00
DUE 6 Nov 2022</t>
    </r>
  </si>
  <si>
    <t>D000337964</t>
  </si>
  <si>
    <t>Indexation N/A</t>
  </si>
  <si>
    <r>
      <t xml:space="preserve">215
</t>
    </r>
    <r>
      <rPr>
        <sz val="10"/>
        <color rgb="FFFF0000"/>
        <rFont val="Arial"/>
        <family val="2"/>
      </rPr>
      <t>Lapsed re email received 3/11/2021  withdrawing application</t>
    </r>
    <r>
      <rPr>
        <b/>
        <sz val="10"/>
        <rFont val="Arial"/>
        <family val="2"/>
      </rPr>
      <t xml:space="preserve"> </t>
    </r>
  </si>
  <si>
    <t>PC21/0244 issued</t>
  </si>
  <si>
    <r>
      <t xml:space="preserve">R 434 
</t>
    </r>
    <r>
      <rPr>
        <sz val="8"/>
        <rFont val="Arial"/>
        <family val="2"/>
      </rPr>
      <t>&amp;</t>
    </r>
    <r>
      <rPr>
        <b/>
        <sz val="8"/>
        <rFont val="Arial"/>
        <family val="2"/>
      </rPr>
      <t xml:space="preserve">
</t>
    </r>
    <r>
      <rPr>
        <sz val="8"/>
        <rFont val="Arial"/>
        <family val="2"/>
      </rPr>
      <t>TPC2763</t>
    </r>
  </si>
  <si>
    <t>BAGS006311 
Held in lieu</t>
  </si>
  <si>
    <t>D000338664</t>
  </si>
  <si>
    <t>D000339004</t>
  </si>
  <si>
    <r>
      <rPr>
        <b/>
        <sz val="10"/>
        <color rgb="FF0000FF"/>
        <rFont val="Arial"/>
        <family val="2"/>
      </rPr>
      <t xml:space="preserve">N </t>
    </r>
    <r>
      <rPr>
        <b/>
        <sz val="10"/>
        <rFont val="Arial"/>
        <family val="2"/>
      </rPr>
      <t xml:space="preserve">1534
</t>
    </r>
    <r>
      <rPr>
        <sz val="10"/>
        <color rgb="FFFF0000"/>
        <rFont val="Arial"/>
        <family val="2"/>
      </rPr>
      <t>Current amount requested 10/11/2021 to finalise RAL</t>
    </r>
  </si>
  <si>
    <t>MCU21/0133
Approved: 5/11/2021
Issued: 10/11/2021</t>
  </si>
  <si>
    <t xml:space="preserve">Novato Group P/L TTE
</t>
  </si>
  <si>
    <t xml:space="preserve"> Lot 147 RP 88934</t>
  </si>
  <si>
    <t>9 Bottlebrush Ave 
Noosa Heads Qld 4567</t>
  </si>
  <si>
    <t>Multiple Dwellings = 
1 x 3 Bed unit +
4 x 2 Bed units</t>
  </si>
  <si>
    <t xml:space="preserve">Lot 9 SP 195871 </t>
  </si>
  <si>
    <t>16 Serenity Cl 
Noosa Heads Qld 4567</t>
  </si>
  <si>
    <t>Multiple Dwelling = 22 x 3 bed units</t>
  </si>
  <si>
    <t>Multiple Dwelling =
16 x 3 bed Units +
6 x 2 bed units</t>
  </si>
  <si>
    <r>
      <t>IA 23 
for missing Stormwater network</t>
    </r>
    <r>
      <rPr>
        <sz val="10"/>
        <color rgb="FF0000FF"/>
        <rFont val="Arial"/>
        <family val="2"/>
      </rPr>
      <t xml:space="preserve">
+
N 1089 missing Public Transport 
+</t>
    </r>
    <r>
      <rPr>
        <sz val="10"/>
        <color rgb="FFFF0000"/>
        <rFont val="Arial"/>
        <family val="2"/>
      </rPr>
      <t xml:space="preserve">
</t>
    </r>
    <r>
      <rPr>
        <sz val="10"/>
        <color rgb="FF0000FF"/>
        <rFont val="Arial"/>
        <family val="2"/>
      </rPr>
      <t xml:space="preserve">N 1469 (missing Parks)
</t>
    </r>
    <r>
      <rPr>
        <sz val="10"/>
        <color rgb="FFFF0000"/>
        <rFont val="Arial"/>
        <family val="2"/>
      </rPr>
      <t>(ICP 873 &amp; Pathways contributions paid 08/0175)</t>
    </r>
    <r>
      <rPr>
        <b/>
        <sz val="10"/>
        <rFont val="Arial"/>
        <family val="2"/>
      </rPr>
      <t xml:space="preserve">
</t>
    </r>
    <r>
      <rPr>
        <sz val="10"/>
        <color rgb="FF0000FF"/>
        <rFont val="Arial"/>
        <family val="2"/>
      </rPr>
      <t>+
N1678 minor change</t>
    </r>
  </si>
  <si>
    <r>
      <rPr>
        <b/>
        <sz val="10"/>
        <color rgb="FF0000FF"/>
        <rFont val="Arial"/>
        <family val="2"/>
      </rPr>
      <t xml:space="preserve">N </t>
    </r>
    <r>
      <rPr>
        <b/>
        <sz val="10"/>
        <rFont val="Arial"/>
        <family val="2"/>
      </rPr>
      <t>1469
for missing Parks</t>
    </r>
    <r>
      <rPr>
        <sz val="10"/>
        <rFont val="Arial"/>
        <family val="2"/>
      </rPr>
      <t xml:space="preserve">
</t>
    </r>
    <r>
      <rPr>
        <sz val="10"/>
        <color rgb="FF0000FF"/>
        <rFont val="Arial"/>
        <family val="2"/>
      </rPr>
      <t xml:space="preserve">+
IA 23 
for missing Stormwater
+
N 1089 missing Public Transport
</t>
    </r>
    <r>
      <rPr>
        <sz val="10"/>
        <color rgb="FFFF0000"/>
        <rFont val="Arial"/>
        <family val="2"/>
      </rPr>
      <t>(ICP 873 &amp; Pathways contributions paid 08/0175)</t>
    </r>
    <r>
      <rPr>
        <b/>
        <sz val="10"/>
        <rFont val="Arial"/>
        <family val="2"/>
      </rPr>
      <t xml:space="preserve">
</t>
    </r>
    <r>
      <rPr>
        <sz val="10"/>
        <color rgb="FF0000FF"/>
        <rFont val="Arial"/>
        <family val="2"/>
      </rPr>
      <t>+
N1678 minor change</t>
    </r>
  </si>
  <si>
    <r>
      <rPr>
        <b/>
        <sz val="10"/>
        <color rgb="FF0000FF"/>
        <rFont val="Arial"/>
        <family val="2"/>
      </rPr>
      <t xml:space="preserve">N </t>
    </r>
    <r>
      <rPr>
        <b/>
        <sz val="10"/>
        <rFont val="Arial"/>
        <family val="2"/>
      </rPr>
      <t xml:space="preserve">1089
for missing Public Transport 
</t>
    </r>
    <r>
      <rPr>
        <sz val="10"/>
        <color rgb="FF0000FF"/>
        <rFont val="Arial"/>
        <family val="2"/>
      </rPr>
      <t xml:space="preserve"> +
IA 23 
for missing Stormwater
+</t>
    </r>
    <r>
      <rPr>
        <sz val="10"/>
        <color rgb="FFFF0000"/>
        <rFont val="Arial"/>
        <family val="2"/>
      </rPr>
      <t xml:space="preserve">
</t>
    </r>
    <r>
      <rPr>
        <sz val="10"/>
        <color rgb="FF0000FF"/>
        <rFont val="Arial"/>
        <family val="2"/>
      </rPr>
      <t xml:space="preserve">N 1469 (missing Parks)
</t>
    </r>
    <r>
      <rPr>
        <sz val="10"/>
        <color rgb="FFFF0000"/>
        <rFont val="Arial"/>
        <family val="2"/>
      </rPr>
      <t>(ICP 873 &amp; Pathways contributions paid 08/0175)</t>
    </r>
    <r>
      <rPr>
        <b/>
        <sz val="10"/>
        <rFont val="Arial"/>
        <family val="2"/>
      </rPr>
      <t xml:space="preserve">
</t>
    </r>
    <r>
      <rPr>
        <sz val="10"/>
        <color rgb="FF0000FF"/>
        <rFont val="Arial"/>
        <family val="2"/>
      </rPr>
      <t>+
N1678 minor change</t>
    </r>
  </si>
  <si>
    <r>
      <rPr>
        <b/>
        <sz val="10"/>
        <color rgb="FF0000FF"/>
        <rFont val="Arial"/>
        <family val="2"/>
      </rPr>
      <t xml:space="preserve">N </t>
    </r>
    <r>
      <rPr>
        <b/>
        <sz val="10"/>
        <rFont val="Arial"/>
        <family val="2"/>
      </rPr>
      <t xml:space="preserve">1678
</t>
    </r>
    <r>
      <rPr>
        <sz val="10"/>
        <color rgb="FF0000FF"/>
        <rFont val="Arial"/>
        <family val="2"/>
      </rPr>
      <t>&amp; additional to
IA 23 
for missing Stormwater network
+
N 1089 missing Public Transport 
+
N 1469 (missing Parks)</t>
    </r>
    <r>
      <rPr>
        <sz val="10"/>
        <color rgb="FFFF0000"/>
        <rFont val="Arial"/>
        <family val="2"/>
      </rPr>
      <t xml:space="preserve">
(ICP 873 &amp; Pathways contributions paid 08/0175)</t>
    </r>
  </si>
  <si>
    <t>132000.200465.3
(minor change to 20789 DA)
Approved: 8/11/2021
Issued: 10/11/2021</t>
  </si>
  <si>
    <t xml:space="preserve">JT &amp; S Property Pty Ltd
</t>
  </si>
  <si>
    <t xml:space="preserve">Lot 51 SP 156203 </t>
  </si>
  <si>
    <t>221 David Low Way
Peregian Beach Qld 4573</t>
  </si>
  <si>
    <t>4CD Developments P/L</t>
  </si>
  <si>
    <t xml:space="preserve">Lot 2 RP 64750 &amp; 
Lot 2 RP 153798 </t>
  </si>
  <si>
    <t>5 Pearl St &amp; 54 Elm St 
Cooroy Qld 4563</t>
  </si>
  <si>
    <t>Multiple Dwelling = 
2 x 3 bed units +
9 x 2 bed units</t>
  </si>
  <si>
    <t>2 x Dwelling Houses on 2 lots</t>
  </si>
  <si>
    <r>
      <t xml:space="preserve">Paid
</t>
    </r>
    <r>
      <rPr>
        <sz val="10"/>
        <color rgb="FF0000FF"/>
        <rFont val="Arial"/>
        <family val="2"/>
      </rPr>
      <t>(incl $20 overpayment to deduct from final stg pmt 3)</t>
    </r>
  </si>
  <si>
    <t>D000339758</t>
  </si>
  <si>
    <t>D000339759</t>
  </si>
  <si>
    <t>DBW21/0164
Approved: 9/11/2021
Issued: 12/11/2021</t>
  </si>
  <si>
    <t>Direct Portable Buildings Pty Ltd</t>
  </si>
  <si>
    <t>C/- Brennan Planning P/L
44 Maple St
COOROY QLD 4563</t>
  </si>
  <si>
    <t>Lot 1 RP 199413</t>
  </si>
  <si>
    <t xml:space="preserve">364 Lake Flat Rd 
Cootharaba Qld 4565 </t>
  </si>
  <si>
    <r>
      <rPr>
        <b/>
        <sz val="8"/>
        <color rgb="FF0000FF"/>
        <rFont val="Arial"/>
        <family val="2"/>
      </rPr>
      <t>Stg Pmt 2</t>
    </r>
    <r>
      <rPr>
        <sz val="8"/>
        <color rgb="FF0000FF"/>
        <rFont val="Arial"/>
        <family val="2"/>
      </rPr>
      <t xml:space="preserve">
Part 15/11/21 - $548.</t>
    </r>
  </si>
  <si>
    <t>D000340078</t>
  </si>
  <si>
    <t>D000340406</t>
  </si>
  <si>
    <r>
      <rPr>
        <b/>
        <sz val="10"/>
        <color rgb="FF0000FF"/>
        <rFont val="Arial"/>
        <family val="2"/>
      </rPr>
      <t xml:space="preserve">N </t>
    </r>
    <r>
      <rPr>
        <b/>
        <sz val="10"/>
        <rFont val="Arial"/>
        <family val="2"/>
      </rPr>
      <t xml:space="preserve">1552
</t>
    </r>
    <r>
      <rPr>
        <b/>
        <sz val="10"/>
        <color rgb="FF0000FF"/>
        <rFont val="Arial"/>
        <family val="2"/>
      </rPr>
      <t>Negotiated</t>
    </r>
    <r>
      <rPr>
        <b/>
        <sz val="10"/>
        <rFont val="Arial"/>
        <family val="2"/>
      </rPr>
      <t xml:space="preserve">
</t>
    </r>
    <r>
      <rPr>
        <b/>
        <sz val="10"/>
        <color rgb="FF0000FF"/>
        <rFont val="Arial"/>
        <family val="2"/>
      </rPr>
      <t xml:space="preserve">STAGE 3
</t>
    </r>
    <r>
      <rPr>
        <sz val="10"/>
        <color rgb="FFFF0000"/>
        <rFont val="Arial"/>
        <family val="2"/>
      </rPr>
      <t>+
N1658 Stage 3</t>
    </r>
  </si>
  <si>
    <r>
      <rPr>
        <b/>
        <sz val="10"/>
        <color rgb="FF0000FF"/>
        <rFont val="Arial"/>
        <family val="2"/>
      </rPr>
      <t xml:space="preserve">N </t>
    </r>
    <r>
      <rPr>
        <b/>
        <sz val="10"/>
        <rFont val="Arial"/>
        <family val="2"/>
      </rPr>
      <t xml:space="preserve">1552
</t>
    </r>
    <r>
      <rPr>
        <b/>
        <sz val="10"/>
        <color rgb="FF0000FF"/>
        <rFont val="Arial"/>
        <family val="2"/>
      </rPr>
      <t>Negotiated</t>
    </r>
    <r>
      <rPr>
        <b/>
        <sz val="10"/>
        <rFont val="Arial"/>
        <family val="2"/>
      </rPr>
      <t xml:space="preserve">
</t>
    </r>
    <r>
      <rPr>
        <b/>
        <sz val="10"/>
        <color rgb="FF0000FF"/>
        <rFont val="Arial"/>
        <family val="2"/>
      </rPr>
      <t>STAGE 4</t>
    </r>
    <r>
      <rPr>
        <b/>
        <sz val="10"/>
        <rFont val="Arial"/>
        <family val="2"/>
      </rPr>
      <t xml:space="preserve">
</t>
    </r>
    <r>
      <rPr>
        <sz val="10"/>
        <color rgb="FFFF0000"/>
        <rFont val="Arial"/>
        <family val="2"/>
      </rPr>
      <t>+
N1658 Stage 4</t>
    </r>
  </si>
  <si>
    <r>
      <rPr>
        <b/>
        <sz val="10"/>
        <color rgb="FF0000FF"/>
        <rFont val="Arial"/>
        <family val="2"/>
      </rPr>
      <t xml:space="preserve">N </t>
    </r>
    <r>
      <rPr>
        <b/>
        <sz val="10"/>
        <rFont val="Arial"/>
        <family val="2"/>
      </rPr>
      <t xml:space="preserve">1658
</t>
    </r>
    <r>
      <rPr>
        <b/>
        <sz val="10"/>
        <color rgb="FF0000FF"/>
        <rFont val="Arial"/>
        <family val="2"/>
      </rPr>
      <t>STAGE 3</t>
    </r>
    <r>
      <rPr>
        <b/>
        <sz val="10"/>
        <rFont val="Arial"/>
        <family val="2"/>
      </rPr>
      <t xml:space="preserve">
</t>
    </r>
    <r>
      <rPr>
        <sz val="10"/>
        <color rgb="FFFF0000"/>
        <rFont val="Arial"/>
        <family val="2"/>
      </rPr>
      <t>+
N1552 STAGE 3</t>
    </r>
  </si>
  <si>
    <r>
      <rPr>
        <b/>
        <sz val="10"/>
        <color rgb="FF0000FF"/>
        <rFont val="Arial"/>
        <family val="2"/>
      </rPr>
      <t xml:space="preserve">N </t>
    </r>
    <r>
      <rPr>
        <b/>
        <sz val="10"/>
        <rFont val="Arial"/>
        <family val="2"/>
      </rPr>
      <t xml:space="preserve">1658
</t>
    </r>
    <r>
      <rPr>
        <b/>
        <sz val="10"/>
        <color rgb="FF0000FF"/>
        <rFont val="Arial"/>
        <family val="2"/>
      </rPr>
      <t>STAGE 4</t>
    </r>
    <r>
      <rPr>
        <b/>
        <sz val="10"/>
        <rFont val="Arial"/>
        <family val="2"/>
      </rPr>
      <t xml:space="preserve">
</t>
    </r>
    <r>
      <rPr>
        <sz val="10"/>
        <color rgb="FFFF0000"/>
        <rFont val="Arial"/>
        <family val="2"/>
      </rPr>
      <t>+
N1552 STAGE 4</t>
    </r>
  </si>
  <si>
    <r>
      <rPr>
        <b/>
        <sz val="10"/>
        <color rgb="FF0000FF"/>
        <rFont val="Arial"/>
        <family val="2"/>
      </rPr>
      <t xml:space="preserve">N </t>
    </r>
    <r>
      <rPr>
        <b/>
        <sz val="10"/>
        <rFont val="Arial"/>
        <family val="2"/>
      </rPr>
      <t xml:space="preserve">1623
</t>
    </r>
    <r>
      <rPr>
        <sz val="10"/>
        <color rgb="FFFF0000"/>
        <rFont val="Arial"/>
        <family val="2"/>
      </rPr>
      <t>Amount payable requested 16/11/2021</t>
    </r>
  </si>
  <si>
    <t>Building Work
Re: North Shore Building Approvals - Decision Notice: 21-136</t>
  </si>
  <si>
    <t>Building Work
Re: North Shore Building Approvals - Decision Notice: 21-177</t>
  </si>
  <si>
    <t>PC21/0932
Approved: 4/11/2021
Issued: 17/11/202</t>
  </si>
  <si>
    <t>PC21/1303
Approved: 9/11/2021
Issued: 17/11/2021</t>
  </si>
  <si>
    <t>PC21/1304
Approved: 11/11/2021
Issued: 17/11/2021</t>
  </si>
  <si>
    <t>Larry &amp; Judy Watkins</t>
  </si>
  <si>
    <t>5 Tamarine Court 
COOROIBAH QLD 4565</t>
  </si>
  <si>
    <t>Lot 22 RP 967632</t>
  </si>
  <si>
    <t>Blackwood Architecture &amp; Design</t>
  </si>
  <si>
    <t>25/91 Poinciana Avenue
TEWANTIN QLD 4565</t>
  </si>
  <si>
    <t>Lot 29 RP 225630</t>
  </si>
  <si>
    <t>19 Wattlebird Drive
DOONAN QLD 4562</t>
  </si>
  <si>
    <t>DT &amp; SJ Shiels</t>
  </si>
  <si>
    <t>PO Box 109
PEREGIAN BEACH QLD 4573</t>
  </si>
  <si>
    <t>Lot 166 CP 888721</t>
  </si>
  <si>
    <t>16 Antipodes Close
CASTAWAYS BEACJ QLD 4567</t>
  </si>
  <si>
    <t>D000340838</t>
  </si>
  <si>
    <r>
      <rPr>
        <b/>
        <sz val="8"/>
        <color rgb="FF0000FF"/>
        <rFont val="Arial"/>
        <family val="2"/>
      </rPr>
      <t>Stg Pmt 2</t>
    </r>
    <r>
      <rPr>
        <sz val="8"/>
        <color rgb="FF0000FF"/>
        <rFont val="Arial"/>
        <family val="2"/>
      </rPr>
      <t xml:space="preserve">
Part 18/11/21 - $548.</t>
    </r>
  </si>
  <si>
    <t>D000340837</t>
  </si>
  <si>
    <r>
      <rPr>
        <b/>
        <sz val="10"/>
        <color rgb="FF0000FF"/>
        <rFont val="Arial"/>
        <family val="2"/>
      </rPr>
      <t xml:space="preserve">N </t>
    </r>
    <r>
      <rPr>
        <b/>
        <sz val="10"/>
        <rFont val="Arial"/>
        <family val="2"/>
      </rPr>
      <t xml:space="preserve">1683
</t>
    </r>
    <r>
      <rPr>
        <sz val="8"/>
        <color rgb="FFFF0000"/>
        <rFont val="Arial"/>
        <family val="2"/>
      </rPr>
      <t>Requested direct bank details 18/11/2021</t>
    </r>
  </si>
  <si>
    <r>
      <t xml:space="preserve">MCU20/0090
</t>
    </r>
    <r>
      <rPr>
        <i/>
        <sz val="10"/>
        <rFont val="Arial"/>
        <family val="2"/>
      </rPr>
      <t>(P&amp;E Appeal No 12 of 2021 - Court Order 19 November 2021)</t>
    </r>
    <r>
      <rPr>
        <sz val="10"/>
        <rFont val="Arial"/>
        <family val="2"/>
      </rPr>
      <t xml:space="preserve"> 
Approved: 19/11/2021
Issued: 19/11/2021</t>
    </r>
  </si>
  <si>
    <t>Bayeno Pty Ltd</t>
  </si>
  <si>
    <t xml:space="preserve">c/- P&amp;E Law 
Suite 4, 59 The Esplanade, 
MAROOCHYDORE QLD 4558
</t>
  </si>
  <si>
    <t>Jetty 256 Gympie Terrace, NOOSAVILLE QLD 4566</t>
  </si>
  <si>
    <t>Lot 158 SP 146043</t>
  </si>
  <si>
    <t>Extension to Hire and Storage Building = Outdoor Sales = 11m2 additional gfa
No change to impervious area</t>
  </si>
  <si>
    <t>n/a - additional to existing only</t>
  </si>
  <si>
    <t>D000341104</t>
  </si>
  <si>
    <r>
      <t xml:space="preserve">RAL20/0019
</t>
    </r>
    <r>
      <rPr>
        <i/>
        <sz val="10"/>
        <rFont val="Arial"/>
        <family val="2"/>
      </rPr>
      <t>(P&amp;E Appeal No D116 of 2021- Court Order 19 November 2021)</t>
    </r>
    <r>
      <rPr>
        <sz val="10"/>
        <rFont val="Arial"/>
        <family val="2"/>
      </rPr>
      <t xml:space="preserve"> 
Approved: 19/11/2021
Issued: 19/11/2021</t>
    </r>
  </si>
  <si>
    <t>Natalie Carlyle and Jamie Carlyle</t>
  </si>
  <si>
    <t>c/- P&amp;E Law
Level 27, 32 Turbot Street
BRISBANE QLD 4000</t>
  </si>
  <si>
    <t>Lot 47 RP 136461</t>
  </si>
  <si>
    <t>PC21/1540
Approved: 11/11/2021
Issued 23/11/2021</t>
  </si>
  <si>
    <t>Building Work
Re: Pacific BCQ - Decision Notice: 20210496</t>
  </si>
  <si>
    <t>Building Work
Re: Project B.A.- Decision Notice: 20216313</t>
  </si>
  <si>
    <t>Lot 9 RP 50033</t>
  </si>
  <si>
    <t>25 Miva Street
COOROY QLD 4563</t>
  </si>
  <si>
    <r>
      <rPr>
        <b/>
        <sz val="10"/>
        <color rgb="FF0000FF"/>
        <rFont val="Arial"/>
        <family val="2"/>
      </rPr>
      <t xml:space="preserve">N </t>
    </r>
    <r>
      <rPr>
        <b/>
        <sz val="10"/>
        <rFont val="Arial"/>
        <family val="2"/>
      </rPr>
      <t xml:space="preserve">1180
</t>
    </r>
    <r>
      <rPr>
        <b/>
        <sz val="10"/>
        <color rgb="FF0000FF"/>
        <rFont val="Arial"/>
        <family val="2"/>
      </rPr>
      <t>IA 83</t>
    </r>
    <r>
      <rPr>
        <b/>
        <sz val="10"/>
        <rFont val="Arial"/>
        <family val="2"/>
      </rPr>
      <t xml:space="preserve">
</t>
    </r>
    <r>
      <rPr>
        <sz val="8"/>
        <color rgb="FFFF0000"/>
        <rFont val="Arial"/>
        <family val="2"/>
      </rPr>
      <t>FINAL Staged Payment No.4
DUE 15 DEC 2021
but prior to any sale of property</t>
    </r>
  </si>
  <si>
    <t>D000341906</t>
  </si>
  <si>
    <t>132005.1133.15 
Approved: 18/11/2021
Issued: 22/11/2021</t>
  </si>
  <si>
    <t>C/- JFP Urban Consultants Pty Ltd
T1.209 Kon-Tiki Business Centre
Tower 1/55 Plaza Parade
MAROOCHYDORE QLD 4558</t>
  </si>
  <si>
    <t>Lots 101-105 SP 290703
(formerly Lot 7 on SP178340 / formerly Lot 3 on SP178323)</t>
  </si>
  <si>
    <t>3 Alba Close, Noosa Heads Qld 4567
(formerly Leslie Dr, Noosa Heads QLD 4567)</t>
  </si>
  <si>
    <t>Change to Stage CTS 400</t>
  </si>
  <si>
    <t>Minor Change to CTS 400 
- Commercial Business – Type 1 Office = 103m2
- Entertainment &amp; Dining Business - Type 1 – Food &amp; Beverage = 312m2
- Entertainment &amp; Dinning Business – Type 2 – Recreation, amusement and fitness (Resort facility) = 246 m2                                                                                                                                (Non‐court area = 38 m2 &amp; Court area = 208m2)
- Retail Business – Type 2 – Shop = 16m2
No change to stormwater non-res impervious area</t>
  </si>
  <si>
    <t>Existing CTS 400 
- Commercial Business – Type 1 Office = 103m2
- Entertainment &amp; Dining Business - Type 1 – Food &amp; Beverage = 289m2
- Entertainment &amp; Dinning Business – Type 2 – Recreation, amusement and fitness (Resort facility) = 246 m2                                                                                                                                (Non‐court area = 38 m2 &amp; Court area = 208m2)
- Retail Business – Type 2 – Shop = 21m2</t>
  </si>
  <si>
    <r>
      <rPr>
        <sz val="10"/>
        <color rgb="FF0000FF"/>
        <rFont val="Arial"/>
        <family val="2"/>
      </rPr>
      <t>99,</t>
    </r>
    <r>
      <rPr>
        <sz val="10"/>
        <rFont val="Arial"/>
        <family val="2"/>
      </rPr>
      <t xml:space="preserve"> 101 &amp; 105 Eumundi Noosa Rd, NOOSAVILLE QLD 4566</t>
    </r>
  </si>
  <si>
    <r>
      <rPr>
        <sz val="10"/>
        <color rgb="FF0000FF"/>
        <rFont val="Arial"/>
        <family val="2"/>
      </rPr>
      <t>Lot 61 RP 69404</t>
    </r>
    <r>
      <rPr>
        <sz val="10"/>
        <rFont val="Arial"/>
        <family val="2"/>
      </rPr>
      <t xml:space="preserve">
Lot 1 RP 230931 &amp; Lot 1 RP 849431</t>
    </r>
  </si>
  <si>
    <t>25 Palm Grove Crescent TEWANTIN QLD 4565</t>
  </si>
  <si>
    <t>D000342682</t>
  </si>
  <si>
    <r>
      <t xml:space="preserve">Stormwater not applicable for Development outside PIA per LGIP </t>
    </r>
    <r>
      <rPr>
        <sz val="10"/>
        <color rgb="FFFF0000"/>
        <rFont val="Arial"/>
        <family val="2"/>
      </rPr>
      <t>(PC19/0312 Issued)</t>
    </r>
    <r>
      <rPr>
        <sz val="10"/>
        <color rgb="FF0000FF"/>
        <rFont val="Arial"/>
        <family val="2"/>
      </rPr>
      <t xml:space="preserve">
</t>
    </r>
    <r>
      <rPr>
        <sz val="10"/>
        <color rgb="FFFF0000"/>
        <rFont val="Arial"/>
        <family val="2"/>
      </rPr>
      <t>ICN Total = $34,975.00 @ Planning Reg 2020-2021
In accordance with Council’s Organisational Policy “Delayed Staged Payments of Infrastructure Charges” (amended due to COVID-19 Business Support Initiatives dated 26 March 2020) 
AMENDED 29/11/2021</t>
    </r>
  </si>
  <si>
    <t>MCU21/0145
Approved: 25/11/2021
Issued: 1/11/2021</t>
  </si>
  <si>
    <t>BDH Group Investments P/L TTE</t>
  </si>
  <si>
    <t xml:space="preserve">Lot 1 RP 135064
Lot 2 RP 131406 </t>
  </si>
  <si>
    <t>170 &amp; 174 Eumundi Noosa Rd Noosaville Qld 4566</t>
  </si>
  <si>
    <t>Low impact industry = from planning report &amp; Site &amp; Ground floor plan = 
tyre retreading business with a 365m2 garage and 110m2 mezzanine,156m2 office/showroom and a 21m2 used tyre storage = 652m2 gfa 
+
Impervious area = 1,649m2</t>
  </si>
  <si>
    <t>170 Eumundi Noosa Rd 
131999.982842 19/07/1999 17443 DA Gen Industry - Car Wash  
= 120m2 gfa from plans + 810 m2 impervious area estimated from aerials
 +
174 Eumundi Noosa Rd 
390m2 gfa +  730 m2 impervious area estimated from aerials</t>
  </si>
  <si>
    <t>PC21/1585
Approved: 24/11/2021
Issued: 2/12/2021</t>
  </si>
  <si>
    <t>Tina-Maree Oliver</t>
  </si>
  <si>
    <t>33 Silverwood Drive
COOROIBAH QLD 4565</t>
  </si>
  <si>
    <t>Lot 6 RP 840282</t>
  </si>
  <si>
    <t>Building Work
Re:Jim Locke Building Consultants Pty Ltd.- Decision Notice: 210093</t>
  </si>
  <si>
    <t>D000343432</t>
  </si>
  <si>
    <t>DECEMBER 2021
Total =</t>
  </si>
  <si>
    <t>D000344174</t>
  </si>
  <si>
    <r>
      <rPr>
        <b/>
        <sz val="10"/>
        <color rgb="FF0000FF"/>
        <rFont val="Arial"/>
        <family val="2"/>
      </rPr>
      <t xml:space="preserve">N </t>
    </r>
    <r>
      <rPr>
        <b/>
        <sz val="10"/>
        <rFont val="Arial"/>
        <family val="2"/>
      </rPr>
      <t xml:space="preserve">1509
</t>
    </r>
    <r>
      <rPr>
        <sz val="10"/>
        <color rgb="FFFF0000"/>
        <rFont val="Arial"/>
        <family val="2"/>
      </rPr>
      <t>Final Inspection Cert 6/10/2021
DUE 6 DEC 2021</t>
    </r>
  </si>
  <si>
    <t>D000344345</t>
  </si>
  <si>
    <t>D000344346</t>
  </si>
  <si>
    <r>
      <rPr>
        <b/>
        <sz val="10"/>
        <color rgb="FF0000FF"/>
        <rFont val="Arial"/>
        <family val="2"/>
      </rPr>
      <t xml:space="preserve">N </t>
    </r>
    <r>
      <rPr>
        <b/>
        <sz val="10"/>
        <rFont val="Arial"/>
        <family val="2"/>
      </rPr>
      <t xml:space="preserve">1080
</t>
    </r>
    <r>
      <rPr>
        <sz val="10"/>
        <color rgb="FFFF0000"/>
        <rFont val="Arial"/>
        <family val="2"/>
      </rPr>
      <t xml:space="preserve">PC19/0871 issued 25/07/2019
</t>
    </r>
  </si>
  <si>
    <r>
      <t xml:space="preserve">Bld K on Lot 11
</t>
    </r>
    <r>
      <rPr>
        <b/>
        <sz val="8"/>
        <color rgb="FFFF0000"/>
        <rFont val="Arial"/>
        <family val="2"/>
      </rPr>
      <t xml:space="preserve">
Replaced by MCU15/0005  &amp; ICN.N1080</t>
    </r>
  </si>
  <si>
    <r>
      <rPr>
        <b/>
        <sz val="10"/>
        <color rgb="FF0000FF"/>
        <rFont val="Arial"/>
        <family val="2"/>
      </rPr>
      <t xml:space="preserve">N </t>
    </r>
    <r>
      <rPr>
        <b/>
        <sz val="10"/>
        <rFont val="Arial"/>
        <family val="2"/>
      </rPr>
      <t xml:space="preserve">1550
</t>
    </r>
    <r>
      <rPr>
        <sz val="10"/>
        <color rgb="FFFF0000"/>
        <rFont val="Arial"/>
        <family val="2"/>
      </rPr>
      <t>Final Inspection Certificate issued 11/10/2021</t>
    </r>
    <r>
      <rPr>
        <b/>
        <sz val="10"/>
        <color rgb="FFFF0000"/>
        <rFont val="Arial"/>
        <family val="2"/>
      </rPr>
      <t xml:space="preserve">
</t>
    </r>
    <r>
      <rPr>
        <sz val="10"/>
        <color rgb="FFFF0000"/>
        <rFont val="Arial"/>
        <family val="2"/>
      </rPr>
      <t>DUE 22 NOV 2021 extended to 6 DEC 2021</t>
    </r>
  </si>
  <si>
    <t>No Action completed within final extended timeframe &amp; therefore transferred to Rates for recovery on 8/12/2021</t>
  </si>
  <si>
    <t>Planning Reg 2021-2022 with Compound Interest from 11/10/2021</t>
  </si>
  <si>
    <t>Journal 
1743941</t>
  </si>
  <si>
    <t>Bryan Horn Pty Ltd</t>
  </si>
  <si>
    <t>16 Grasstree Crescent
NARANGBA QLD 4504</t>
  </si>
  <si>
    <t>Lot 38 SP 196678</t>
  </si>
  <si>
    <t>1 Friarbird Place
POMONA QLD 4568</t>
  </si>
  <si>
    <t>Building Work
Re: North Shore Building Approvals - Decision Notice: 21-091</t>
  </si>
  <si>
    <t>Building Work
Re: GMA Certification Group - Decision Notice: 20213950</t>
  </si>
  <si>
    <t>Jarred Schweiler</t>
  </si>
  <si>
    <t>D000344727</t>
  </si>
  <si>
    <t>D000344993</t>
  </si>
  <si>
    <t>D000344994</t>
  </si>
  <si>
    <r>
      <rPr>
        <b/>
        <sz val="10"/>
        <color rgb="FF0000FF"/>
        <rFont val="Arial"/>
        <family val="2"/>
      </rPr>
      <t xml:space="preserve">N </t>
    </r>
    <r>
      <rPr>
        <b/>
        <sz val="10"/>
        <rFont val="Arial"/>
        <family val="2"/>
      </rPr>
      <t xml:space="preserve">1220
</t>
    </r>
    <r>
      <rPr>
        <sz val="10"/>
        <color rgb="FF0000FF"/>
        <rFont val="Arial"/>
        <family val="2"/>
      </rPr>
      <t xml:space="preserve">IA#78
</t>
    </r>
    <r>
      <rPr>
        <sz val="10"/>
        <color rgb="FFFF0000"/>
        <rFont val="Arial"/>
        <family val="2"/>
      </rPr>
      <t>Final Staged Pmt No 5
DUE 15 Dec 2021
 but prior to any sale of property</t>
    </r>
  </si>
  <si>
    <r>
      <rPr>
        <b/>
        <sz val="10"/>
        <color rgb="FF0000FF"/>
        <rFont val="Arial"/>
        <family val="2"/>
      </rPr>
      <t xml:space="preserve">N </t>
    </r>
    <r>
      <rPr>
        <b/>
        <sz val="10"/>
        <rFont val="Arial"/>
        <family val="2"/>
      </rPr>
      <t xml:space="preserve">1308
</t>
    </r>
    <r>
      <rPr>
        <sz val="10"/>
        <color rgb="FF0000FF"/>
        <rFont val="Arial"/>
        <family val="2"/>
      </rPr>
      <t xml:space="preserve">Negotiated
</t>
    </r>
    <r>
      <rPr>
        <sz val="10"/>
        <color rgb="FFFF0000"/>
        <rFont val="Arial"/>
        <family val="2"/>
      </rPr>
      <t xml:space="preserve">PC18/0729 CoC 18/09/2020
</t>
    </r>
    <r>
      <rPr>
        <sz val="10"/>
        <color rgb="FF0000FF"/>
        <rFont val="Arial"/>
        <family val="2"/>
      </rPr>
      <t>IA#118</t>
    </r>
    <r>
      <rPr>
        <sz val="10"/>
        <color rgb="FFFF0000"/>
        <rFont val="Arial"/>
        <family val="2"/>
      </rPr>
      <t xml:space="preserve">
STAGED PAYMENT 2
 DUE 15 DEC 2021
but prior to any sale of property</t>
    </r>
  </si>
  <si>
    <t>D000345191</t>
  </si>
  <si>
    <t>D000345193</t>
  </si>
  <si>
    <t>Bal Stg Pmt 2</t>
  </si>
  <si>
    <t xml:space="preserve">Yallambee
11-13 /219 Weyba Road, Noosaville
</t>
  </si>
  <si>
    <r>
      <rPr>
        <b/>
        <sz val="10"/>
        <color rgb="FF0000FF"/>
        <rFont val="Arial"/>
        <family val="2"/>
      </rPr>
      <t xml:space="preserve">N </t>
    </r>
    <r>
      <rPr>
        <b/>
        <sz val="10"/>
        <rFont val="Arial"/>
        <family val="2"/>
      </rPr>
      <t xml:space="preserve">1650
</t>
    </r>
    <r>
      <rPr>
        <sz val="10"/>
        <color rgb="FFFF0000"/>
        <rFont val="Arial"/>
        <family val="2"/>
      </rPr>
      <t xml:space="preserve">
14/12/2021 Request to pay </t>
    </r>
  </si>
  <si>
    <t>D00345044</t>
  </si>
  <si>
    <t>D000345390</t>
  </si>
  <si>
    <t>D000345391</t>
  </si>
  <si>
    <t>D000345628</t>
  </si>
  <si>
    <t>D000345627</t>
  </si>
  <si>
    <t>CP Caple, TTE</t>
  </si>
  <si>
    <t>C/- Level 3
163 Eastern Road
SOUTH MELBOURNE VIC 3205</t>
  </si>
  <si>
    <t>Lot 8 RP 215096</t>
  </si>
  <si>
    <t>371 Gumboil Road
LAKE MACDONALD QLD 4563</t>
  </si>
  <si>
    <t>Earthcert Pty Ltd</t>
  </si>
  <si>
    <t>Lot 6 RP 179960</t>
  </si>
  <si>
    <t>141 Ferrells Road 
COOROY QLD 4568</t>
  </si>
  <si>
    <t>Paid $100+AM657:AM6640 13/12/2021 
CC Rec: 129936</t>
  </si>
  <si>
    <t>D000346374</t>
  </si>
  <si>
    <t>FINAL 
Stg Pmt 3</t>
  </si>
  <si>
    <t>D000346375</t>
  </si>
  <si>
    <t>D000346557</t>
  </si>
  <si>
    <t>Part-Payment</t>
  </si>
  <si>
    <t>D000346377</t>
  </si>
  <si>
    <t>Coffee Rock Investments P/L TTE</t>
  </si>
  <si>
    <t>C/- RG Strategic Australia
PO Box 1818
NOOSA HEADS QLD 456</t>
  </si>
  <si>
    <t xml:space="preserve">6/52 Hastings St 
NOOSA HEADS QLD 4567 </t>
  </si>
  <si>
    <t xml:space="preserve">Lot 6 BUP 4745 </t>
  </si>
  <si>
    <t>Food and Drink Outlet = Additional 5m2 
No change to impervious area</t>
  </si>
  <si>
    <t>n/a - Additional to existing only</t>
  </si>
  <si>
    <t>D000346554</t>
  </si>
  <si>
    <t>SJL McLaren</t>
  </si>
  <si>
    <t>75 Devonstone Dr
COOROIBAH QLD 4565</t>
  </si>
  <si>
    <t xml:space="preserve">9 Rules Rd 
Pomona Qld 4568 </t>
  </si>
  <si>
    <t xml:space="preserve">Lot 190 MCH 1261 </t>
  </si>
  <si>
    <t>Building Work
Re: Earthcert Building Approvals - Decision Notice: 210402</t>
  </si>
  <si>
    <t>Lot 324 C 5602</t>
  </si>
  <si>
    <t>32 Miva Street 
COOROY QLD 4563</t>
  </si>
  <si>
    <r>
      <rPr>
        <b/>
        <sz val="10"/>
        <color rgb="FF0000FF"/>
        <rFont val="Arial"/>
        <family val="2"/>
      </rPr>
      <t xml:space="preserve">N </t>
    </r>
    <r>
      <rPr>
        <b/>
        <sz val="10"/>
        <rFont val="Arial"/>
        <family val="2"/>
      </rPr>
      <t xml:space="preserve">1688
</t>
    </r>
    <r>
      <rPr>
        <sz val="10"/>
        <color rgb="FFFF0000"/>
        <rFont val="Arial"/>
        <family val="2"/>
      </rPr>
      <t>Request 23/12/2021 to make payment by crediticard online</t>
    </r>
  </si>
  <si>
    <r>
      <rPr>
        <b/>
        <sz val="10"/>
        <color rgb="FF0000FF"/>
        <rFont val="Arial"/>
        <family val="2"/>
      </rPr>
      <t xml:space="preserve">N </t>
    </r>
    <r>
      <rPr>
        <b/>
        <sz val="10"/>
        <rFont val="Arial"/>
        <family val="2"/>
      </rPr>
      <t xml:space="preserve">1331
</t>
    </r>
    <r>
      <rPr>
        <b/>
        <sz val="10"/>
        <color rgb="FF0000FF"/>
        <rFont val="Arial"/>
        <family val="2"/>
      </rPr>
      <t xml:space="preserve">Amended
</t>
    </r>
    <r>
      <rPr>
        <b/>
        <sz val="10"/>
        <color rgb="FFFF0000"/>
        <rFont val="Arial"/>
        <family val="2"/>
      </rPr>
      <t>(</t>
    </r>
    <r>
      <rPr>
        <i/>
        <sz val="10"/>
        <color rgb="FFFF0000"/>
        <rFont val="Arial"/>
        <family val="2"/>
      </rPr>
      <t>PC19/1024 Issued)</t>
    </r>
    <r>
      <rPr>
        <b/>
        <sz val="10"/>
        <rFont val="Arial"/>
        <family val="2"/>
      </rPr>
      <t xml:space="preserve">
</t>
    </r>
    <r>
      <rPr>
        <i/>
        <sz val="10"/>
        <color rgb="FFFF0000"/>
        <rFont val="Arial"/>
        <family val="2"/>
      </rPr>
      <t>Use commenced notification 4/11/2021</t>
    </r>
    <r>
      <rPr>
        <b/>
        <sz val="10"/>
        <rFont val="Arial"/>
        <family val="2"/>
      </rPr>
      <t xml:space="preserve">
</t>
    </r>
    <r>
      <rPr>
        <sz val="10"/>
        <color rgb="FFFF0000"/>
        <rFont val="Arial"/>
        <family val="2"/>
      </rPr>
      <t>DUE within &amp; working days from partial bond release</t>
    </r>
  </si>
  <si>
    <t>D000345275</t>
  </si>
  <si>
    <t>Paid credit card online</t>
  </si>
  <si>
    <t>PC21/1201
Approved: 6/12/2021
Received &amp; Registered by NSC: 14/12/2021</t>
  </si>
  <si>
    <t>PC21/1145
Approved: 30/11/2021
Received &amp; Registered by NSC: 9/12/2021</t>
  </si>
  <si>
    <t>43 Overlander Avenue COOROY QLD 4563</t>
  </si>
  <si>
    <t>54 RP 179733</t>
  </si>
  <si>
    <t>Anastasia Donney</t>
  </si>
  <si>
    <t>Building Work
Re: Sunshine Coast Building Approvals &amp; Inspection Services - Permit No 211118</t>
  </si>
  <si>
    <t>D000346768</t>
  </si>
  <si>
    <t>15/12/2021 Rec 23/12/2021</t>
  </si>
  <si>
    <t>D000346987</t>
  </si>
  <si>
    <t>D000346793</t>
  </si>
  <si>
    <t>MCU21/0071
Approved: 19/08/2021
Issued: 23/08/2021</t>
  </si>
  <si>
    <t>D000348558</t>
  </si>
  <si>
    <t>JANUARY 2022
Total =</t>
  </si>
  <si>
    <t>DBW21/0160
Approved: 10/01/2022
Issued: 11/01/2022</t>
  </si>
  <si>
    <t>MCU21/0164
Approved: 16/12/2021
Issued: 22/12/2021</t>
  </si>
  <si>
    <t>MCU21/0150
Approved: 16/12/2021
Issued: 22/12/2021</t>
  </si>
  <si>
    <t>DBW21/0198
Approved: 16/12/2021
Issued: 16/12/2021</t>
  </si>
  <si>
    <t>Building Work
Council approval</t>
  </si>
  <si>
    <t>Ms VL Crichton, Mr CJ Crichton</t>
  </si>
  <si>
    <t>PO Box 301
POMONA QLD 4568</t>
  </si>
  <si>
    <t>Lot 2 RP 222158</t>
  </si>
  <si>
    <t>424 Black Pinch Road COOTHARABA QLD 4565</t>
  </si>
  <si>
    <r>
      <rPr>
        <b/>
        <sz val="10"/>
        <color rgb="FF0000FF"/>
        <rFont val="Arial"/>
        <family val="2"/>
      </rPr>
      <t xml:space="preserve">N </t>
    </r>
    <r>
      <rPr>
        <b/>
        <sz val="10"/>
        <rFont val="Arial"/>
        <family val="2"/>
      </rPr>
      <t xml:space="preserve">1679
</t>
    </r>
    <r>
      <rPr>
        <b/>
        <sz val="10"/>
        <color rgb="FF0000FF"/>
        <rFont val="Arial"/>
        <family val="2"/>
      </rPr>
      <t>Negotiated</t>
    </r>
  </si>
  <si>
    <r>
      <rPr>
        <strike/>
        <sz val="10"/>
        <rFont val="Arial"/>
        <family val="2"/>
      </rPr>
      <t>12/11/2021</t>
    </r>
    <r>
      <rPr>
        <sz val="10"/>
        <rFont val="Arial"/>
        <family val="2"/>
      </rPr>
      <t xml:space="preserve">
</t>
    </r>
    <r>
      <rPr>
        <sz val="10"/>
        <color rgb="FF0000FF"/>
        <rFont val="Arial"/>
        <family val="2"/>
      </rPr>
      <t>11/01/2022</t>
    </r>
  </si>
  <si>
    <t>Hotel = 78m2 Additional gfa
+ 
Additional Stormwater impervious area = 38 m2</t>
  </si>
  <si>
    <t>Negotiated ICN on review of representations of applicable areas &amp; previous contribution paid 20789 DA</t>
  </si>
  <si>
    <t>Previous contribution paid for trunk road &amp; pathway items</t>
  </si>
  <si>
    <t>313 Cooroy Belli Creek Rd
COOROY QLD 4563</t>
  </si>
  <si>
    <t>MCU21/0199
Approved: 11/01/2022
Issued: 13/01/2022</t>
  </si>
  <si>
    <t>Clarke Rural Property Trust</t>
  </si>
  <si>
    <t xml:space="preserve">Lot 3 SP 301612 </t>
  </si>
  <si>
    <t>103 Echidna Lane 
Lake Macdonald Qld 4563</t>
  </si>
  <si>
    <t>Caretakers accommodation =1 x 2 bedroom dwelling</t>
  </si>
  <si>
    <t>Part StgPmt 2 $1,000 paid 14/01/2022</t>
  </si>
  <si>
    <t>D000349805</t>
  </si>
  <si>
    <r>
      <rPr>
        <b/>
        <sz val="8"/>
        <color rgb="FF0000FF"/>
        <rFont val="Arial"/>
        <family val="2"/>
      </rPr>
      <t>Part Stg2 Pmt</t>
    </r>
    <r>
      <rPr>
        <sz val="8"/>
        <color rgb="FF0000FF"/>
        <rFont val="Arial"/>
        <family val="2"/>
      </rPr>
      <t xml:space="preserve">
$548.00</t>
    </r>
  </si>
  <si>
    <t>Dexterity Constructions P/L</t>
  </si>
  <si>
    <t>C/- Adapt Town Planning
PO Box 7618
SIPPY DOWNS QLD 4556</t>
  </si>
  <si>
    <t xml:space="preserve">Lot 1 RP 196641 </t>
  </si>
  <si>
    <t>20 Mahers Rd 
Cooran Qld 4569</t>
  </si>
  <si>
    <t>D000351845</t>
  </si>
  <si>
    <t>D000351851</t>
  </si>
  <si>
    <t xml:space="preserve">PC21/0666
Approved: 22/12/2021
Received &amp; Registered by NSC 04/01/2022 </t>
  </si>
  <si>
    <t>Building Work
Re: Pacific BCQ - Decision Notice: 20210291</t>
  </si>
  <si>
    <t>RN &amp; D Halkett</t>
  </si>
  <si>
    <t>PO Box 1546
NOOSA HEADS QLD 4567</t>
  </si>
  <si>
    <t>Lot 2 RP 67833</t>
  </si>
  <si>
    <t>2 Mitti Street 
NOOSA HEADS QLD 4567</t>
  </si>
  <si>
    <t>Part Paid $5,000.00 by BAGS007676  Bond Release</t>
  </si>
  <si>
    <r>
      <rPr>
        <sz val="10"/>
        <color rgb="FF0000FF"/>
        <rFont val="Arial"/>
        <family val="2"/>
      </rPr>
      <t>Charges update journal is</t>
    </r>
    <r>
      <rPr>
        <b/>
        <sz val="10"/>
        <color rgb="FF0000FF"/>
        <rFont val="Arial"/>
        <family val="2"/>
      </rPr>
      <t xml:space="preserve"> 1744843
</t>
    </r>
    <r>
      <rPr>
        <sz val="10"/>
        <color rgb="FF0000FF"/>
        <rFont val="Arial"/>
        <family val="2"/>
      </rPr>
      <t>The General Ledger journal is</t>
    </r>
    <r>
      <rPr>
        <b/>
        <sz val="10"/>
        <color rgb="FF0000FF"/>
        <rFont val="Arial"/>
        <family val="2"/>
      </rPr>
      <t xml:space="preserve"> GJ020728</t>
    </r>
  </si>
  <si>
    <t>CW Robinson</t>
  </si>
  <si>
    <t>C/- Adams &amp; Sparkes Town Planning
PO Box 1000
BUDDINA QLD 4575</t>
  </si>
  <si>
    <t xml:space="preserve">9 Ruby St 
Cooroy Qld 4563 </t>
  </si>
  <si>
    <t>Lot 615 C 56014</t>
  </si>
  <si>
    <t>Dual Occupancy = 2 x 3+ bedroom units</t>
  </si>
  <si>
    <t xml:space="preserve">1 x Dwelling house </t>
  </si>
  <si>
    <r>
      <rPr>
        <b/>
        <sz val="10"/>
        <color rgb="FF0000FF"/>
        <rFont val="Arial"/>
        <family val="2"/>
      </rPr>
      <t xml:space="preserve">N </t>
    </r>
    <r>
      <rPr>
        <b/>
        <sz val="10"/>
        <rFont val="Arial"/>
        <family val="2"/>
      </rPr>
      <t xml:space="preserve">1599
</t>
    </r>
    <r>
      <rPr>
        <sz val="10"/>
        <color rgb="FF0000FF"/>
        <rFont val="Arial"/>
        <family val="2"/>
      </rPr>
      <t xml:space="preserve">Negotiated
</t>
    </r>
    <r>
      <rPr>
        <i/>
        <sz val="10"/>
        <color rgb="FF0000FF"/>
        <rFont val="Arial"/>
        <family val="2"/>
      </rPr>
      <t xml:space="preserve">Payment is </t>
    </r>
    <r>
      <rPr>
        <i/>
        <u/>
        <sz val="10"/>
        <color rgb="FF0000FF"/>
        <rFont val="Arial"/>
        <family val="2"/>
      </rPr>
      <t>only due</t>
    </r>
    <r>
      <rPr>
        <i/>
        <sz val="10"/>
        <color rgb="FF0000FF"/>
        <rFont val="Arial"/>
        <family val="2"/>
      </rPr>
      <t xml:space="preserve"> on any change in ownership of property</t>
    </r>
    <r>
      <rPr>
        <sz val="10"/>
        <rFont val="Arial"/>
        <family val="2"/>
      </rPr>
      <t xml:space="preserve">
</t>
    </r>
    <r>
      <rPr>
        <sz val="10"/>
        <color rgb="FFFF0000"/>
        <rFont val="Arial"/>
        <family val="2"/>
      </rPr>
      <t>Bond release as pt pmt</t>
    </r>
  </si>
  <si>
    <r>
      <rPr>
        <b/>
        <sz val="10"/>
        <color rgb="FF0000FF"/>
        <rFont val="Arial"/>
        <family val="2"/>
      </rPr>
      <t xml:space="preserve">N </t>
    </r>
    <r>
      <rPr>
        <b/>
        <sz val="10"/>
        <rFont val="Arial"/>
        <family val="2"/>
      </rPr>
      <t xml:space="preserve">1599
</t>
    </r>
    <r>
      <rPr>
        <sz val="10"/>
        <color rgb="FF0000FF"/>
        <rFont val="Arial"/>
        <family val="2"/>
      </rPr>
      <t xml:space="preserve">Negotiated
</t>
    </r>
    <r>
      <rPr>
        <i/>
        <sz val="10"/>
        <color rgb="FF0000FF"/>
        <rFont val="Arial"/>
        <family val="2"/>
      </rPr>
      <t xml:space="preserve">Payment is </t>
    </r>
    <r>
      <rPr>
        <i/>
        <u/>
        <sz val="10"/>
        <color rgb="FF0000FF"/>
        <rFont val="Arial"/>
        <family val="2"/>
      </rPr>
      <t>only due</t>
    </r>
    <r>
      <rPr>
        <i/>
        <sz val="10"/>
        <color rgb="FF0000FF"/>
        <rFont val="Arial"/>
        <family val="2"/>
      </rPr>
      <t xml:space="preserve"> on any change in ownership of property</t>
    </r>
    <r>
      <rPr>
        <sz val="10"/>
        <rFont val="Arial"/>
        <family val="2"/>
      </rPr>
      <t xml:space="preserve">
</t>
    </r>
    <r>
      <rPr>
        <sz val="10"/>
        <color rgb="FFFF0000"/>
        <rFont val="Arial"/>
        <family val="2"/>
      </rPr>
      <t>Part Paid $5,000.00 by BAGS007676  Bond Release</t>
    </r>
  </si>
  <si>
    <t>RAL21/0017
Approved: 20/01/2022
Issued: 24/01/2022</t>
  </si>
  <si>
    <t>JNE Developments</t>
  </si>
  <si>
    <t>Lot 21 SP 316902</t>
  </si>
  <si>
    <t>25 Pavilion Street 
Pomona Qld 4568</t>
  </si>
  <si>
    <t>10 x residential lots</t>
  </si>
  <si>
    <t>D000355641</t>
  </si>
  <si>
    <t>Building Work
Re: Northshore Building Approvals - Decision Notice: 21/215</t>
  </si>
  <si>
    <t>Julie Bohanna</t>
  </si>
  <si>
    <t>344 Sankeys Road 
COORAN QLD 4569</t>
  </si>
  <si>
    <t>Lot 5 RP 806761</t>
  </si>
  <si>
    <t>MCU21/0208
Approved: 21/01/2022
Issued: 28/01/2022</t>
  </si>
  <si>
    <t>Metricon Homes (Qld) Pty Ltd</t>
  </si>
  <si>
    <t>C/- Suncoast Building Approvals
PO Box1054
MAROOCHYDORE QLD 4558</t>
  </si>
  <si>
    <t xml:space="preserve">12 Figbird Ct 
Lake Macdonald Qld 4563 </t>
  </si>
  <si>
    <t xml:space="preserve">Lot 5 SP 260164 </t>
  </si>
  <si>
    <r>
      <rPr>
        <b/>
        <sz val="10"/>
        <color rgb="FF0000FF"/>
        <rFont val="Arial"/>
        <family val="2"/>
      </rPr>
      <t xml:space="preserve">N </t>
    </r>
    <r>
      <rPr>
        <b/>
        <sz val="10"/>
        <rFont val="Arial"/>
        <family val="2"/>
      </rPr>
      <t xml:space="preserve">1611
</t>
    </r>
  </si>
  <si>
    <r>
      <t>Paid</t>
    </r>
    <r>
      <rPr>
        <sz val="10"/>
        <color rgb="FF0000FF"/>
        <rFont val="Arial"/>
        <family val="2"/>
      </rPr>
      <t xml:space="preserve"> 
$10,000.00 part
+$5,683.00 bal
</t>
    </r>
  </si>
  <si>
    <t>FEBRUARY 2022
Total =</t>
  </si>
  <si>
    <t>D000359219</t>
  </si>
  <si>
    <t>PC21/1499
Approved: 13/01
Received &amp; Registered by NSC 17/01/2022</t>
  </si>
  <si>
    <t>D000364091</t>
  </si>
  <si>
    <r>
      <rPr>
        <b/>
        <sz val="10"/>
        <color rgb="FF0000FF"/>
        <rFont val="Arial"/>
        <family val="2"/>
      </rPr>
      <t xml:space="preserve">N </t>
    </r>
    <r>
      <rPr>
        <b/>
        <sz val="10"/>
        <rFont val="Arial"/>
        <family val="2"/>
      </rPr>
      <t>1662</t>
    </r>
  </si>
  <si>
    <r>
      <rPr>
        <b/>
        <sz val="10"/>
        <color rgb="FF0000FF"/>
        <rFont val="Arial"/>
        <family val="2"/>
      </rPr>
      <t xml:space="preserve">N </t>
    </r>
    <r>
      <rPr>
        <b/>
        <sz val="10"/>
        <rFont val="Arial"/>
        <family val="2"/>
      </rPr>
      <t xml:space="preserve">1262
</t>
    </r>
    <r>
      <rPr>
        <sz val="10"/>
        <color rgb="FFFF0000"/>
        <rFont val="Arial"/>
        <family val="2"/>
      </rPr>
      <t>PC17/1307 - COC issued 18/04/2018
Due 14/02/2022</t>
    </r>
  </si>
  <si>
    <t>Saltair Modular Pty Ltd</t>
  </si>
  <si>
    <t>19/25 Quanda Road,
COOLUM QLD 4573</t>
  </si>
  <si>
    <t>Lot 486 P 93116</t>
  </si>
  <si>
    <t>2259 David Low Way, PEREGIAN BEACH QLD 4573</t>
  </si>
  <si>
    <t>PC21/0947
Approved: 25/01/2022
Received &amp; Registered by NSC 25/01/2022</t>
  </si>
  <si>
    <t>Building Work
Re: EarthCert Building Approval: 210317</t>
  </si>
  <si>
    <t>Building Work
Re: EarthCert Building Approval: 210372.01</t>
  </si>
  <si>
    <t>PC21/1504
Approved: 20/01/2022
Received &amp; Registered by NSC 27/01/2022</t>
  </si>
  <si>
    <t>Neil Boothey &amp; Kim Macaulay</t>
  </si>
  <si>
    <t>41 Mountain Street, 
POMONA QLD 4568</t>
  </si>
  <si>
    <t>Lot 41 SP 177657</t>
  </si>
  <si>
    <t>D000365696</t>
  </si>
  <si>
    <t>D000365695</t>
  </si>
  <si>
    <t>D000366577</t>
  </si>
  <si>
    <t>LA D'Arsie &amp; CR Hamilton-Craig</t>
  </si>
  <si>
    <t>Lot 4 RP 852013</t>
  </si>
  <si>
    <t>D000371832</t>
  </si>
  <si>
    <t xml:space="preserve"> 17/02/2022</t>
  </si>
  <si>
    <r>
      <rPr>
        <b/>
        <sz val="8"/>
        <color rgb="FF0000FF"/>
        <rFont val="Arial"/>
        <family val="2"/>
      </rPr>
      <t>Stg Pmt 2</t>
    </r>
    <r>
      <rPr>
        <sz val="8"/>
        <color rgb="FF0000FF"/>
        <rFont val="Arial"/>
        <family val="2"/>
      </rPr>
      <t xml:space="preserve">
part Payment
</t>
    </r>
  </si>
  <si>
    <t>Planning Reg 2019-2020 with Compound Interest from 30/07/2019</t>
  </si>
  <si>
    <r>
      <t xml:space="preserve">Final Inspection Cert issued 21/06/2018
STAGED PAYMENT AGREEMENTS DATED 25/03/2019
</t>
    </r>
    <r>
      <rPr>
        <sz val="10"/>
        <color rgb="FFFF0000"/>
        <rFont val="Arial"/>
        <family val="2"/>
      </rPr>
      <t>(Amended due to COVID-19 Business Support Initiative dated 26 March 2020)</t>
    </r>
    <r>
      <rPr>
        <sz val="10"/>
        <color rgb="FF0000FF"/>
        <rFont val="Arial"/>
        <family val="2"/>
      </rPr>
      <t xml:space="preserve">
</t>
    </r>
    <r>
      <rPr>
        <sz val="10"/>
        <color rgb="FFFF0000"/>
        <rFont val="Arial"/>
        <family val="2"/>
      </rPr>
      <t>No Action completed within final extended timeframe &amp; therefore transferred to Rates for recovery on 18/02/2022</t>
    </r>
  </si>
  <si>
    <r>
      <t xml:space="preserve">Staged Payment Agreement IA 90 incl 5% admin fee Approved 30 August 2019
</t>
    </r>
    <r>
      <rPr>
        <sz val="10"/>
        <color rgb="FFFF0000"/>
        <rFont val="Arial"/>
        <family val="2"/>
      </rPr>
      <t>(amended due to COVID-19 Business Support Initiatives dated 26 March 2020)</t>
    </r>
    <r>
      <rPr>
        <sz val="10"/>
        <color rgb="FF0000FF"/>
        <rFont val="Arial"/>
        <family val="2"/>
      </rPr>
      <t xml:space="preserve">
</t>
    </r>
    <r>
      <rPr>
        <sz val="10"/>
        <color rgb="FFFF0000"/>
        <rFont val="Arial"/>
        <family val="2"/>
      </rPr>
      <t>No Action completed within final extended timeframe &amp; therefore remaining $500 balance staged payment 3 transferred with interest to Rates for recovery on 18/02/2022</t>
    </r>
  </si>
  <si>
    <t>CPI Dec 2019
(Amended COVID-19) with Compound Interest from 21/06/2018</t>
  </si>
  <si>
    <t>D000375711</t>
  </si>
  <si>
    <t>Charges update Journal 1747176 and GL posting journal 1747177</t>
  </si>
  <si>
    <t>Charges update Journal 1747178 and GL posting journal 1747179</t>
  </si>
  <si>
    <t>23 Jirrima Cres, 
COOROIBAH QLD 4565</t>
  </si>
  <si>
    <t>MCU21/0170
Approved: 21/02/2022
Issued:24/02/2022</t>
  </si>
  <si>
    <t>Cooper and Small Pty Ltd</t>
  </si>
  <si>
    <t>Lot 8 RP 113358</t>
  </si>
  <si>
    <t>53 Martins Rd 
COOROY QLD 4563</t>
  </si>
  <si>
    <t xml:space="preserve">183 Weyba Rd 
Noosaville Qld 4566 </t>
  </si>
  <si>
    <t>Upgrade of existing trunk pathway along the frontage of the site required by condition 22 of the development permit.</t>
  </si>
  <si>
    <t>Dual Occupancy = 2 x 3 bed units</t>
  </si>
  <si>
    <t>MCU21/0219
Approved: 21/02/2022
Issued:24/02/2022</t>
  </si>
  <si>
    <t>M Botwood &amp; O'Malley</t>
  </si>
  <si>
    <t>C/- Brennan Planning Pty Ltd
44 Maple St
COOROY QLD 4563</t>
  </si>
  <si>
    <t>Lot 58 SP 321936</t>
  </si>
  <si>
    <t>163 Upper Pinbarren Ck Rd Pinbarren Qld 4568</t>
  </si>
  <si>
    <t>Caretaker’s accommodation = 3 bedroom dwelling</t>
  </si>
  <si>
    <t>the infrastructure charge will also only become due for payment on completion of a future Dwelling house on the lot.</t>
  </si>
  <si>
    <t>MCU13/0030.03
Approved: 22/02/2022
Issued:25/02/2022</t>
  </si>
  <si>
    <t>Will not lapse for Minor Change</t>
  </si>
  <si>
    <t>Residential Care facility = 3,735m2 gfa 
+
Impervious area = 4,118m2</t>
  </si>
  <si>
    <t>Residential Care facility = 2,691m2 gfa 
+
Impervious area = 3,574m2</t>
  </si>
  <si>
    <t>MCU21/0090
Approved: 11/02/2022
Issued:14/02/2022</t>
  </si>
  <si>
    <t>MCU21/0183
Approved: 20/01/2022
Issued: 24/01/2022</t>
  </si>
  <si>
    <t>DBW21/0190
Approved: 14/01/2022
Issued: 19/01/2022</t>
  </si>
  <si>
    <t>PC21/1512
Approved: 26/11/2021
Received &amp; Registered by NSC: 9/12/2021</t>
  </si>
  <si>
    <t>PC21/1649
Approved: 10/12/2021
Received &amp; Registered by NSC: 14/12/2021</t>
  </si>
  <si>
    <t xml:space="preserve">Community Use - Education – Type 3 Adult &amp; interchangable with Commercial business Type 3 – Veterinary = 675 m2 gfa
+
1766 m2 impervious area
</t>
  </si>
  <si>
    <t>Nil - only applies to the additional development located on the vacant area of land approved by this Change &amp; additional to the previously approved existing lawful development.</t>
  </si>
  <si>
    <t>11/10/2021
+ 2 x 6 months Statutory Covid Extn</t>
  </si>
  <si>
    <r>
      <rPr>
        <b/>
        <sz val="10"/>
        <color rgb="FF0000FF"/>
        <rFont val="Arial"/>
        <family val="2"/>
      </rPr>
      <t xml:space="preserve">N </t>
    </r>
    <r>
      <rPr>
        <b/>
        <sz val="10"/>
        <rFont val="Arial"/>
        <family val="2"/>
      </rPr>
      <t xml:space="preserve">1282 
</t>
    </r>
    <r>
      <rPr>
        <b/>
        <sz val="10"/>
        <color rgb="FF0000FF"/>
        <rFont val="Arial"/>
        <family val="2"/>
      </rPr>
      <t xml:space="preserve">(Stage 2)
</t>
    </r>
    <r>
      <rPr>
        <i/>
        <sz val="12"/>
        <color rgb="FFFF0000"/>
        <rFont val="Arial"/>
        <family val="2"/>
      </rPr>
      <t xml:space="preserve">
</t>
    </r>
  </si>
  <si>
    <r>
      <t xml:space="preserve">Chris Symons </t>
    </r>
    <r>
      <rPr>
        <sz val="10"/>
        <color rgb="FF0000FF"/>
        <rFont val="Arial"/>
        <family val="2"/>
      </rPr>
      <t>and Debbie Mcevoy</t>
    </r>
  </si>
  <si>
    <r>
      <t xml:space="preserve">Building Work:
</t>
    </r>
    <r>
      <rPr>
        <strike/>
        <sz val="10"/>
        <rFont val="Arial"/>
        <family val="2"/>
      </rPr>
      <t xml:space="preserve">Noosa Building Certifiers
Number: 20180452
</t>
    </r>
    <r>
      <rPr>
        <sz val="10"/>
        <color rgb="FF0000FF"/>
        <rFont val="Arial"/>
        <family val="2"/>
      </rPr>
      <t>Capital Building Approvals Ref: QLD20210705 Dated: 30/07/2021</t>
    </r>
  </si>
  <si>
    <r>
      <rPr>
        <strike/>
        <sz val="10"/>
        <rFont val="Arial"/>
        <family val="2"/>
      </rPr>
      <t>25/03/2019</t>
    </r>
    <r>
      <rPr>
        <sz val="10"/>
        <rFont val="Arial"/>
        <family val="2"/>
      </rPr>
      <t xml:space="preserve">
</t>
    </r>
    <r>
      <rPr>
        <strike/>
        <sz val="10"/>
        <color rgb="FF0000FF"/>
        <rFont val="Arial"/>
        <family val="2"/>
      </rPr>
      <t>4/06/2019</t>
    </r>
    <r>
      <rPr>
        <sz val="10"/>
        <color rgb="FF0000FF"/>
        <rFont val="Arial"/>
        <family val="2"/>
      </rPr>
      <t xml:space="preserve">
4/03/2022
</t>
    </r>
  </si>
  <si>
    <r>
      <rPr>
        <strike/>
        <sz val="10"/>
        <rFont val="Arial"/>
        <family val="2"/>
      </rPr>
      <t>25/03/2021</t>
    </r>
    <r>
      <rPr>
        <sz val="10"/>
        <rFont val="Arial"/>
        <family val="2"/>
      </rPr>
      <t xml:space="preserve">
</t>
    </r>
    <r>
      <rPr>
        <sz val="10"/>
        <color rgb="FF0000FF"/>
        <rFont val="Arial"/>
        <family val="2"/>
      </rPr>
      <t xml:space="preserve">30/07/2023
</t>
    </r>
  </si>
  <si>
    <r>
      <rPr>
        <strike/>
        <sz val="10"/>
        <rFont val="Arial"/>
        <family val="2"/>
      </rPr>
      <t>NSC CR (No.3)</t>
    </r>
    <r>
      <rPr>
        <sz val="10"/>
        <rFont val="Arial"/>
        <family val="2"/>
      </rPr>
      <t xml:space="preserve">
</t>
    </r>
    <r>
      <rPr>
        <sz val="10"/>
        <color rgb="FF0000FF"/>
        <rFont val="Arial"/>
        <family val="2"/>
      </rPr>
      <t>NSC CR (No.6)</t>
    </r>
  </si>
  <si>
    <r>
      <t xml:space="preserve">143 Mudjimba Beach Road
MUDJIMBA QLD 4564
</t>
    </r>
    <r>
      <rPr>
        <sz val="10"/>
        <color rgb="FF0000FF"/>
        <rFont val="Arial"/>
        <family val="2"/>
      </rPr>
      <t xml:space="preserve">C/ </t>
    </r>
    <r>
      <rPr>
        <sz val="10"/>
        <rFont val="Arial"/>
        <family val="2"/>
      </rPr>
      <t xml:space="preserve">
</t>
    </r>
    <r>
      <rPr>
        <sz val="10"/>
        <color rgb="FF0000FF"/>
        <rFont val="Arial"/>
        <family val="2"/>
      </rPr>
      <t>13 Woodlark Rise 
SUNRISE BEACH QLD 4567</t>
    </r>
  </si>
  <si>
    <r>
      <rPr>
        <strike/>
        <sz val="10"/>
        <rFont val="Arial"/>
        <family val="2"/>
      </rPr>
      <t>24/09/2018</t>
    </r>
    <r>
      <rPr>
        <sz val="10"/>
        <rFont val="Arial"/>
        <family val="2"/>
      </rPr>
      <t xml:space="preserve">
</t>
    </r>
    <r>
      <rPr>
        <sz val="10"/>
        <color rgb="FF0000FF"/>
        <rFont val="Arial"/>
        <family val="2"/>
      </rPr>
      <t>4/03/2022</t>
    </r>
  </si>
  <si>
    <t>Visitor Accommodation
Type 3 Rural (3 x 2 bed Cabins)</t>
  </si>
  <si>
    <r>
      <t>MCU18/0084</t>
    </r>
    <r>
      <rPr>
        <sz val="10"/>
        <color rgb="FF0000FF"/>
        <rFont val="Arial"/>
        <family val="2"/>
      </rPr>
      <t>.01</t>
    </r>
    <r>
      <rPr>
        <sz val="10"/>
        <rFont val="Arial"/>
        <family val="2"/>
      </rPr>
      <t xml:space="preserve">
</t>
    </r>
    <r>
      <rPr>
        <b/>
        <sz val="10"/>
        <color rgb="FF0000FF"/>
        <rFont val="Arial"/>
        <family val="2"/>
      </rPr>
      <t>(STAGE 2)</t>
    </r>
    <r>
      <rPr>
        <sz val="10"/>
        <rFont val="Arial"/>
        <family val="2"/>
      </rPr>
      <t xml:space="preserve">
</t>
    </r>
    <r>
      <rPr>
        <sz val="10"/>
        <color rgb="FF0000FF"/>
        <rFont val="Arial"/>
        <family val="2"/>
      </rPr>
      <t>Approved 2/03/2022
Issued 4/03/2022</t>
    </r>
  </si>
  <si>
    <t>DBW21/0210
Approved: 4/03/2022
Issued: 4/03/2022</t>
  </si>
  <si>
    <t xml:space="preserve">1 Pine Tree Dr 
Lake Macdonald Qld 4563 </t>
  </si>
  <si>
    <t xml:space="preserve">Lot 10 RP 142977 </t>
  </si>
  <si>
    <r>
      <rPr>
        <strike/>
        <sz val="10"/>
        <rFont val="Arial"/>
        <family val="2"/>
      </rPr>
      <t>PC19/0330</t>
    </r>
    <r>
      <rPr>
        <sz val="10"/>
        <color rgb="FFFF0000"/>
        <rFont val="Arial"/>
        <family val="2"/>
      </rPr>
      <t xml:space="preserve"> LAPSED</t>
    </r>
    <r>
      <rPr>
        <sz val="10"/>
        <rFont val="Arial"/>
        <family val="2"/>
      </rPr>
      <t xml:space="preserve">
</t>
    </r>
    <r>
      <rPr>
        <sz val="10"/>
        <color rgb="FF0000FF"/>
        <rFont val="Arial"/>
        <family val="2"/>
      </rPr>
      <t>Replaced by:
PC21/0569</t>
    </r>
  </si>
  <si>
    <t>Lot 11 RP 76074</t>
  </si>
  <si>
    <t>Dwelling House = 2 bed dwelling + Secondary dwelling</t>
  </si>
  <si>
    <t>vacant res lot</t>
  </si>
  <si>
    <t>Building Work
Re: Adept Building Approvals
Approval: 00009108</t>
  </si>
  <si>
    <t>PC21/0182
Approved: 26/02/2021
Received &amp; Registered by NSC 26/02/2021</t>
  </si>
  <si>
    <t>Mike Higgins</t>
  </si>
  <si>
    <t>57 Laguna Street
Boreen Point QLD 4565</t>
  </si>
  <si>
    <t>57 Laguna St 
BOREEN POINT QLD 4656</t>
  </si>
  <si>
    <t>8/03/2022 - Property Owner requested IC as has added a cooktop in wetbar &amp; now plans to use main bedroom etc as secondary dwelling component as subordinate from remaining part of dwelling for 2 bedrooms etc.</t>
  </si>
  <si>
    <t>D000382492</t>
  </si>
  <si>
    <t>RAL21/0015
Approved: 9/03/2022
Issued: 10/03/2022</t>
  </si>
  <si>
    <t>MJ Tickner &amp; WJ Tickner</t>
  </si>
  <si>
    <t>23 Little Creek Rd 
Cooroibah Qld 4565</t>
  </si>
  <si>
    <t xml:space="preserve">Lot 3 RP 211638 </t>
  </si>
  <si>
    <r>
      <rPr>
        <b/>
        <sz val="10"/>
        <color rgb="FF0000FF"/>
        <rFont val="Arial"/>
        <family val="2"/>
      </rPr>
      <t xml:space="preserve">N </t>
    </r>
    <r>
      <rPr>
        <b/>
        <sz val="10"/>
        <rFont val="Arial"/>
        <family val="2"/>
      </rPr>
      <t>1742</t>
    </r>
    <r>
      <rPr>
        <sz val="11"/>
        <color theme="1"/>
        <rFont val="Calibri"/>
        <family val="2"/>
        <scheme val="minor"/>
      </rPr>
      <t/>
    </r>
  </si>
  <si>
    <r>
      <rPr>
        <b/>
        <sz val="10"/>
        <color rgb="FF0000FF"/>
        <rFont val="Arial"/>
        <family val="2"/>
      </rPr>
      <t xml:space="preserve">N </t>
    </r>
    <r>
      <rPr>
        <b/>
        <sz val="10"/>
        <rFont val="Arial"/>
        <family val="2"/>
      </rPr>
      <t>1744</t>
    </r>
    <r>
      <rPr>
        <sz val="11"/>
        <color theme="1"/>
        <rFont val="Calibri"/>
        <family val="2"/>
        <scheme val="minor"/>
      </rPr>
      <t/>
    </r>
  </si>
  <si>
    <r>
      <rPr>
        <b/>
        <sz val="10"/>
        <color rgb="FF0000FF"/>
        <rFont val="Arial"/>
        <family val="2"/>
      </rPr>
      <t xml:space="preserve">N </t>
    </r>
    <r>
      <rPr>
        <b/>
        <sz val="10"/>
        <rFont val="Arial"/>
        <family val="2"/>
      </rPr>
      <t>1745</t>
    </r>
    <r>
      <rPr>
        <sz val="11"/>
        <color theme="1"/>
        <rFont val="Calibri"/>
        <family val="2"/>
        <scheme val="minor"/>
      </rPr>
      <t/>
    </r>
  </si>
  <si>
    <r>
      <rPr>
        <b/>
        <sz val="10"/>
        <color rgb="FF0000FF"/>
        <rFont val="Arial"/>
        <family val="2"/>
      </rPr>
      <t xml:space="preserve">N </t>
    </r>
    <r>
      <rPr>
        <b/>
        <sz val="10"/>
        <rFont val="Arial"/>
        <family val="2"/>
      </rPr>
      <t>1746</t>
    </r>
    <r>
      <rPr>
        <sz val="11"/>
        <color theme="1"/>
        <rFont val="Calibri"/>
        <family val="2"/>
        <scheme val="minor"/>
      </rPr>
      <t/>
    </r>
  </si>
  <si>
    <r>
      <rPr>
        <b/>
        <sz val="10"/>
        <color rgb="FF0000FF"/>
        <rFont val="Arial"/>
        <family val="2"/>
      </rPr>
      <t xml:space="preserve">N </t>
    </r>
    <r>
      <rPr>
        <b/>
        <sz val="10"/>
        <rFont val="Arial"/>
        <family val="2"/>
      </rPr>
      <t>1749</t>
    </r>
    <r>
      <rPr>
        <sz val="11"/>
        <color theme="1"/>
        <rFont val="Calibri"/>
        <family val="2"/>
        <scheme val="minor"/>
      </rPr>
      <t/>
    </r>
  </si>
  <si>
    <r>
      <rPr>
        <b/>
        <sz val="10"/>
        <color rgb="FF0000FF"/>
        <rFont val="Arial"/>
        <family val="2"/>
      </rPr>
      <t xml:space="preserve">N </t>
    </r>
    <r>
      <rPr>
        <b/>
        <sz val="10"/>
        <rFont val="Arial"/>
        <family val="2"/>
      </rPr>
      <t>1750</t>
    </r>
    <r>
      <rPr>
        <sz val="11"/>
        <color theme="1"/>
        <rFont val="Calibri"/>
        <family val="2"/>
        <scheme val="minor"/>
      </rPr>
      <t/>
    </r>
  </si>
  <si>
    <r>
      <rPr>
        <b/>
        <sz val="10"/>
        <color rgb="FF0000FF"/>
        <rFont val="Arial"/>
        <family val="2"/>
      </rPr>
      <t xml:space="preserve">N </t>
    </r>
    <r>
      <rPr>
        <b/>
        <sz val="10"/>
        <rFont val="Arial"/>
        <family val="2"/>
      </rPr>
      <t xml:space="preserve">1568
</t>
    </r>
    <r>
      <rPr>
        <b/>
        <sz val="10"/>
        <color rgb="FF0000FF"/>
        <rFont val="Arial"/>
        <family val="2"/>
      </rPr>
      <t>+
IA#104</t>
    </r>
    <r>
      <rPr>
        <sz val="8"/>
        <rFont val="Arial"/>
        <family val="2"/>
      </rPr>
      <t xml:space="preserve">
</t>
    </r>
    <r>
      <rPr>
        <sz val="8"/>
        <color rgb="FFFF0000"/>
        <rFont val="Arial"/>
        <family val="2"/>
      </rPr>
      <t>DUE 28 FEB 2022</t>
    </r>
  </si>
  <si>
    <r>
      <t>IA 104
+
N 1568</t>
    </r>
    <r>
      <rPr>
        <sz val="8"/>
        <color rgb="FF0000FF"/>
        <rFont val="Arial"/>
        <family val="2"/>
      </rPr>
      <t xml:space="preserve">
</t>
    </r>
    <r>
      <rPr>
        <sz val="8"/>
        <color rgb="FFFF0000"/>
        <rFont val="Arial"/>
        <family val="2"/>
      </rPr>
      <t>DUE 28 FEB 2022</t>
    </r>
  </si>
  <si>
    <t>MARCH 2022 Total =</t>
  </si>
  <si>
    <t>D000383513</t>
  </si>
  <si>
    <t>D000383515</t>
  </si>
  <si>
    <r>
      <rPr>
        <b/>
        <sz val="10"/>
        <color rgb="FF0000FF"/>
        <rFont val="Arial"/>
        <family val="2"/>
      </rPr>
      <t xml:space="preserve">N </t>
    </r>
    <r>
      <rPr>
        <b/>
        <sz val="10"/>
        <rFont val="Arial"/>
        <family val="2"/>
      </rPr>
      <t xml:space="preserve">1252
</t>
    </r>
    <r>
      <rPr>
        <b/>
        <sz val="10"/>
        <color rgb="FF0000FF"/>
        <rFont val="Arial"/>
        <family val="2"/>
      </rPr>
      <t>Negotiated
Stage 5b Building B</t>
    </r>
    <r>
      <rPr>
        <b/>
        <sz val="10"/>
        <rFont val="Arial"/>
        <family val="2"/>
      </rPr>
      <t xml:space="preserve">
</t>
    </r>
    <r>
      <rPr>
        <sz val="10"/>
        <color rgb="FFFF0000"/>
        <rFont val="Arial"/>
        <family val="2"/>
      </rPr>
      <t>(PC21/0649 issued 2/02/2022)</t>
    </r>
  </si>
  <si>
    <t>MCU21/0182
Approved: 10/03/2022
Issued 14/03/2022</t>
  </si>
  <si>
    <t>Three F Pty Ltd</t>
  </si>
  <si>
    <t xml:space="preserve">19 Werin St 
Tewantin Qld 4565 </t>
  </si>
  <si>
    <t>Lot 1 RP 88534</t>
  </si>
  <si>
    <r>
      <rPr>
        <b/>
        <sz val="10"/>
        <color rgb="FF0000FF"/>
        <rFont val="Arial"/>
        <family val="2"/>
      </rPr>
      <t xml:space="preserve">N </t>
    </r>
    <r>
      <rPr>
        <b/>
        <sz val="10"/>
        <rFont val="Arial"/>
        <family val="2"/>
      </rPr>
      <t xml:space="preserve">1358
</t>
    </r>
    <r>
      <rPr>
        <b/>
        <strike/>
        <sz val="10"/>
        <color rgb="FF0000FF"/>
        <rFont val="Arial"/>
        <family val="2"/>
      </rPr>
      <t>Negotiated</t>
    </r>
    <r>
      <rPr>
        <b/>
        <sz val="10"/>
        <color rgb="FF0000FF"/>
        <rFont val="Arial"/>
        <family val="2"/>
      </rPr>
      <t xml:space="preserve">
Amended
</t>
    </r>
    <r>
      <rPr>
        <i/>
        <sz val="10"/>
        <color rgb="FF0000FF"/>
        <rFont val="Arial"/>
        <family val="2"/>
      </rPr>
      <t>PC20/1389 - CoC 8/12/2021</t>
    </r>
    <r>
      <rPr>
        <b/>
        <sz val="10"/>
        <color rgb="FF0000FF"/>
        <rFont val="Arial"/>
        <family val="2"/>
      </rPr>
      <t xml:space="preserve">
</t>
    </r>
  </si>
  <si>
    <t>D000383791</t>
  </si>
  <si>
    <t xml:space="preserve">PC21/1455
Approved: 7/03/2022
Received &amp; Registered by NSC 10/03/2022
</t>
  </si>
  <si>
    <t>Building Work
Re: Urban Certifiers Approval: 11040</t>
  </si>
  <si>
    <t>Osborne Family Builders</t>
  </si>
  <si>
    <t>PO Box 616
Mooloolaba QLD 4557</t>
  </si>
  <si>
    <t>Lot 49 RP 132405</t>
  </si>
  <si>
    <t>22 Sunset Drive
NOOSA HEADS QLD 4567</t>
  </si>
  <si>
    <t>D000383996</t>
  </si>
  <si>
    <t>MARCH 2022
Total =</t>
  </si>
  <si>
    <t>Building Work
Re: Speedy Building Certifications - Approval QLD20210365 &amp; Amended by Approval QLD20220365</t>
  </si>
  <si>
    <t>INVIDA</t>
  </si>
  <si>
    <t>PO Box 1584
BUDERIM QLD 4556</t>
  </si>
  <si>
    <t>26 Dun St 
TEWANTIN QLD 4565</t>
  </si>
  <si>
    <t>Lot 75 SP 113205</t>
  </si>
  <si>
    <t xml:space="preserve">PC21/1554 - Amended
Approved: 9/03/2022
Received &amp; Registered by NSC 14/03/2022
</t>
  </si>
  <si>
    <t>Rooming Accommodation = 5 x 1 bedroom suites</t>
  </si>
  <si>
    <t xml:space="preserve">PC22/0007
Approved: 9/03/2022
Received &amp; Registered by NSC 11/03/2022
</t>
  </si>
  <si>
    <t>Building Work
Re: Nash Building Constructtors Pty Ltd
Decision Notice: 210215</t>
  </si>
  <si>
    <t>Nash Building Constructors Pty Ltd</t>
  </si>
  <si>
    <t>2 x 1 bedroom cabins for short stay (additional to existing)
However require equivalent credit for Road contributions paid under 23572 DA (132003.221101.1)</t>
  </si>
  <si>
    <t>MCU21/0192
Approved: 15/03/2022
Issued 17/03/2022</t>
  </si>
  <si>
    <t>AG Flanagan &amp; SA Tye</t>
  </si>
  <si>
    <t>Lot 108 RP 94566</t>
  </si>
  <si>
    <t>164 Edwards St Sunshine Beach Qld 4567</t>
  </si>
  <si>
    <t>Dual Occupancy = 2 x 2 bed units</t>
  </si>
  <si>
    <r>
      <rPr>
        <b/>
        <sz val="8"/>
        <color rgb="FF0000FF"/>
        <rFont val="Arial"/>
        <family val="2"/>
      </rPr>
      <t>Paid</t>
    </r>
    <r>
      <rPr>
        <sz val="8"/>
        <color rgb="FF0000FF"/>
        <rFont val="Arial"/>
        <family val="2"/>
      </rPr>
      <t xml:space="preserve">
part payment</t>
    </r>
  </si>
  <si>
    <t xml:space="preserve">PC22/0251
Approved: 28/02/2022
Received &amp; Registered by NSC 01/03/2022
</t>
  </si>
  <si>
    <t>Building Work
Re: Jim Locke Consultants Pty Ltd
Decision Notice: 220035</t>
  </si>
  <si>
    <t>PO Box 161
TEWANTIN QLD 4565</t>
  </si>
  <si>
    <t>Lot 14 RP 805803</t>
  </si>
  <si>
    <t>14 Martin Street
COORAN QLD 4569</t>
  </si>
  <si>
    <t>D000385037</t>
  </si>
  <si>
    <t>MCU15/0109.04
Approved: 17/03/2022
Issued 22/03/2022</t>
  </si>
  <si>
    <t>75 Resort Dr 
Noosa Heads QLD 4567</t>
  </si>
  <si>
    <t xml:space="preserve">Lot 8000 SP 305580
formerly Lot 7 SP 178340 </t>
  </si>
  <si>
    <t>Additional Managers Unit = 1 x 1 bedroom unit</t>
  </si>
  <si>
    <t>Building Work
Re: Pure Building Approvals
Decision Notice: 20219532</t>
  </si>
  <si>
    <t>Robinson Architects</t>
  </si>
  <si>
    <t>67 Memorial Drive
EUMUNDI QLD 4562</t>
  </si>
  <si>
    <t>PC22/0148
Approved: 25/02/2022
Received &amp; Registered by NSC 25/02/2022</t>
  </si>
  <si>
    <t>PC21/0624
Approved: 25/02/2022
Received &amp; Registered by NSC 3/03/2022</t>
  </si>
  <si>
    <t>Building Work
Re: Pure Building Approvals
Decision Notice: 20220076</t>
  </si>
  <si>
    <t>Mary &amp; Liam Martin</t>
  </si>
  <si>
    <t>28 Lorilet Street
PEREGIAN BEACH QLD 4573</t>
  </si>
  <si>
    <t>Lot 408 P 93147</t>
  </si>
  <si>
    <t xml:space="preserve">PC22/0274
Approved: 3/03/2022
Received &amp; Registered by NSC 3/03/2022
</t>
  </si>
  <si>
    <t>Lot 6 RP 220975</t>
  </si>
  <si>
    <t>39 Gilsons Road
COOTHARABA QLD 4565</t>
  </si>
  <si>
    <t xml:space="preserve">PAID Stg Pmt 2 </t>
  </si>
  <si>
    <r>
      <rPr>
        <b/>
        <sz val="10"/>
        <color rgb="FF0000FF"/>
        <rFont val="Arial"/>
        <family val="2"/>
      </rPr>
      <t xml:space="preserve">N </t>
    </r>
    <r>
      <rPr>
        <b/>
        <sz val="10"/>
        <rFont val="Arial"/>
        <family val="2"/>
      </rPr>
      <t>1754</t>
    </r>
    <r>
      <rPr>
        <sz val="11"/>
        <color theme="1"/>
        <rFont val="Calibri"/>
        <family val="2"/>
        <scheme val="minor"/>
      </rPr>
      <t/>
    </r>
  </si>
  <si>
    <r>
      <rPr>
        <b/>
        <sz val="10"/>
        <color rgb="FF0000FF"/>
        <rFont val="Arial"/>
        <family val="2"/>
      </rPr>
      <t xml:space="preserve">N </t>
    </r>
    <r>
      <rPr>
        <b/>
        <sz val="10"/>
        <rFont val="Arial"/>
        <family val="2"/>
      </rPr>
      <t>1755</t>
    </r>
    <r>
      <rPr>
        <sz val="11"/>
        <color theme="1"/>
        <rFont val="Calibri"/>
        <family val="2"/>
        <scheme val="minor"/>
      </rPr>
      <t/>
    </r>
  </si>
  <si>
    <r>
      <rPr>
        <b/>
        <sz val="10"/>
        <color rgb="FF0000FF"/>
        <rFont val="Arial"/>
        <family val="2"/>
      </rPr>
      <t xml:space="preserve">N </t>
    </r>
    <r>
      <rPr>
        <b/>
        <sz val="10"/>
        <rFont val="Arial"/>
        <family val="2"/>
      </rPr>
      <t>1756</t>
    </r>
    <r>
      <rPr>
        <sz val="11"/>
        <color theme="1"/>
        <rFont val="Calibri"/>
        <family val="2"/>
        <scheme val="minor"/>
      </rPr>
      <t/>
    </r>
  </si>
  <si>
    <r>
      <rPr>
        <b/>
        <sz val="10"/>
        <color rgb="FF0000FF"/>
        <rFont val="Arial"/>
        <family val="2"/>
      </rPr>
      <t xml:space="preserve">N </t>
    </r>
    <r>
      <rPr>
        <b/>
        <sz val="10"/>
        <rFont val="Arial"/>
        <family val="2"/>
      </rPr>
      <t>1758</t>
    </r>
    <r>
      <rPr>
        <sz val="11"/>
        <color theme="1"/>
        <rFont val="Calibri"/>
        <family val="2"/>
        <scheme val="minor"/>
      </rPr>
      <t/>
    </r>
  </si>
  <si>
    <r>
      <rPr>
        <b/>
        <sz val="10"/>
        <color rgb="FF0000FF"/>
        <rFont val="Arial"/>
        <family val="2"/>
      </rPr>
      <t xml:space="preserve">N </t>
    </r>
    <r>
      <rPr>
        <b/>
        <sz val="10"/>
        <rFont val="Arial"/>
        <family val="2"/>
      </rPr>
      <t>1765</t>
    </r>
    <r>
      <rPr>
        <sz val="11"/>
        <color theme="1"/>
        <rFont val="Calibri"/>
        <family val="2"/>
        <scheme val="minor"/>
      </rPr>
      <t/>
    </r>
  </si>
  <si>
    <r>
      <rPr>
        <b/>
        <sz val="10"/>
        <color rgb="FF0000FF"/>
        <rFont val="Arial"/>
        <family val="2"/>
      </rPr>
      <t xml:space="preserve">N </t>
    </r>
    <r>
      <rPr>
        <b/>
        <sz val="10"/>
        <rFont val="Arial"/>
        <family val="2"/>
      </rPr>
      <t>1766</t>
    </r>
    <r>
      <rPr>
        <sz val="11"/>
        <color theme="1"/>
        <rFont val="Calibri"/>
        <family val="2"/>
        <scheme val="minor"/>
      </rPr>
      <t/>
    </r>
  </si>
  <si>
    <r>
      <rPr>
        <b/>
        <sz val="10"/>
        <color rgb="FF0000FF"/>
        <rFont val="Arial"/>
        <family val="2"/>
      </rPr>
      <t xml:space="preserve">N </t>
    </r>
    <r>
      <rPr>
        <b/>
        <sz val="10"/>
        <rFont val="Arial"/>
        <family val="2"/>
      </rPr>
      <t>1767</t>
    </r>
    <r>
      <rPr>
        <sz val="11"/>
        <color theme="1"/>
        <rFont val="Calibri"/>
        <family val="2"/>
        <scheme val="minor"/>
      </rPr>
      <t/>
    </r>
  </si>
  <si>
    <r>
      <rPr>
        <b/>
        <sz val="10"/>
        <color rgb="FF0000FF"/>
        <rFont val="Arial"/>
        <family val="2"/>
      </rPr>
      <t xml:space="preserve">N </t>
    </r>
    <r>
      <rPr>
        <b/>
        <sz val="10"/>
        <rFont val="Arial"/>
        <family val="2"/>
      </rPr>
      <t>1768</t>
    </r>
    <r>
      <rPr>
        <sz val="11"/>
        <color theme="1"/>
        <rFont val="Calibri"/>
        <family val="2"/>
        <scheme val="minor"/>
      </rPr>
      <t/>
    </r>
  </si>
  <si>
    <r>
      <rPr>
        <b/>
        <sz val="10"/>
        <color rgb="FF0000FF"/>
        <rFont val="Arial"/>
        <family val="2"/>
      </rPr>
      <t xml:space="preserve">N </t>
    </r>
    <r>
      <rPr>
        <b/>
        <sz val="10"/>
        <rFont val="Arial"/>
        <family val="2"/>
      </rPr>
      <t>1769</t>
    </r>
    <r>
      <rPr>
        <sz val="11"/>
        <color theme="1"/>
        <rFont val="Calibri"/>
        <family val="2"/>
        <scheme val="minor"/>
      </rPr>
      <t/>
    </r>
  </si>
  <si>
    <r>
      <rPr>
        <b/>
        <sz val="10"/>
        <color rgb="FF0000FF"/>
        <rFont val="Arial"/>
        <family val="2"/>
      </rPr>
      <t xml:space="preserve">N </t>
    </r>
    <r>
      <rPr>
        <b/>
        <sz val="10"/>
        <rFont val="Arial"/>
        <family val="2"/>
      </rPr>
      <t>1770</t>
    </r>
    <r>
      <rPr>
        <sz val="11"/>
        <color theme="1"/>
        <rFont val="Calibri"/>
        <family val="2"/>
        <scheme val="minor"/>
      </rPr>
      <t/>
    </r>
  </si>
  <si>
    <r>
      <rPr>
        <b/>
        <sz val="10"/>
        <color rgb="FF0000FF"/>
        <rFont val="Arial"/>
        <family val="2"/>
      </rPr>
      <t xml:space="preserve">N </t>
    </r>
    <r>
      <rPr>
        <b/>
        <sz val="10"/>
        <rFont val="Arial"/>
        <family val="2"/>
      </rPr>
      <t>1774</t>
    </r>
    <r>
      <rPr>
        <sz val="11"/>
        <color theme="1"/>
        <rFont val="Calibri"/>
        <family val="2"/>
        <scheme val="minor"/>
      </rPr>
      <t/>
    </r>
  </si>
  <si>
    <r>
      <rPr>
        <b/>
        <sz val="10"/>
        <color rgb="FF0000FF"/>
        <rFont val="Arial"/>
        <family val="2"/>
      </rPr>
      <t xml:space="preserve">N </t>
    </r>
    <r>
      <rPr>
        <b/>
        <sz val="10"/>
        <rFont val="Arial"/>
        <family val="2"/>
      </rPr>
      <t>1775</t>
    </r>
    <r>
      <rPr>
        <sz val="11"/>
        <color theme="1"/>
        <rFont val="Calibri"/>
        <family val="2"/>
        <scheme val="minor"/>
      </rPr>
      <t/>
    </r>
  </si>
  <si>
    <t>D000385985</t>
  </si>
  <si>
    <t>51989.628.01 
Approved: 23/03/2022
Issued 28/03/2022</t>
  </si>
  <si>
    <t>TA Wakeham &amp; Body Corporate - Emma Kingston Court Cts 4543</t>
  </si>
  <si>
    <t xml:space="preserve">Emma Kingston Court 
4/2 Church St 
Pomona Qld 4568 </t>
  </si>
  <si>
    <t>Lot 4 BUP 11021</t>
  </si>
  <si>
    <t>1 x 3 bed dwelling</t>
  </si>
  <si>
    <t>Change to existing approval applicable to Unit 4</t>
  </si>
  <si>
    <t>PC22/0128
Approved: 22/03/2022
Received &amp; Registered by NSC: 22/03/2022</t>
  </si>
  <si>
    <t>PC22/0132
Approved: 15/03/2022
Received &amp; Registered by NSC: 18/03/2023</t>
  </si>
  <si>
    <t xml:space="preserve">Building Work
Re: Project B.A
Decision Notice: 20215656
</t>
  </si>
  <si>
    <t xml:space="preserve">Building Work
Re: Fluid Building Approvals
Decision Notice: 6457/21
</t>
  </si>
  <si>
    <t xml:space="preserve">Building Work
Re: Earthcert Building Approvals
Decision Notice: 220047
</t>
  </si>
  <si>
    <t>Lot 4 SP 326957</t>
  </si>
  <si>
    <t>9A Butler Street
TEWANTIN QLD 4565</t>
  </si>
  <si>
    <t>Peter Berry</t>
  </si>
  <si>
    <t>PO Box 360
POMONA QLD 4568</t>
  </si>
  <si>
    <t>Lot 3 SP 270052</t>
  </si>
  <si>
    <t>1911 Cooroy Gympie Road 
FEDERAL QLD 4568</t>
  </si>
  <si>
    <t>RAL21/0028
Approved: 25/03/2022
Issued: 30/03/2022</t>
  </si>
  <si>
    <t>GE Grams &amp; LK Grams</t>
  </si>
  <si>
    <t>C/- Pivotal Perspective Pty Ltd
95/3 Hilton Tce
NOOSAVILLE QLD 4566</t>
  </si>
  <si>
    <t xml:space="preserve">53-57 Rene St 
Noosaville Qld 4566 </t>
  </si>
  <si>
    <t xml:space="preserve">Lot 281 SP 104321 </t>
  </si>
  <si>
    <t>1 x Non-Reseidentional Industrial lot (with 2 industrial shed)</t>
  </si>
  <si>
    <r>
      <t xml:space="preserve">2 x Non-Reseidentional Industrial lot 
(1 Lot with the existing 2 industrial sheds + </t>
    </r>
    <r>
      <rPr>
        <b/>
        <sz val="10"/>
        <rFont val="Arial"/>
        <family val="2"/>
      </rPr>
      <t>1 x additional Vacant Lot</t>
    </r>
    <r>
      <rPr>
        <sz val="10"/>
        <rFont val="Arial"/>
        <family val="2"/>
      </rPr>
      <t>)</t>
    </r>
  </si>
  <si>
    <r>
      <t xml:space="preserve">Community Use - Education – Type 3 Adult &amp; interchangable with Commercial business Type 3 – Veterinary = 675 m2 gfa
+
</t>
    </r>
    <r>
      <rPr>
        <b/>
        <sz val="10"/>
        <rFont val="Arial"/>
        <family val="2"/>
      </rPr>
      <t>1766 m2 impervious area (STAGE C)</t>
    </r>
    <r>
      <rPr>
        <sz val="10"/>
        <rFont val="Arial"/>
        <family val="2"/>
      </rPr>
      <t xml:space="preserve">
</t>
    </r>
  </si>
  <si>
    <r>
      <rPr>
        <b/>
        <sz val="10"/>
        <color rgb="FF0000FF"/>
        <rFont val="Arial"/>
        <family val="2"/>
      </rPr>
      <t>PAID Stage C</t>
    </r>
    <r>
      <rPr>
        <sz val="10"/>
        <color rgb="FF0000FF"/>
        <rFont val="Arial"/>
        <family val="2"/>
      </rPr>
      <t xml:space="preserve"> Stormwater component = $19,353.00</t>
    </r>
  </si>
  <si>
    <t>Stage D</t>
  </si>
  <si>
    <r>
      <rPr>
        <b/>
        <sz val="10"/>
        <color rgb="FF0000FF"/>
        <rFont val="Arial"/>
        <family val="2"/>
      </rPr>
      <t>Stage C = Stormwater 1766m2 Impervious area =  = $18,101.00</t>
    </r>
    <r>
      <rPr>
        <sz val="10"/>
        <color rgb="FF0000FF"/>
        <rFont val="Arial"/>
        <family val="2"/>
      </rPr>
      <t xml:space="preserve">
Stage D = 675m2 gfa = $58,097.00</t>
    </r>
  </si>
  <si>
    <r>
      <rPr>
        <b/>
        <sz val="10"/>
        <color rgb="FF0000FF"/>
        <rFont val="Arial"/>
        <family val="2"/>
      </rPr>
      <t xml:space="preserve">N </t>
    </r>
    <r>
      <rPr>
        <b/>
        <sz val="10"/>
        <rFont val="Arial"/>
        <family val="2"/>
      </rPr>
      <t xml:space="preserve">1461
</t>
    </r>
    <r>
      <rPr>
        <sz val="10"/>
        <color rgb="FFFF0000"/>
        <rFont val="Arial"/>
        <family val="2"/>
      </rPr>
      <t xml:space="preserve">Stage C at grade sealed carpark completed &amp; Paid 
</t>
    </r>
    <r>
      <rPr>
        <b/>
        <sz val="10"/>
        <color rgb="FFFF0000"/>
        <rFont val="Arial"/>
        <family val="2"/>
      </rPr>
      <t xml:space="preserve">Stage D building stories 2-3 Remain </t>
    </r>
    <r>
      <rPr>
        <b/>
        <sz val="10"/>
        <rFont val="Arial"/>
        <family val="2"/>
      </rPr>
      <t xml:space="preserve">
</t>
    </r>
  </si>
  <si>
    <t>D000386581</t>
  </si>
  <si>
    <t>Lots 80 &amp; 81 RP 71151 + 1 RP 130594</t>
  </si>
  <si>
    <t>89, 91 &amp; 93 Eumundi Noosa Road
NOOSAVILLE QLD 4566</t>
  </si>
  <si>
    <t>Building Work
Re: Fluid Building Approvals
Decision Notice: 6232/21</t>
  </si>
  <si>
    <t xml:space="preserve">GJ Gardner Homes </t>
  </si>
  <si>
    <t>1 Pine Tree Drive
LAKE MACDONALD QLD 4563</t>
  </si>
  <si>
    <t>DBW22/0010
Approved: 05/04/2022
Issued: 06/04/2022</t>
  </si>
  <si>
    <t>Building Works United QLD</t>
  </si>
  <si>
    <t>PO Box 724
COOLUM BEACH QLD 4573</t>
  </si>
  <si>
    <t>Lot 47 SP 109955</t>
  </si>
  <si>
    <t>26 Craigslea Court
COOROIBAH QLD 4565</t>
  </si>
  <si>
    <t>D000388185</t>
  </si>
  <si>
    <t>APRIL 2022
Total =</t>
  </si>
  <si>
    <t>Multiple Dwelling = 
4 x 3 bed units + 18 x 2 bed units</t>
  </si>
  <si>
    <t>3 x residential lots 
(2 with dwelling house)</t>
  </si>
  <si>
    <t>MCU21/0156
Approved: 4/04/2022
Issued: 11/04/2022</t>
  </si>
  <si>
    <t xml:space="preserve">Davrus Pty Ltd Tte
</t>
  </si>
  <si>
    <r>
      <t xml:space="preserve">PAID Stg Pmt 3
</t>
    </r>
    <r>
      <rPr>
        <sz val="10"/>
        <color rgb="FF0000FF"/>
        <rFont val="Arial"/>
        <family val="2"/>
      </rPr>
      <t xml:space="preserve">(incl deduction for Stg Pmt 2  $20 overpayment) </t>
    </r>
  </si>
  <si>
    <t>D000388966</t>
  </si>
  <si>
    <r>
      <rPr>
        <b/>
        <sz val="10"/>
        <color rgb="FF0000FF"/>
        <rFont val="Arial"/>
        <family val="2"/>
      </rPr>
      <t xml:space="preserve">N </t>
    </r>
    <r>
      <rPr>
        <b/>
        <sz val="10"/>
        <rFont val="Arial"/>
        <family val="2"/>
      </rPr>
      <t xml:space="preserve">1226
</t>
    </r>
    <r>
      <rPr>
        <b/>
        <sz val="10"/>
        <color rgb="FF0000FF"/>
        <rFont val="Arial"/>
        <family val="2"/>
      </rPr>
      <t xml:space="preserve">+ </t>
    </r>
    <r>
      <rPr>
        <sz val="10"/>
        <color rgb="FF0000FF"/>
        <rFont val="Arial"/>
        <family val="2"/>
      </rPr>
      <t xml:space="preserve">07/0616 Condition 51 contributions 
&amp; IA#19 (Stormwater)
19/09/2013
</t>
    </r>
    <r>
      <rPr>
        <b/>
        <sz val="10"/>
        <color rgb="FFFF0000"/>
        <rFont val="Arial"/>
        <family val="2"/>
      </rPr>
      <t>LAPSED 8/04/2022</t>
    </r>
  </si>
  <si>
    <r>
      <t xml:space="preserve">132007.616.04
</t>
    </r>
    <r>
      <rPr>
        <sz val="10"/>
        <color rgb="FF0000FF"/>
        <rFont val="Arial"/>
        <family val="2"/>
      </rPr>
      <t xml:space="preserve">132007.616.05
</t>
    </r>
    <r>
      <rPr>
        <sz val="10"/>
        <color rgb="FFFF0000"/>
        <rFont val="Arial"/>
        <family val="2"/>
      </rPr>
      <t>PC20/0283 for detached house finalised 25/05/2021</t>
    </r>
  </si>
  <si>
    <r>
      <t xml:space="preserve">N/A
</t>
    </r>
    <r>
      <rPr>
        <sz val="8"/>
        <rFont val="Arial"/>
        <family val="2"/>
      </rPr>
      <t xml:space="preserve">+ </t>
    </r>
    <r>
      <rPr>
        <sz val="8"/>
        <color rgb="FF0000FF"/>
        <rFont val="Arial"/>
        <family val="2"/>
      </rPr>
      <t xml:space="preserve">IA 19 19/09/2013
+ ICN.N1226
</t>
    </r>
    <r>
      <rPr>
        <b/>
        <sz val="8"/>
        <color rgb="FFFF0000"/>
        <rFont val="Arial"/>
        <family val="2"/>
      </rPr>
      <t>LAPSED 8/04/2022</t>
    </r>
  </si>
  <si>
    <t>PC21/1142
Approved: 02/09/2021
Received &amp; Registered by NSC: 31/03/2022</t>
  </si>
  <si>
    <t>Building Work
Re: Cornerstone Building Approvals
Decision Notice: 00005790</t>
  </si>
  <si>
    <t>PC21/1582
Approved: 06/04/2022
Received &amp; Registered by NSC: 07/04/2022</t>
  </si>
  <si>
    <t>PC22/0154
Approved: 24/03/2022
Received &amp; Registered by NSC: 07/04/2022</t>
  </si>
  <si>
    <t>Building Work
Re: Suncoast Building Approvals - Decision Notice: 00014694</t>
  </si>
  <si>
    <t>Building Work
Re: Suncoast Building Approvals - Decision Notice: 00015513</t>
  </si>
  <si>
    <t>Thompson Sustainable Hoes Pty Ltd</t>
  </si>
  <si>
    <t>PO Box 779
MOOLOOLABA QLD 4557</t>
  </si>
  <si>
    <t>Lot 131 SP 215921</t>
  </si>
  <si>
    <t>34 Outlook Drive
TEWANTIN QLD 4557</t>
  </si>
  <si>
    <t>Focus Renovations</t>
  </si>
  <si>
    <t>4 Glen Close
BUDERIM QLD 4556</t>
  </si>
  <si>
    <t>Lot 5 SP 168351</t>
  </si>
  <si>
    <t>317 Dath Henderson Drive
TINBEERWAY QLD 4563</t>
  </si>
  <si>
    <t>19 Tree Street
POMONA QLD 4568</t>
  </si>
  <si>
    <t>Lot 12 SP 103511</t>
  </si>
  <si>
    <t>199 Highfield Rise POMONA QLD 4568</t>
  </si>
  <si>
    <t>PC21/0304
Approved: 09/04/2022
Received &amp; Registered by NSC: 11/04/2022</t>
  </si>
  <si>
    <t>Building Work
Re: Pacific BCQ Building Certification - Decision Notice: 20200380</t>
  </si>
  <si>
    <t>A &amp; S Hayllar</t>
  </si>
  <si>
    <t>104 Woodhaven Way 
COOROIBAH QLD 4565</t>
  </si>
  <si>
    <t>Lot 31 RP 891766</t>
  </si>
  <si>
    <t>19/04/2022 Review revealled existing primary house is &amp; will remain as a 1 bedroom dwelling &amp; hence total development does not exceed lot credit so no charge is applicable.</t>
  </si>
  <si>
    <r>
      <rPr>
        <b/>
        <sz val="10"/>
        <color rgb="FF0000FF"/>
        <rFont val="Arial"/>
        <family val="2"/>
      </rPr>
      <t xml:space="preserve">N </t>
    </r>
    <r>
      <rPr>
        <b/>
        <sz val="10"/>
        <rFont val="Arial"/>
        <family val="2"/>
      </rPr>
      <t xml:space="preserve">1733
</t>
    </r>
    <r>
      <rPr>
        <sz val="10"/>
        <color rgb="FFFF0000"/>
        <rFont val="Arial"/>
        <family val="2"/>
      </rPr>
      <t>Final Inspection Cert issued 29/03/2022
DUE 12 MAY 2022</t>
    </r>
  </si>
  <si>
    <r>
      <t xml:space="preserve">Delayed Staged Payment Agreement approved 21/04/2022 incl 5% admin fee
</t>
    </r>
    <r>
      <rPr>
        <b/>
        <sz val="10"/>
        <color rgb="FFFF0000"/>
        <rFont val="Arial"/>
        <family val="2"/>
      </rPr>
      <t>Stg Pmt 1 = $6,916.00 due 23 May 2022</t>
    </r>
    <r>
      <rPr>
        <sz val="10"/>
        <color rgb="FF0000FF"/>
        <rFont val="Arial"/>
        <family val="2"/>
      </rPr>
      <t xml:space="preserve">
Bal Pmt = $20,747.00 due by 23 May 2023</t>
    </r>
  </si>
  <si>
    <t>D000390736</t>
  </si>
  <si>
    <t>MCU20/0002.01 
Approved: 20/04/2022
Issued: 21/04/2022</t>
  </si>
  <si>
    <t>Stay Property Group</t>
  </si>
  <si>
    <t>Lot 1 BUP 102401</t>
  </si>
  <si>
    <t xml:space="preserve">Seven Flags 1/195 Weyba Rd Noosaville Qld 4566 </t>
  </si>
  <si>
    <t>Change
Food &amp; Drink outlet = 31.2m2 gfa
No change to impervious</t>
  </si>
  <si>
    <t>Office = 15.6m2</t>
  </si>
  <si>
    <t>MCU21/0214
Approved: 20/04/2022
Issued: 26/04/2022</t>
  </si>
  <si>
    <t xml:space="preserve">Novato Group P/L TTE </t>
  </si>
  <si>
    <t xml:space="preserve">C/- Pivotal Perspective Pty Ltd 
95/3 Hilton Tce 
NOOSAVILLE QLD 4566 </t>
  </si>
  <si>
    <t>27 Bottlebrush Ave 
NOOSA HEADS QLD 4567</t>
  </si>
  <si>
    <t>Lot 138 RP 88934</t>
  </si>
  <si>
    <t>Multiple Dwelling = 1 x 3 bedroom unit + 
4 x 2 bedroom units</t>
  </si>
  <si>
    <r>
      <rPr>
        <b/>
        <sz val="8"/>
        <color rgb="FF0000FF"/>
        <rFont val="Arial"/>
        <family val="2"/>
      </rPr>
      <t>Stg Pmt 2</t>
    </r>
    <r>
      <rPr>
        <sz val="8"/>
        <color rgb="FF0000FF"/>
        <rFont val="Arial"/>
        <family val="2"/>
      </rPr>
      <t xml:space="preserve">
Final part pmt
</t>
    </r>
  </si>
  <si>
    <t>D000391622</t>
  </si>
  <si>
    <r>
      <t xml:space="preserve">Visitor Accommodation
Type 3 Rural </t>
    </r>
    <r>
      <rPr>
        <strike/>
        <sz val="10"/>
        <rFont val="Arial"/>
        <family val="2"/>
      </rPr>
      <t>(3 x 2 bed Cabins)</t>
    </r>
    <r>
      <rPr>
        <sz val="10"/>
        <rFont val="Arial"/>
        <family val="2"/>
      </rPr>
      <t xml:space="preserve"> 
</t>
    </r>
    <r>
      <rPr>
        <sz val="10"/>
        <color rgb="FF0000FF"/>
        <rFont val="Arial"/>
        <family val="2"/>
      </rPr>
      <t>(1x3 bed Cabin + 1xSecondary dwelling)</t>
    </r>
  </si>
  <si>
    <r>
      <rPr>
        <strike/>
        <sz val="10"/>
        <rFont val="Arial"/>
        <family val="2"/>
      </rPr>
      <t xml:space="preserve">24/09/2018
</t>
    </r>
    <r>
      <rPr>
        <strike/>
        <sz val="10"/>
        <color rgb="FFFF0000"/>
        <rFont val="Arial"/>
        <family val="2"/>
      </rPr>
      <t>4/02/2021</t>
    </r>
    <r>
      <rPr>
        <sz val="10"/>
        <color rgb="FFFF0000"/>
        <rFont val="Arial"/>
        <family val="2"/>
      </rPr>
      <t xml:space="preserve">
</t>
    </r>
    <r>
      <rPr>
        <strike/>
        <sz val="10"/>
        <color rgb="FFFF0000"/>
        <rFont val="Arial"/>
        <family val="2"/>
      </rPr>
      <t>8/06/2021</t>
    </r>
    <r>
      <rPr>
        <sz val="10"/>
        <rFont val="Arial"/>
        <family val="2"/>
      </rPr>
      <t xml:space="preserve">
</t>
    </r>
    <r>
      <rPr>
        <sz val="10"/>
        <color rgb="FFFF0000"/>
        <rFont val="Arial"/>
        <family val="2"/>
      </rPr>
      <t>28/04/2022</t>
    </r>
  </si>
  <si>
    <t>will not lapse due to stg 1 completed</t>
  </si>
  <si>
    <t>TPA22/0004</t>
  </si>
  <si>
    <t>PC22/0045
Approved: 09/03/2022
Received &amp; Registered by NSC: 30/03/2022</t>
  </si>
  <si>
    <t>Deb McCubbin</t>
  </si>
  <si>
    <t>1 Pottery Street,
POMONA QLD 4568</t>
  </si>
  <si>
    <t>12 RP 890948</t>
  </si>
  <si>
    <t>Building Work
Re: Earthcert Building Approvals - Decision Notice 220028</t>
  </si>
  <si>
    <t>MCU21/0206
Approved: 26/04/2022
Issued: 27/04/2022</t>
  </si>
  <si>
    <t>Ejmont Nominees Pty Ltd</t>
  </si>
  <si>
    <t>C/- Building Suncoast Green 
6 Lorraine Ave
MARCOOLA  QLD  4564</t>
  </si>
  <si>
    <t xml:space="preserve">1 Taylor Ct 
Cooroy Qld 4563 </t>
  </si>
  <si>
    <t xml:space="preserve">Lot 6 SP 197517 </t>
  </si>
  <si>
    <t xml:space="preserve">equivalent credit for previously paid contributions under 2005/2159 
• Industry credit = 33% x Lot Area 6,371m2 = 2,102 m2 GFA equivalent credit 
• Nil credit applies for stormwater impervious area. </t>
  </si>
  <si>
    <t>Industry = 3,499 m2 gfa
+ 
5,055 m2 impervious area</t>
  </si>
  <si>
    <t>D000392981</t>
  </si>
  <si>
    <t>Bosch Builders</t>
  </si>
  <si>
    <t>PO Box 228,
BUDERIM QLD 4556</t>
  </si>
  <si>
    <t>112 Woodhaven Way COOROIBAH QLD 4565</t>
  </si>
  <si>
    <t>Lot 29 RP 891766</t>
  </si>
  <si>
    <t>Building Work
Re: Sunshine Coast Building Approvals &amp; Inspection Services - Permit No. 220224</t>
  </si>
  <si>
    <t>PC22/0494 
Approved: 27/04/2022
Received &amp; Registered by NSC: 28/04/2022</t>
  </si>
  <si>
    <t>MCU21/0215
Approved: 27/04/2022
Issued: 5/05/2022</t>
  </si>
  <si>
    <t xml:space="preserve">9 Dot </t>
  </si>
  <si>
    <t xml:space="preserve">C/- Martoo Consulting Pty Ltd 
PO Box 1684 
NOOSA HEADS QLD 4567 </t>
  </si>
  <si>
    <t>9 Bartlett Rd, 
NOOSAVILLE QLD 4566</t>
  </si>
  <si>
    <t>48 RP 173566</t>
  </si>
  <si>
    <t>Warehouse = 857 m2 gfa 
+
1,298 m2 Impervious area</t>
  </si>
  <si>
    <t>Industry = 627 m2 gfa 
+
1,499 m2 Impervious area</t>
  </si>
  <si>
    <t>C/- Project BA
PO Box 45
NOOSAVILLE QLD 4567</t>
  </si>
  <si>
    <t>176 Dath Henderson Rd 
LAKE MACDONALD QLD 4563</t>
  </si>
  <si>
    <t>D000393693</t>
  </si>
  <si>
    <t>PC22/0518 
Approved: 3/05/2022
Received &amp; Registered by NSC: 5/05/2022</t>
  </si>
  <si>
    <t>Trevor &amp; Cathy Schouten
214 Louis Bazzo Dr
POMONA QLD 4568</t>
  </si>
  <si>
    <t>214 Louis Bazzo Dr
POMONA QLD 4568</t>
  </si>
  <si>
    <t>Lot 2 RP 187624</t>
  </si>
  <si>
    <t>Lot 3 RP 810712</t>
  </si>
  <si>
    <t>Building Work
Re: Sunshine Coast Building Approvals &amp; Inspection Services - Permit No. 220337</t>
  </si>
  <si>
    <t>D000394626</t>
  </si>
  <si>
    <t>MAY 2022
Total =</t>
  </si>
  <si>
    <t>RAL21/0018
Approved: 12/03/2022
Issued: 13/05/2022</t>
  </si>
  <si>
    <t>LF Petersen &amp; S Arnold</t>
  </si>
  <si>
    <t>C/- Max Watterson &amp; Associates PO Box 639 COOROY  QLD  4563</t>
  </si>
  <si>
    <t>Lot 233 MCH 4301</t>
  </si>
  <si>
    <t>130 Lake Macdonald Dr COOROY QLD 4563</t>
  </si>
  <si>
    <t>3 x residential lots</t>
  </si>
  <si>
    <r>
      <rPr>
        <b/>
        <sz val="10"/>
        <color rgb="FF0000FF"/>
        <rFont val="Arial"/>
        <family val="2"/>
      </rPr>
      <t xml:space="preserve">N </t>
    </r>
    <r>
      <rPr>
        <b/>
        <sz val="10"/>
        <rFont val="Arial"/>
        <family val="2"/>
      </rPr>
      <t xml:space="preserve">1582
</t>
    </r>
    <r>
      <rPr>
        <sz val="10"/>
        <color rgb="FFFF0000"/>
        <rFont val="Arial"/>
        <family val="2"/>
      </rPr>
      <t xml:space="preserve">Final Inspection Cert 31/03/2022
</t>
    </r>
    <r>
      <rPr>
        <sz val="8"/>
        <color rgb="FFFF0000"/>
        <rFont val="Arial"/>
        <family val="2"/>
      </rPr>
      <t xml:space="preserve">
DUE 26 MAY 2022</t>
    </r>
  </si>
  <si>
    <t>R Magee</t>
  </si>
  <si>
    <t>C/- Adapt Town Planning
PO Box 7618 
SIPPY DOWNS QLD 4556</t>
  </si>
  <si>
    <t>15 Jirrima Cres 
Cooroibah Qld 4565</t>
  </si>
  <si>
    <t xml:space="preserve">Lot 43 RP 136461 </t>
  </si>
  <si>
    <t>RAL21/0029
Approved: 16/03/2022
Issued: 17/05/2022</t>
  </si>
  <si>
    <t>D000395337</t>
  </si>
  <si>
    <r>
      <t xml:space="preserve">When the certificate of classification or final inspection certificate for the building work is given &amp;/or prior to occupancy of the building
</t>
    </r>
    <r>
      <rPr>
        <u/>
        <sz val="10"/>
        <color rgb="FF0000FF"/>
        <rFont val="Arial"/>
        <family val="2"/>
      </rPr>
      <t>And the sooner of</t>
    </r>
    <r>
      <rPr>
        <sz val="10"/>
        <color rgb="FF0000FF"/>
        <rFont val="Arial"/>
        <family val="2"/>
      </rPr>
      <t>:
(i) Commencement of any accommodation use;
or
(ii) On any sale of the property.</t>
    </r>
  </si>
  <si>
    <r>
      <rPr>
        <strike/>
        <sz val="10"/>
        <rFont val="Arial"/>
        <family val="2"/>
      </rPr>
      <t>5/05/2022</t>
    </r>
    <r>
      <rPr>
        <sz val="10"/>
        <rFont val="Arial"/>
        <family val="2"/>
      </rPr>
      <t xml:space="preserve">
</t>
    </r>
    <r>
      <rPr>
        <sz val="10"/>
        <color rgb="FF0000FF"/>
        <rFont val="Arial"/>
        <family val="2"/>
      </rPr>
      <t>17/05/2022</t>
    </r>
  </si>
  <si>
    <r>
      <t xml:space="preserve">Review of representations made 10/05/2022 advising intention as home office.
Decision made 17/05/2022 amending DUE DATE FOR PAYMENT to include:
</t>
    </r>
    <r>
      <rPr>
        <b/>
        <u/>
        <sz val="10"/>
        <color rgb="FF0000FF"/>
        <rFont val="Arial"/>
        <family val="2"/>
      </rPr>
      <t>And the sooner of:</t>
    </r>
    <r>
      <rPr>
        <b/>
        <sz val="10"/>
        <color rgb="FF0000FF"/>
        <rFont val="Arial"/>
        <family val="2"/>
      </rPr>
      <t xml:space="preserve">
(i) Commencement of any accommodation use;
or
(ii) On any sale of the property.</t>
    </r>
  </si>
  <si>
    <t>DBW22/0026
Approved: 16/05/2022
Issued: 18/05/2022</t>
  </si>
  <si>
    <t>Urban Certifiers</t>
  </si>
  <si>
    <t>PO Box 227
BLI BLI QLD 4560</t>
  </si>
  <si>
    <t>22 Sunset Dr 
Noosa Heads Qld 4567</t>
  </si>
  <si>
    <t xml:space="preserve">Lot 49 RP 132405 </t>
  </si>
  <si>
    <t>DBW22/0011
Approved: 17/05/2022
Issued: 20/05/2022</t>
  </si>
  <si>
    <t>11A Memorial Ave 
POMONA QLD 4568</t>
  </si>
  <si>
    <t xml:space="preserve">50 Gympie Kin Kin Rd, 
Kin Kin Qld 4571 </t>
  </si>
  <si>
    <t>Lot 2 SP 110812</t>
  </si>
  <si>
    <r>
      <rPr>
        <b/>
        <sz val="10"/>
        <color rgb="FF0000FF"/>
        <rFont val="Arial"/>
        <family val="2"/>
      </rPr>
      <t xml:space="preserve">N </t>
    </r>
    <r>
      <rPr>
        <b/>
        <sz val="10"/>
        <rFont val="Arial"/>
        <family val="2"/>
      </rPr>
      <t xml:space="preserve">1719
</t>
    </r>
    <r>
      <rPr>
        <sz val="10"/>
        <color rgb="FFFF0000"/>
        <rFont val="Arial"/>
        <family val="2"/>
      </rPr>
      <t>Final Inspection Cert &amp; Certificate of Occupancy 1/04/2022</t>
    </r>
    <r>
      <rPr>
        <b/>
        <sz val="10"/>
        <color rgb="FFFF0000"/>
        <rFont val="Arial"/>
        <family val="2"/>
      </rPr>
      <t xml:space="preserve">
Stg Pmt 1 </t>
    </r>
    <r>
      <rPr>
        <sz val="10"/>
        <color rgb="FFFF0000"/>
        <rFont val="Arial"/>
        <family val="2"/>
      </rPr>
      <t>= $6,916.00 due 23/05/2022</t>
    </r>
    <r>
      <rPr>
        <b/>
        <sz val="12"/>
        <color rgb="FFFF0000"/>
        <rFont val="Arial"/>
        <family val="2"/>
      </rPr>
      <t xml:space="preserve">
</t>
    </r>
  </si>
  <si>
    <t>132002.220285.E
Approved: 19/05/2022
Issued: 23/05/2022</t>
  </si>
  <si>
    <t>Stockwell Development Group Pty Ltd</t>
  </si>
  <si>
    <t>PO Box 3144
SOUTH BRISBANE QLD 4101</t>
  </si>
  <si>
    <t>Noosa Civic 28 Eenie Creek Rd NOOSAVILLE QLD 4566</t>
  </si>
  <si>
    <t>Lot 3 SP 246584</t>
  </si>
  <si>
    <t>Retail 82m2 gfa &amp; Impervious area</t>
  </si>
  <si>
    <t>Office 82 m2 gfa &amp; Impervious area</t>
  </si>
  <si>
    <t>SBC Infrastructure Agreement – available credit Council networks for MP2 Precinct 3 - 23m2 gfa</t>
  </si>
  <si>
    <r>
      <t xml:space="preserve">23/05/2022
</t>
    </r>
    <r>
      <rPr>
        <sz val="10"/>
        <color rgb="FF0000FF"/>
        <rFont val="Arial"/>
        <family val="2"/>
      </rPr>
      <t>receipted 25/05/2022</t>
    </r>
  </si>
  <si>
    <t>D000396599</t>
  </si>
  <si>
    <t>D000396601</t>
  </si>
  <si>
    <r>
      <rPr>
        <b/>
        <sz val="10"/>
        <color rgb="FF0000FF"/>
        <rFont val="Arial"/>
        <family val="2"/>
      </rPr>
      <t xml:space="preserve">N </t>
    </r>
    <r>
      <rPr>
        <b/>
        <sz val="10"/>
        <rFont val="Arial"/>
        <family val="2"/>
      </rPr>
      <t xml:space="preserve">1726
</t>
    </r>
    <r>
      <rPr>
        <sz val="10"/>
        <color rgb="FFFF0000"/>
        <rFont val="Arial"/>
        <family val="2"/>
      </rPr>
      <t xml:space="preserve"> $5,000 part pmt 26/05/2022</t>
    </r>
  </si>
  <si>
    <t>D000396779</t>
  </si>
  <si>
    <t>D000396780</t>
  </si>
  <si>
    <t>Balance Payment</t>
  </si>
  <si>
    <r>
      <rPr>
        <b/>
        <sz val="10"/>
        <color rgb="FF0000FF"/>
        <rFont val="Arial"/>
        <family val="2"/>
      </rPr>
      <t xml:space="preserve">N </t>
    </r>
    <r>
      <rPr>
        <b/>
        <sz val="10"/>
        <rFont val="Arial"/>
        <family val="2"/>
      </rPr>
      <t xml:space="preserve">1726
</t>
    </r>
    <r>
      <rPr>
        <sz val="10"/>
        <color rgb="FFFF0000"/>
        <rFont val="Arial"/>
        <family val="2"/>
      </rPr>
      <t xml:space="preserve"> $2,888.00 Balance pmt 27/05/2022</t>
    </r>
  </si>
  <si>
    <t xml:space="preserve">Mr SJ Duncan &amp; KN Duncan </t>
  </si>
  <si>
    <t xml:space="preserve">C/- Out of the Woods Planning 
14 Cobbold Lane 
MAROOCHYDORE QLD 4558 </t>
  </si>
  <si>
    <t>Lot 373 P 93115</t>
  </si>
  <si>
    <t>29 Currawong Cres, 
PEREGIAN BEACH QLD 4573</t>
  </si>
  <si>
    <t>RAL21/0026
Approved: 20/05/2022
Issued: 26/05/2022</t>
  </si>
  <si>
    <t>D000397013</t>
  </si>
  <si>
    <r>
      <t xml:space="preserve">20/05/2021
</t>
    </r>
    <r>
      <rPr>
        <sz val="10"/>
        <color rgb="FFFF0000"/>
        <rFont val="Arial"/>
        <family val="2"/>
      </rPr>
      <t>IA Amended 30/05/2022</t>
    </r>
  </si>
  <si>
    <t>D000397886</t>
  </si>
  <si>
    <t>JUNE 2022
Total =</t>
  </si>
  <si>
    <t>MCU21/0109</t>
  </si>
  <si>
    <t>IA 125
+
N 1665</t>
  </si>
  <si>
    <t xml:space="preserve">Calc based only on the change relating to the upper level = 
Caretakers Accommodation = 1 x 1 bedroom unit </t>
  </si>
  <si>
    <t xml:space="preserve">Office = 72 m2 gfa 
</t>
  </si>
  <si>
    <t>3 carparking spaces in Lieu
CPI Mar 2021 @ 2021-2022 financial year</t>
  </si>
  <si>
    <t>PAID by cc</t>
  </si>
  <si>
    <t>D000398142</t>
  </si>
  <si>
    <r>
      <t xml:space="preserve">Approval &amp; Infrastructure charge $15,296.00 applies to units 11,12 &amp; 13 / 219 Weyba Rd Noosaville = Unit 13 = $6,477.00
</t>
    </r>
    <r>
      <rPr>
        <sz val="10"/>
        <color rgb="FFFF0000"/>
        <rFont val="Arial"/>
        <family val="2"/>
      </rPr>
      <t>IA#115 Delayed Staged Payment In accordance with Council’s COVID-19 Business Support Initiatives dated 26 March 2020</t>
    </r>
    <r>
      <rPr>
        <sz val="10"/>
        <color rgb="FF0000FF"/>
        <rFont val="Arial"/>
        <family val="2"/>
      </rPr>
      <t xml:space="preserve">
</t>
    </r>
    <r>
      <rPr>
        <b/>
        <sz val="10"/>
        <color rgb="FFFF0000"/>
        <rFont val="Arial"/>
        <family val="2"/>
      </rPr>
      <t xml:space="preserve">IA Amended 30/05/2022
</t>
    </r>
    <r>
      <rPr>
        <sz val="10"/>
        <color rgb="FFFF0000"/>
        <rFont val="Arial"/>
        <family val="2"/>
      </rPr>
      <t>Amended Stg Pmt 3 = $850 paid 7/06/2022</t>
    </r>
    <r>
      <rPr>
        <b/>
        <sz val="10"/>
        <color rgb="FFFF0000"/>
        <rFont val="Arial"/>
        <family val="2"/>
      </rPr>
      <t xml:space="preserve">
Amended Stg Pmt 4 Bal  = $2,551</t>
    </r>
  </si>
  <si>
    <t xml:space="preserve">Paid Stg Pmt 3 </t>
  </si>
  <si>
    <t>JUNE 2022 Total =</t>
  </si>
  <si>
    <t>D000398628</t>
  </si>
  <si>
    <t>D000398630</t>
  </si>
  <si>
    <t>PC22/0375 
Approved: 14/05/2022
Received &amp; Registered by NSC: 29/03/2022</t>
  </si>
  <si>
    <t>Building Work
Re: Jim Locke Building Consultants - Permit No. 220081</t>
  </si>
  <si>
    <t>Grame &amp; Gaylene Debney</t>
  </si>
  <si>
    <t>129 Forest Acres Drive
LAKE MACDONALD QLD 4563</t>
  </si>
  <si>
    <t>Lot 5 RP 224527</t>
  </si>
  <si>
    <r>
      <t xml:space="preserve">IC issued = $6,437.00
</t>
    </r>
    <r>
      <rPr>
        <sz val="10"/>
        <color rgb="FFFF0000"/>
        <rFont val="Arial"/>
        <family val="2"/>
      </rPr>
      <t>IA#119 Delayed Staged Payment In accordance with Council’s COVID-19 Business Support Initiatives dated 26 March 2020
Paid $1,800.00 Stg Pmt 1 &amp; part Pmt 2 
Paid $1,420.00 Stg Pmt 2 Bal
Stg Pmt 3 DUE 15 JUNE 2022 = $3,217.00</t>
    </r>
  </si>
  <si>
    <r>
      <rPr>
        <b/>
        <sz val="10"/>
        <color rgb="FF0000FF"/>
        <rFont val="Arial"/>
        <family val="2"/>
      </rPr>
      <t>PAID</t>
    </r>
    <r>
      <rPr>
        <sz val="10"/>
        <color rgb="FF0000FF"/>
        <rFont val="Arial"/>
        <family val="2"/>
      </rPr>
      <t xml:space="preserve"> Stg Pmt 3</t>
    </r>
  </si>
  <si>
    <t>D000398785</t>
  </si>
  <si>
    <t>D000398786</t>
  </si>
  <si>
    <r>
      <t xml:space="preserve">Negotiated Decision additional condition 81 &amp; 82 approved area for sole use of vehicle manouvering &amp; loading. IC = 47,830 @ 2017-2018
STAGED PAYMENT AGREEMENTS DATED 28/06/2021 </t>
    </r>
    <r>
      <rPr>
        <sz val="10"/>
        <color rgb="FFFF0000"/>
        <rFont val="Arial"/>
        <family val="2"/>
      </rPr>
      <t>(Amended due to COVID-19 Business Support Initiative dated 26 March 2020)</t>
    </r>
    <r>
      <rPr>
        <sz val="10"/>
        <color rgb="FF0000FF"/>
        <rFont val="Arial"/>
        <family val="2"/>
      </rPr>
      <t xml:space="preserve">
</t>
    </r>
    <r>
      <rPr>
        <sz val="10"/>
        <color rgb="FFFF0000"/>
        <rFont val="Arial"/>
        <family val="2"/>
      </rPr>
      <t>Amended Stg Pmt 3 8/06/2022 to:
- $5,000.00 Due 30 JUNE 2022
- $10,000.00 Due 31 JULY 2022
- $10,510.00 Due 31 AUG 2022</t>
    </r>
  </si>
  <si>
    <t>MCU21/0015
Approved: 1/07/2021
Issued: 2/07/2021</t>
  </si>
  <si>
    <r>
      <rPr>
        <b/>
        <sz val="10"/>
        <color rgb="FF0000FF"/>
        <rFont val="Arial"/>
        <family val="2"/>
      </rPr>
      <t xml:space="preserve">N </t>
    </r>
    <r>
      <rPr>
        <b/>
        <sz val="10"/>
        <rFont val="Arial"/>
        <family val="2"/>
      </rPr>
      <t xml:space="preserve">1640
</t>
    </r>
    <r>
      <rPr>
        <sz val="10"/>
        <color rgb="FF0000FF"/>
        <rFont val="Arial"/>
        <family val="2"/>
      </rPr>
      <t>(PC21/0936 issued 3/11/2021)</t>
    </r>
  </si>
  <si>
    <t>MCU21/0157
Approved: 6/06/2022
Issued:8/06/2022</t>
  </si>
  <si>
    <t>Ashburton Pastoral Company P/L</t>
  </si>
  <si>
    <t xml:space="preserve">55 Doonella St 
Tewantin Qld 4565 </t>
  </si>
  <si>
    <t>Lot 5 RP 73672</t>
  </si>
  <si>
    <t>Dual Occupancy = 2 x 3 bedroom units</t>
  </si>
  <si>
    <t xml:space="preserve">53 Doonella St 
Tewantin Qld 4565 </t>
  </si>
  <si>
    <t>Lot 4 T 16337</t>
  </si>
  <si>
    <t>MCU21/0158
Approved: 6/06/2022
Issued:9/06/2022</t>
  </si>
  <si>
    <t>DBW22/0004
Approved: 6/06/2022
Issued: 10/06/2022</t>
  </si>
  <si>
    <t>JD Sly &amp; T Sly</t>
  </si>
  <si>
    <t>C/- Fluid Building Approvals Sunshine Coast
172 Brisbane Road
MOOLOOLABA QLD 4557</t>
  </si>
  <si>
    <t xml:space="preserve"> Lot 1 RP 862849 </t>
  </si>
  <si>
    <t xml:space="preserve">730 Mckinnon Dr 
Cooroibah Qld 4565 </t>
  </si>
  <si>
    <r>
      <rPr>
        <b/>
        <sz val="10"/>
        <color rgb="FF0000FF"/>
        <rFont val="Arial"/>
        <family val="2"/>
      </rPr>
      <t xml:space="preserve">N </t>
    </r>
    <r>
      <rPr>
        <b/>
        <sz val="10"/>
        <rFont val="Arial"/>
        <family val="2"/>
      </rPr>
      <t xml:space="preserve">1436
</t>
    </r>
    <r>
      <rPr>
        <sz val="10"/>
        <color rgb="FFFF0000"/>
        <rFont val="Arial"/>
        <family val="2"/>
      </rPr>
      <t xml:space="preserve">Final Inspection Certificate 11/08/2020
Final Staged Payment 3
DUE 15 JUNE 2022
but prior to any sale of property </t>
    </r>
  </si>
  <si>
    <t>Paid Stg Pmt 3</t>
  </si>
  <si>
    <t>D000399397</t>
  </si>
  <si>
    <r>
      <rPr>
        <b/>
        <sz val="10"/>
        <color rgb="FF0000FF"/>
        <rFont val="Arial"/>
        <family val="2"/>
      </rPr>
      <t xml:space="preserve">N </t>
    </r>
    <r>
      <rPr>
        <b/>
        <sz val="10"/>
        <rFont val="Arial"/>
        <family val="2"/>
      </rPr>
      <t xml:space="preserve">1751
</t>
    </r>
    <r>
      <rPr>
        <b/>
        <sz val="10"/>
        <color rgb="FF0000FF"/>
        <rFont val="Arial"/>
        <family val="2"/>
      </rPr>
      <t>Negotiated</t>
    </r>
  </si>
  <si>
    <r>
      <rPr>
        <strike/>
        <sz val="10"/>
        <rFont val="Arial"/>
        <family val="2"/>
      </rPr>
      <t>7/06/2022</t>
    </r>
    <r>
      <rPr>
        <sz val="10"/>
        <rFont val="Arial"/>
        <family val="2"/>
      </rPr>
      <t xml:space="preserve">
</t>
    </r>
    <r>
      <rPr>
        <sz val="10"/>
        <color rgb="FF0000FF"/>
        <rFont val="Arial"/>
        <family val="2"/>
      </rPr>
      <t>13/06/2022</t>
    </r>
  </si>
  <si>
    <t>Representations 13/06/2022 advising the existing dwelling house is only 2 bedrooms</t>
  </si>
  <si>
    <r>
      <t xml:space="preserve">Detached House = 1 Dwelling House </t>
    </r>
    <r>
      <rPr>
        <sz val="10"/>
        <color rgb="FF0000FF"/>
        <rFont val="Arial"/>
        <family val="2"/>
      </rPr>
      <t xml:space="preserve">(2 bedroom) </t>
    </r>
    <r>
      <rPr>
        <sz val="10"/>
        <rFont val="Arial"/>
        <family val="2"/>
      </rPr>
      <t>+  
1 x Secondary Dwelling</t>
    </r>
  </si>
  <si>
    <r>
      <t xml:space="preserve">1 x Dwelling House </t>
    </r>
    <r>
      <rPr>
        <sz val="10"/>
        <color rgb="FF0000FF"/>
        <rFont val="Arial"/>
        <family val="2"/>
      </rPr>
      <t>(Min credit res lot = 3 bedroom dwelling)</t>
    </r>
  </si>
  <si>
    <r>
      <rPr>
        <strike/>
        <sz val="10"/>
        <rFont val="Arial"/>
        <family val="2"/>
      </rPr>
      <t>15/10/2020</t>
    </r>
    <r>
      <rPr>
        <sz val="10"/>
        <rFont val="Arial"/>
        <family val="2"/>
      </rPr>
      <t xml:space="preserve">
</t>
    </r>
    <r>
      <rPr>
        <sz val="10"/>
        <color rgb="FF0000FF"/>
        <rFont val="Arial"/>
        <family val="2"/>
      </rPr>
      <t>Ext 7/10/2021
16/05/2022</t>
    </r>
  </si>
  <si>
    <r>
      <t xml:space="preserve">PC18/1200
</t>
    </r>
    <r>
      <rPr>
        <sz val="10"/>
        <color rgb="FF0000FF"/>
        <rFont val="Arial"/>
        <family val="2"/>
      </rPr>
      <t>Certifier Disengaged 14/07/2000</t>
    </r>
    <r>
      <rPr>
        <sz val="10"/>
        <rFont val="Arial"/>
        <family val="2"/>
      </rPr>
      <t xml:space="preserve">
</t>
    </r>
  </si>
  <si>
    <r>
      <rPr>
        <b/>
        <sz val="10"/>
        <color rgb="FF0000FF"/>
        <rFont val="Arial"/>
        <family val="2"/>
      </rPr>
      <t xml:space="preserve">N </t>
    </r>
    <r>
      <rPr>
        <b/>
        <sz val="10"/>
        <rFont val="Arial"/>
        <family val="2"/>
      </rPr>
      <t xml:space="preserve">1416
</t>
    </r>
    <r>
      <rPr>
        <sz val="10"/>
        <color rgb="FFFF0000"/>
        <rFont val="Arial"/>
        <family val="2"/>
      </rPr>
      <t>14/06/2022 Aerials appear as constructed requ site check</t>
    </r>
  </si>
  <si>
    <t>possibly replaced by PC21/0624 &amp; N1723  re Dwelling house &amp; secondary dwelling</t>
  </si>
  <si>
    <t>Building Work
Re: Pacific BCQ - Permit No. 20220126</t>
  </si>
  <si>
    <t>Nicole Devlin</t>
  </si>
  <si>
    <t>PO Box 875
CURRUMBIN QLD 4223</t>
  </si>
  <si>
    <t>Lot 1 RP 99136</t>
  </si>
  <si>
    <t>126 George Street
TEWANTIN QLD 4565</t>
  </si>
  <si>
    <t>PC22/0397
Approved: 27/05/2022
Received &amp; Registered by NSC: 9/06/2022</t>
  </si>
  <si>
    <r>
      <rPr>
        <b/>
        <sz val="10"/>
        <color rgb="FF0000FF"/>
        <rFont val="Arial"/>
        <family val="2"/>
      </rPr>
      <t xml:space="preserve">N </t>
    </r>
    <r>
      <rPr>
        <b/>
        <sz val="10"/>
        <rFont val="Arial"/>
        <family val="2"/>
      </rPr>
      <t xml:space="preserve">1265
</t>
    </r>
    <r>
      <rPr>
        <sz val="10"/>
        <color rgb="FFFF0000"/>
        <rFont val="Arial"/>
        <family val="2"/>
      </rPr>
      <t>Final Inspection Certificate issued 25/09/2019
Staged Payment 3
DUE 15 JUNE 2022</t>
    </r>
    <r>
      <rPr>
        <b/>
        <sz val="10"/>
        <color rgb="FFFF0000"/>
        <rFont val="Arial"/>
        <family val="2"/>
      </rPr>
      <t xml:space="preserve">
</t>
    </r>
    <r>
      <rPr>
        <sz val="10"/>
        <color rgb="FFFF0000"/>
        <rFont val="Arial"/>
        <family val="2"/>
      </rPr>
      <t>but prior to any sale of property</t>
    </r>
  </si>
  <si>
    <r>
      <t xml:space="preserve">RAB17/0093
</t>
    </r>
    <r>
      <rPr>
        <sz val="10"/>
        <color rgb="FFFF0000"/>
        <rFont val="Arial"/>
        <family val="2"/>
      </rPr>
      <t>ICN Total = $6,221.00 @ Planning Reg 2019-2020
In accordance with Council’s Organisational Policy “Delayed Staged Payments of Infrastructure Charges” (amended due to COVID-19 Business Support Initiatives dated 26 March 2020)</t>
    </r>
  </si>
  <si>
    <r>
      <rPr>
        <b/>
        <sz val="10"/>
        <color rgb="FF0000FF"/>
        <rFont val="Arial"/>
        <family val="2"/>
      </rPr>
      <t xml:space="preserve">N </t>
    </r>
    <r>
      <rPr>
        <b/>
        <sz val="10"/>
        <rFont val="Arial"/>
        <family val="2"/>
      </rPr>
      <t xml:space="preserve">1507
</t>
    </r>
    <r>
      <rPr>
        <sz val="10"/>
        <color rgb="FFFF0000"/>
        <rFont val="Arial"/>
        <family val="2"/>
      </rPr>
      <t xml:space="preserve">Staged Payment 3
DUE 15 JUN 2022
but prior to any sale of property
 </t>
    </r>
  </si>
  <si>
    <r>
      <rPr>
        <b/>
        <sz val="10"/>
        <color rgb="FF0000FF"/>
        <rFont val="Arial"/>
        <family val="2"/>
      </rPr>
      <t xml:space="preserve">N </t>
    </r>
    <r>
      <rPr>
        <b/>
        <sz val="10"/>
        <rFont val="Arial"/>
        <family val="2"/>
      </rPr>
      <t>1577</t>
    </r>
    <r>
      <rPr>
        <b/>
        <sz val="10"/>
        <color rgb="FFFF0000"/>
        <rFont val="Arial"/>
        <family val="2"/>
      </rPr>
      <t xml:space="preserve">
</t>
    </r>
    <r>
      <rPr>
        <sz val="10"/>
        <color rgb="FFFF0000"/>
        <rFont val="Arial"/>
        <family val="2"/>
      </rPr>
      <t>Final Staged Payment 3</t>
    </r>
    <r>
      <rPr>
        <b/>
        <sz val="10"/>
        <color rgb="FFFF0000"/>
        <rFont val="Arial"/>
        <family val="2"/>
      </rPr>
      <t xml:space="preserve">
</t>
    </r>
    <r>
      <rPr>
        <sz val="10"/>
        <color rgb="FFFF0000"/>
        <rFont val="Arial"/>
        <family val="2"/>
      </rPr>
      <t>DUE 15 JUNE 2022</t>
    </r>
    <r>
      <rPr>
        <b/>
        <sz val="10"/>
        <color rgb="FFFF0000"/>
        <rFont val="Arial"/>
        <family val="2"/>
      </rPr>
      <t xml:space="preserve">
</t>
    </r>
    <r>
      <rPr>
        <u/>
        <sz val="10"/>
        <color rgb="FFFF0000"/>
        <rFont val="Arial"/>
        <family val="2"/>
      </rPr>
      <t>but</t>
    </r>
    <r>
      <rPr>
        <sz val="10"/>
        <color rgb="FFFF0000"/>
        <rFont val="Arial"/>
        <family val="2"/>
      </rPr>
      <t xml:space="preserve"> prior to any sale of property </t>
    </r>
  </si>
  <si>
    <r>
      <rPr>
        <b/>
        <sz val="10"/>
        <color rgb="FF0000FF"/>
        <rFont val="Arial"/>
        <family val="2"/>
      </rPr>
      <t xml:space="preserve">N </t>
    </r>
    <r>
      <rPr>
        <b/>
        <sz val="10"/>
        <rFont val="Arial"/>
        <family val="2"/>
      </rPr>
      <t xml:space="preserve">1413
</t>
    </r>
    <r>
      <rPr>
        <sz val="10"/>
        <color rgb="FFFF0000"/>
        <rFont val="Arial"/>
        <family val="2"/>
      </rPr>
      <t>Final Inspection Certificate issued 18/03/2020</t>
    </r>
    <r>
      <rPr>
        <b/>
        <i/>
        <sz val="10"/>
        <color rgb="FFFF0000"/>
        <rFont val="Arial"/>
        <family val="2"/>
      </rPr>
      <t xml:space="preserve">
</t>
    </r>
    <r>
      <rPr>
        <i/>
        <sz val="10"/>
        <color rgb="FFFF0000"/>
        <rFont val="Arial"/>
        <family val="2"/>
      </rPr>
      <t xml:space="preserve">Staged Payment 3
DUE 15 JUNE 2022
but prior to any sale of property </t>
    </r>
  </si>
  <si>
    <r>
      <rPr>
        <b/>
        <sz val="10"/>
        <color rgb="FF0000FF"/>
        <rFont val="Arial"/>
        <family val="2"/>
      </rPr>
      <t xml:space="preserve">N </t>
    </r>
    <r>
      <rPr>
        <b/>
        <sz val="10"/>
        <rFont val="Arial"/>
        <family val="2"/>
      </rPr>
      <t xml:space="preserve">1632
</t>
    </r>
    <r>
      <rPr>
        <sz val="10"/>
        <color rgb="FFFF0000"/>
        <rFont val="Arial"/>
        <family val="2"/>
      </rPr>
      <t>FINALStage Payment 3
DUE 15 JUNE 2022
But prior to any sale of property</t>
    </r>
  </si>
  <si>
    <r>
      <rPr>
        <b/>
        <sz val="10"/>
        <color rgb="FF0000FF"/>
        <rFont val="Arial"/>
        <family val="2"/>
      </rPr>
      <t xml:space="preserve">N </t>
    </r>
    <r>
      <rPr>
        <b/>
        <sz val="10"/>
        <rFont val="Arial"/>
        <family val="2"/>
      </rPr>
      <t xml:space="preserve">1367
</t>
    </r>
    <r>
      <rPr>
        <sz val="10"/>
        <color rgb="FFFF0000"/>
        <rFont val="Arial"/>
        <family val="2"/>
      </rPr>
      <t>Final inspection Cert 13/10/2021
DUE 30 JUNE 2022</t>
    </r>
  </si>
  <si>
    <r>
      <rPr>
        <b/>
        <sz val="10"/>
        <color rgb="FF0000FF"/>
        <rFont val="Arial"/>
        <family val="2"/>
      </rPr>
      <t xml:space="preserve">N </t>
    </r>
    <r>
      <rPr>
        <b/>
        <sz val="10"/>
        <rFont val="Arial"/>
        <family val="2"/>
      </rPr>
      <t>1777</t>
    </r>
    <r>
      <rPr>
        <sz val="11"/>
        <color theme="1"/>
        <rFont val="Calibri"/>
        <family val="2"/>
        <scheme val="minor"/>
      </rPr>
      <t/>
    </r>
  </si>
  <si>
    <r>
      <rPr>
        <b/>
        <sz val="10"/>
        <color rgb="FF0000FF"/>
        <rFont val="Arial"/>
        <family val="2"/>
      </rPr>
      <t xml:space="preserve">N </t>
    </r>
    <r>
      <rPr>
        <b/>
        <sz val="10"/>
        <rFont val="Arial"/>
        <family val="2"/>
      </rPr>
      <t>1779</t>
    </r>
    <r>
      <rPr>
        <sz val="11"/>
        <color theme="1"/>
        <rFont val="Calibri"/>
        <family val="2"/>
        <scheme val="minor"/>
      </rPr>
      <t/>
    </r>
  </si>
  <si>
    <r>
      <rPr>
        <b/>
        <sz val="10"/>
        <color rgb="FF0000FF"/>
        <rFont val="Arial"/>
        <family val="2"/>
      </rPr>
      <t xml:space="preserve">N </t>
    </r>
    <r>
      <rPr>
        <b/>
        <sz val="10"/>
        <rFont val="Arial"/>
        <family val="2"/>
      </rPr>
      <t>1780</t>
    </r>
    <r>
      <rPr>
        <sz val="11"/>
        <color theme="1"/>
        <rFont val="Calibri"/>
        <family val="2"/>
        <scheme val="minor"/>
      </rPr>
      <t/>
    </r>
  </si>
  <si>
    <r>
      <rPr>
        <b/>
        <sz val="10"/>
        <color rgb="FF0000FF"/>
        <rFont val="Arial"/>
        <family val="2"/>
      </rPr>
      <t xml:space="preserve">N </t>
    </r>
    <r>
      <rPr>
        <b/>
        <sz val="10"/>
        <rFont val="Arial"/>
        <family val="2"/>
      </rPr>
      <t>1781</t>
    </r>
    <r>
      <rPr>
        <sz val="11"/>
        <color theme="1"/>
        <rFont val="Calibri"/>
        <family val="2"/>
        <scheme val="minor"/>
      </rPr>
      <t/>
    </r>
  </si>
  <si>
    <r>
      <rPr>
        <b/>
        <sz val="10"/>
        <color rgb="FF0000FF"/>
        <rFont val="Arial"/>
        <family val="2"/>
      </rPr>
      <t xml:space="preserve">N </t>
    </r>
    <r>
      <rPr>
        <b/>
        <sz val="10"/>
        <rFont val="Arial"/>
        <family val="2"/>
      </rPr>
      <t>1787</t>
    </r>
    <r>
      <rPr>
        <sz val="11"/>
        <color theme="1"/>
        <rFont val="Calibri"/>
        <family val="2"/>
        <scheme val="minor"/>
      </rPr>
      <t/>
    </r>
  </si>
  <si>
    <r>
      <rPr>
        <b/>
        <sz val="10"/>
        <color rgb="FF0000FF"/>
        <rFont val="Arial"/>
        <family val="2"/>
      </rPr>
      <t xml:space="preserve">N </t>
    </r>
    <r>
      <rPr>
        <b/>
        <sz val="10"/>
        <rFont val="Arial"/>
        <family val="2"/>
      </rPr>
      <t>1794</t>
    </r>
    <r>
      <rPr>
        <sz val="11"/>
        <color theme="1"/>
        <rFont val="Calibri"/>
        <family val="2"/>
        <scheme val="minor"/>
      </rPr>
      <t/>
    </r>
  </si>
  <si>
    <r>
      <rPr>
        <b/>
        <sz val="10"/>
        <color rgb="FF0000FF"/>
        <rFont val="Arial"/>
        <family val="2"/>
      </rPr>
      <t xml:space="preserve">N </t>
    </r>
    <r>
      <rPr>
        <b/>
        <sz val="10"/>
        <rFont val="Arial"/>
        <family val="2"/>
      </rPr>
      <t>1797</t>
    </r>
    <r>
      <rPr>
        <sz val="11"/>
        <color theme="1"/>
        <rFont val="Calibri"/>
        <family val="2"/>
        <scheme val="minor"/>
      </rPr>
      <t/>
    </r>
  </si>
  <si>
    <r>
      <rPr>
        <b/>
        <sz val="10"/>
        <color rgb="FF0000FF"/>
        <rFont val="Arial"/>
        <family val="2"/>
      </rPr>
      <t xml:space="preserve">N </t>
    </r>
    <r>
      <rPr>
        <b/>
        <sz val="10"/>
        <rFont val="Arial"/>
        <family val="2"/>
      </rPr>
      <t>1800</t>
    </r>
    <r>
      <rPr>
        <sz val="11"/>
        <color theme="1"/>
        <rFont val="Calibri"/>
        <family val="2"/>
        <scheme val="minor"/>
      </rPr>
      <t/>
    </r>
  </si>
  <si>
    <r>
      <t xml:space="preserve">131999.982622.5
</t>
    </r>
    <r>
      <rPr>
        <sz val="10"/>
        <color rgb="FF0000FF"/>
        <rFont val="Arial"/>
        <family val="2"/>
      </rPr>
      <t>(GIA 131999.982622.6)</t>
    </r>
  </si>
  <si>
    <r>
      <t xml:space="preserve">26/06/2020
</t>
    </r>
    <r>
      <rPr>
        <sz val="10"/>
        <color rgb="FF0000FF"/>
        <rFont val="Arial"/>
        <family val="2"/>
      </rPr>
      <t xml:space="preserve">Extn to 23/03/2023 </t>
    </r>
  </si>
  <si>
    <t>D000399957</t>
  </si>
  <si>
    <t>D000399961</t>
  </si>
  <si>
    <t>D000399958</t>
  </si>
  <si>
    <t>D000399963</t>
  </si>
  <si>
    <t>D000399959</t>
  </si>
  <si>
    <r>
      <t xml:space="preserve">Planning Reg 2019-20
</t>
    </r>
    <r>
      <rPr>
        <sz val="10"/>
        <color rgb="FFFF0000"/>
        <rFont val="Arial"/>
        <family val="2"/>
      </rPr>
      <t>2020-2021</t>
    </r>
  </si>
  <si>
    <t>D000400539</t>
  </si>
  <si>
    <t>D000400542</t>
  </si>
  <si>
    <t>MCU22/0034
Approved: 14/06/2022
Issued: 21/06/2022</t>
  </si>
  <si>
    <t>SK Erigadoo &amp; R Krishnasamy</t>
  </si>
  <si>
    <t xml:space="preserve">61 Poinciana Ave 
Tewantin Qld 4565 </t>
  </si>
  <si>
    <t xml:space="preserve">Lot 13 RP 226727 </t>
  </si>
  <si>
    <t>Multiple dwellings = 3 x 3 bed units</t>
  </si>
  <si>
    <t>Vacant area</t>
  </si>
  <si>
    <r>
      <t xml:space="preserve">Noosa Civic 28 Eenie Creek Rd Noosaville Qld 4566
</t>
    </r>
    <r>
      <rPr>
        <i/>
        <sz val="10"/>
        <rFont val="Arial"/>
        <family val="2"/>
      </rPr>
      <t>(future lots 17 to 19)</t>
    </r>
  </si>
  <si>
    <t>MCU21/0104
Approved: 16/06/2022
Issued: 20/06/2022</t>
  </si>
  <si>
    <t>Mr RFC Salmon &amp; Mrs MA Salmon</t>
  </si>
  <si>
    <t xml:space="preserve">Lot 13 RP 150347
</t>
  </si>
  <si>
    <t>Showroom = 119 m2 gfa +
Low impact Industry = 180 m2 gfa
+ 862 Impervious area</t>
  </si>
  <si>
    <t>Low impact Industry = 234 m2 gfa
+ 589 Impervious area</t>
  </si>
  <si>
    <t>RAL21/0033
Approved: 16/06/2022
Issued: 20/06/2022</t>
  </si>
  <si>
    <t>Lot 47 RP 860577</t>
  </si>
  <si>
    <t>16 Rene St 
Noosaville Qld 4566</t>
  </si>
  <si>
    <t>60 Glenridge Dr 
Cooroibah Qld 4565</t>
  </si>
  <si>
    <t>1 Res lot</t>
  </si>
  <si>
    <r>
      <rPr>
        <b/>
        <sz val="10"/>
        <color rgb="FF0000FF"/>
        <rFont val="Arial"/>
        <family val="2"/>
      </rPr>
      <t xml:space="preserve">N </t>
    </r>
    <r>
      <rPr>
        <b/>
        <sz val="10"/>
        <rFont val="Arial"/>
        <family val="2"/>
      </rPr>
      <t>1759
(Stage 1)</t>
    </r>
  </si>
  <si>
    <r>
      <t xml:space="preserve">8 Res lots
</t>
    </r>
    <r>
      <rPr>
        <b/>
        <sz val="10"/>
        <rFont val="Arial"/>
        <family val="2"/>
      </rPr>
      <t>Stage 2 = 6 Lots</t>
    </r>
  </si>
  <si>
    <r>
      <t xml:space="preserve">8 Res lots
</t>
    </r>
    <r>
      <rPr>
        <b/>
        <sz val="10"/>
        <rFont val="Arial"/>
        <family val="2"/>
      </rPr>
      <t>Stage 1 = 2 Lots</t>
    </r>
  </si>
  <si>
    <t>D000400966</t>
  </si>
  <si>
    <t>Tenancy BB03</t>
  </si>
  <si>
    <t>PC22/0542
Approved: 16/06/2022
Received &amp; Registered by NSC: 17/06/2022</t>
  </si>
  <si>
    <t>Building Work
Re: Pure Building Approvals  - Permit No. 20220309</t>
  </si>
  <si>
    <t>AM Building Pty Ltd</t>
  </si>
  <si>
    <t>Lot 4 SP 183248</t>
  </si>
  <si>
    <t>6 Wallaby Lane 
TINBEERWAH QLD 4563</t>
  </si>
  <si>
    <t>MCU22/0012
Approved: 17/06/2022
Issued: 24/06/2022</t>
  </si>
  <si>
    <t>Urban Fabrics Developments Pty Ltd</t>
  </si>
  <si>
    <t>Lot 106 RP 41223</t>
  </si>
  <si>
    <t xml:space="preserve">27 Hilton Tce 
Tewantin Qld 4565 </t>
  </si>
  <si>
    <t>Caretakers res = 1 x 3+ bedroom
+ Shop 85m2 gfa &amp; impervious area</t>
  </si>
  <si>
    <t>Condition 25 = trunk pathway frontage upgrade</t>
  </si>
  <si>
    <t>D000401380</t>
  </si>
  <si>
    <r>
      <t xml:space="preserve">The infrastructue charge </t>
    </r>
    <r>
      <rPr>
        <u/>
        <sz val="10"/>
        <color rgb="FF0000FF"/>
        <rFont val="Arial"/>
        <family val="2"/>
      </rPr>
      <t>ONLY</t>
    </r>
    <r>
      <rPr>
        <sz val="10"/>
        <color rgb="FF0000FF"/>
        <rFont val="Arial"/>
        <family val="2"/>
      </rPr>
      <t xml:space="preserve"> relates to the alterations/additions to the Studio &amp; not to the Dwelling house</t>
    </r>
  </si>
  <si>
    <r>
      <t xml:space="preserve">1 x Dwelling House </t>
    </r>
    <r>
      <rPr>
        <sz val="10"/>
        <color rgb="FF0000FF"/>
        <rFont val="Arial"/>
        <family val="2"/>
      </rPr>
      <t>(&amp; studio)</t>
    </r>
  </si>
  <si>
    <t>D000401847</t>
  </si>
  <si>
    <t>PC22/0426
Approved: 30/05/2022
Received &amp; Registered by NSC: 23/06/2022</t>
  </si>
  <si>
    <t>Building Work
Re: Earthcert Building Approvals  - Permit No. 220137</t>
  </si>
  <si>
    <t>Building Work
Re: JDBA Certifiers  - Permit No. BA220267</t>
  </si>
  <si>
    <t>Building Work
Re: Speedy Certifiers  - Permit No. QLD2022515</t>
  </si>
  <si>
    <t>Lot 29 RP 911743</t>
  </si>
  <si>
    <t>61 Pavilion Street 
POMONA QLD 4568</t>
  </si>
  <si>
    <t>15 Ross Crescent 
SUNSHINE BEACH QLD 4567</t>
  </si>
  <si>
    <t>Lot 4 SP 315578</t>
  </si>
  <si>
    <t>93 Lake Macdonald Drive
COOROY QLD 4563</t>
  </si>
  <si>
    <t>Lot 31 RP 855992</t>
  </si>
  <si>
    <t>21 Tinaroo Place 
TEWANTIN QLD 4565</t>
  </si>
  <si>
    <t>Rooming Accommodation = 5 x 1 Bedroom Suites</t>
  </si>
  <si>
    <t>As the development of the secondary dwelling &amp; shed is on a vacant lot, This infrastructure charge ONLY becomes payable for this Secondary dwelling following completion of a future primary “detached house” on the property.)</t>
  </si>
  <si>
    <r>
      <rPr>
        <b/>
        <sz val="10"/>
        <color rgb="FF0000FF"/>
        <rFont val="Arial"/>
        <family val="2"/>
      </rPr>
      <t xml:space="preserve">N </t>
    </r>
    <r>
      <rPr>
        <b/>
        <sz val="10"/>
        <rFont val="Arial"/>
        <family val="2"/>
      </rPr>
      <t xml:space="preserve">1450
</t>
    </r>
    <r>
      <rPr>
        <sz val="10"/>
        <color rgb="FFFF0000"/>
        <rFont val="Arial"/>
        <family val="2"/>
      </rPr>
      <t>Final Inspection Certificate issued 16/12/2019
Final Stg Pmt 3 Due 15 June 2022 Not paid &amp; Transferred to rates for recovery</t>
    </r>
  </si>
  <si>
    <t>Charges update Journal 1752177  and GL posting journal 1752178</t>
  </si>
  <si>
    <r>
      <rPr>
        <b/>
        <sz val="10"/>
        <color rgb="FF0000FF"/>
        <rFont val="Arial"/>
        <family val="2"/>
      </rPr>
      <t xml:space="preserve">N </t>
    </r>
    <r>
      <rPr>
        <b/>
        <sz val="10"/>
        <rFont val="Arial"/>
        <family val="2"/>
      </rPr>
      <t xml:space="preserve">1308
</t>
    </r>
    <r>
      <rPr>
        <b/>
        <sz val="10"/>
        <color rgb="FF0000FF"/>
        <rFont val="Arial"/>
        <family val="2"/>
      </rPr>
      <t xml:space="preserve">Negotiated
</t>
    </r>
    <r>
      <rPr>
        <sz val="10"/>
        <color rgb="FFFF0000"/>
        <rFont val="Arial"/>
        <family val="2"/>
      </rPr>
      <t>PC18/0729 CoC 18/09/2020</t>
    </r>
    <r>
      <rPr>
        <b/>
        <sz val="12"/>
        <color rgb="FFFF0000"/>
        <rFont val="Arial"/>
        <family val="2"/>
      </rPr>
      <t xml:space="preserve">
</t>
    </r>
    <r>
      <rPr>
        <sz val="10"/>
        <color rgb="FFFF0000"/>
        <rFont val="Arial"/>
        <family val="2"/>
      </rPr>
      <t>Amended STG PMT 3 
Part</t>
    </r>
  </si>
  <si>
    <t>Paid 
Part Amended Stg Pmt3</t>
  </si>
  <si>
    <r>
      <t xml:space="preserve">Planning Reg </t>
    </r>
    <r>
      <rPr>
        <b/>
        <sz val="10"/>
        <rFont val="Arial"/>
        <family val="2"/>
      </rPr>
      <t>2022-2023</t>
    </r>
  </si>
  <si>
    <t>Planning Reg 2022-2023</t>
  </si>
  <si>
    <t>Cornerstone Building Certification 
C/- IB Town Planning</t>
  </si>
  <si>
    <t>PO Box 501
DOONAN QLD 4563</t>
  </si>
  <si>
    <t>Lot 10 SP 315578</t>
  </si>
  <si>
    <t>3 Robin Place 
LAKE MACDONALD QLD 4563</t>
  </si>
  <si>
    <t>DBW22/0051
Approved: 05/07/2022
Issued: 07/07/2022</t>
  </si>
  <si>
    <t>1 Vacant rural residential lot</t>
  </si>
  <si>
    <t>PC22/0574
Approved: 29/06/2022
Received &amp; Registered: 04/07/2022</t>
  </si>
  <si>
    <t>PC21/1280
Approved: 29/06/2022
Received &amp; Registered: 04/07/2022</t>
  </si>
  <si>
    <t>Building Work
Re: Mackie Construction Consultants - Permit Number: MCC220076</t>
  </si>
  <si>
    <t>Building Work
Northshore Building Approvals - Permit Number: 21-196</t>
  </si>
  <si>
    <t>Building Works
Jim Locke Building Consultants - Permit Number: 210054</t>
  </si>
  <si>
    <t>Reid Thornton</t>
  </si>
  <si>
    <t>64 Carriage Way
COOROIBAH QLD 4565</t>
  </si>
  <si>
    <t>Lot 15 RP 896314</t>
  </si>
  <si>
    <t>Simone Tops</t>
  </si>
  <si>
    <t xml:space="preserve">7 Tarina Street
NOOSA HEADS QLD 4567
</t>
  </si>
  <si>
    <t>Lot 247 RP 176150</t>
  </si>
  <si>
    <t>A Doll &amp; A Buchner</t>
  </si>
  <si>
    <t>31 Wyona Drive 
NOOSA HEADS QLD 4567</t>
  </si>
  <si>
    <t>Lot 166 RP 94023</t>
  </si>
  <si>
    <r>
      <t xml:space="preserve">Delayed Staged Payment Agreement approved 21/04/2022 incl 5% admin fee
Stg Pmt 1 = $6,916.00 Paid 23/05/2022
</t>
    </r>
    <r>
      <rPr>
        <b/>
        <sz val="10"/>
        <color rgb="FFFF0000"/>
        <rFont val="Arial"/>
        <family val="2"/>
      </rPr>
      <t>Bal Pmt = $20,747.00 due by 23 May 2023</t>
    </r>
    <r>
      <rPr>
        <sz val="10"/>
        <color rgb="FF0000FF"/>
        <rFont val="Arial"/>
        <family val="2"/>
      </rPr>
      <t xml:space="preserve">
Pt Pmt 4/07/2022 = $1,728.89 Rec D000402791</t>
    </r>
  </si>
  <si>
    <r>
      <rPr>
        <b/>
        <sz val="10"/>
        <color rgb="FF0000FF"/>
        <rFont val="Arial"/>
        <family val="2"/>
      </rPr>
      <t xml:space="preserve">N </t>
    </r>
    <r>
      <rPr>
        <b/>
        <sz val="10"/>
        <rFont val="Arial"/>
        <family val="2"/>
      </rPr>
      <t xml:space="preserve">1719
</t>
    </r>
    <r>
      <rPr>
        <sz val="10"/>
        <color rgb="FFFF0000"/>
        <rFont val="Arial"/>
        <family val="2"/>
      </rPr>
      <t>Final Inspection Cert &amp; Certificate of Occupancy 1/04/2022
Stg Pmt 1 = $6,916.00 paid 23/05/2022
Bal Pmt = $20,747.00 due 23/05/2023</t>
    </r>
  </si>
  <si>
    <t>D000402791</t>
  </si>
  <si>
    <t>MCU22/0003
Approved: 4/07/2022
Issued: 7/07/2022</t>
  </si>
  <si>
    <t>Maroolingar P/L TTE</t>
  </si>
  <si>
    <t xml:space="preserve">3 Taylor Ct 
Cooroy Qld 4563 </t>
  </si>
  <si>
    <t xml:space="preserve">Lot 4 SP 324340 </t>
  </si>
  <si>
    <t>Low Impact Industry = 2,673.66 m2 gfa 
+ 
Stormwater Impervious Area = 4,094 m2</t>
  </si>
  <si>
    <t>Equivalent credit for contributions paid under 2005/2159 = 33% of the lot area = 5,672 x 33% = 1,872 m2 gfa
+ Stormwater impervious area = Nil</t>
  </si>
  <si>
    <r>
      <rPr>
        <b/>
        <sz val="10"/>
        <color rgb="FF0000FF"/>
        <rFont val="Arial"/>
        <family val="2"/>
      </rPr>
      <t xml:space="preserve">N </t>
    </r>
    <r>
      <rPr>
        <b/>
        <sz val="10"/>
        <rFont val="Arial"/>
        <family val="2"/>
      </rPr>
      <t xml:space="preserve">1651
</t>
    </r>
    <r>
      <rPr>
        <sz val="10"/>
        <color rgb="FFFF0000"/>
        <rFont val="Arial"/>
        <family val="2"/>
      </rPr>
      <t>Final inspection certificate issued 2/07/2022
DUE 29 JULY 2022</t>
    </r>
  </si>
  <si>
    <t>132006.2684.03
Approved: 12/07/2022
Issued: 13/07/2022</t>
  </si>
  <si>
    <t>Material Change of Use
(Minor Change)</t>
  </si>
  <si>
    <t>Studio Steel</t>
  </si>
  <si>
    <t>15 Lower Mill Rd 
COOROY QLD 4563</t>
  </si>
  <si>
    <t>Lot 15 SP 301607</t>
  </si>
  <si>
    <t>Industrial Business = 0 m2 gfa
+ 435m2 ipmpervious area</t>
  </si>
  <si>
    <t>Building Works
Pure Building Approvals DECISION NOTICE – APPROVAL – 20220343</t>
  </si>
  <si>
    <t>PC22/0742
Approved: 20/06/2022
Received &amp; Registered by NSC: 23/06/2022</t>
  </si>
  <si>
    <t>PC22/0722
Approved: 20/06/2022
Received &amp; Registered by NSC: 27/06/2022</t>
  </si>
  <si>
    <t>PC22/0722
Approved: 11/05/2022
Received &amp; Registered 11/05/2022 &amp; NSC 
Planning review 12/07/2022</t>
  </si>
  <si>
    <t xml:space="preserve">JMC Construction Solutions Pty Ltd </t>
  </si>
  <si>
    <t>PO Box 220
COOROY QLD 4563</t>
  </si>
  <si>
    <t>Sofitel Noosa Pacific Resort: 
Accommodation (short term) - Resort complex = Conversion of Unit 136 to Dorm = 3 x Suites with 2 or less bedrooms</t>
  </si>
  <si>
    <t>D000404029</t>
  </si>
  <si>
    <t>RAL22/0007
Approved: 15/07/2022
Issued: 18/07/2022</t>
  </si>
  <si>
    <t>Endeavour Foundation</t>
  </si>
  <si>
    <t>C/- Town Planning Alliance
PO Box 7657
EAST BRISBANE QLD 4169</t>
  </si>
  <si>
    <t xml:space="preserve">83 Butler St 
Tewantin Qld 4565 </t>
  </si>
  <si>
    <t xml:space="preserve">Lot 1 RP 864131 </t>
  </si>
  <si>
    <t>6 x residential lots</t>
  </si>
  <si>
    <t>1 x residential lot woth dwelling house</t>
  </si>
  <si>
    <t>Lot 7 RP 802632</t>
  </si>
  <si>
    <t xml:space="preserve">Sofitel Noosa Pacific Resort 
14 Hastings St 
NOOSA HEADS  QLD  4567 </t>
  </si>
  <si>
    <r>
      <rPr>
        <strike/>
        <sz val="10"/>
        <rFont val="Arial"/>
        <family val="2"/>
      </rPr>
      <t>Accommodation (short term) - Resort complex = Unit 136 = 1 x Suite with 3 or more bedrooms</t>
    </r>
    <r>
      <rPr>
        <sz val="10"/>
        <rFont val="Arial"/>
        <family val="2"/>
      </rPr>
      <t xml:space="preserve">
</t>
    </r>
    <r>
      <rPr>
        <sz val="10"/>
        <color rgb="FF0000FF"/>
        <rFont val="Arial"/>
        <family val="2"/>
      </rPr>
      <t>• Original Unit 134 - standard standalone room (1 bed unit) = Accommodation (short-term) – Resort Complex = 1 x suite with 2 or less bedrooms
• Original Unit 136/138 - combined managers unit (2 bed unit) = Equivalent to normal Residential use – Caretakers accommodation = Dwelling with 2 bedrooms</t>
    </r>
  </si>
  <si>
    <t>Representations provided with supporting documentation of the previous existing lawful development that is subject to this building approval - Revised amended calculation results in Nil charge</t>
  </si>
  <si>
    <t>DBW22/0060
Approved: 18/07/2022
Issued: 20/07/2022</t>
  </si>
  <si>
    <t>Ms MA Norton</t>
  </si>
  <si>
    <t xml:space="preserve">Lot 14 SP 248179 </t>
  </si>
  <si>
    <t xml:space="preserve">52-78 Coachwood Tce 
Black Mountain Qld 4563 </t>
  </si>
  <si>
    <t xml:space="preserve"> D000406916</t>
  </si>
  <si>
    <t>JULY 2022
Total =</t>
  </si>
  <si>
    <t>MCU22/0049
Approved:19/07/2022
Issued: 21/07/2022</t>
  </si>
  <si>
    <t>PG McHugh &amp; Jendev Pty Ltd TTE</t>
  </si>
  <si>
    <t xml:space="preserve">Lot 35 RP 48113 </t>
  </si>
  <si>
    <t xml:space="preserve">168 Edwards St 
Sunshine Beach Qld 4567 </t>
  </si>
  <si>
    <t>MCU21/0083
Approved:21/07/2022
Issued: 22/07/2022</t>
  </si>
  <si>
    <t>Riverport Properties Pty Ltd</t>
  </si>
  <si>
    <t>C/- Concept Planning and Development Consultants
26 Seafarer Drive
RIVER HEADS QLD 4655</t>
  </si>
  <si>
    <t>25 &amp; 27 Toolar Street 
Tewantin Qld 4565</t>
  </si>
  <si>
    <t>Lots 1 &amp; 2 RP 73072</t>
  </si>
  <si>
    <t xml:space="preserve">Multiple Dwelling = 2 x 3 bed units + 8 x 2 bed units
</t>
  </si>
  <si>
    <t>2 x 3 bed dwelling houses</t>
  </si>
  <si>
    <r>
      <t xml:space="preserve">Delayed Staged Payment Agreement approved 21/04/2022 incl 5% admin fee
Stg Pmt 1 = $6,916.00 Paid 23/05/2022
</t>
    </r>
    <r>
      <rPr>
        <b/>
        <sz val="10"/>
        <color rgb="FFFF0000"/>
        <rFont val="Arial"/>
        <family val="2"/>
      </rPr>
      <t>Bal Pmt = $20,747.00 due by 23 May 2023</t>
    </r>
    <r>
      <rPr>
        <sz val="10"/>
        <color rgb="FF0000FF"/>
        <rFont val="Arial"/>
        <family val="2"/>
      </rPr>
      <t xml:space="preserve">
Pt Pmt 4/07/2022 = $1,728.89 Rec D000402791
Pt Pmt 22/07/2022 = $1,728.89  Rec XXXXX</t>
    </r>
  </si>
  <si>
    <r>
      <rPr>
        <b/>
        <sz val="10"/>
        <color rgb="FF0000FF"/>
        <rFont val="Arial"/>
        <family val="2"/>
      </rPr>
      <t xml:space="preserve">N </t>
    </r>
    <r>
      <rPr>
        <b/>
        <sz val="10"/>
        <rFont val="Arial"/>
        <family val="2"/>
      </rPr>
      <t>1719</t>
    </r>
    <r>
      <rPr>
        <b/>
        <sz val="10"/>
        <color rgb="FFFF0000"/>
        <rFont val="Arial"/>
        <family val="2"/>
      </rPr>
      <t xml:space="preserve">
</t>
    </r>
    <r>
      <rPr>
        <sz val="10"/>
        <color rgb="FFFF0000"/>
        <rFont val="Arial"/>
        <family val="2"/>
      </rPr>
      <t>Stg Pmt 1 = $6,916.00 paid 23/05/2022</t>
    </r>
    <r>
      <rPr>
        <b/>
        <sz val="12"/>
        <color rgb="FFFF0000"/>
        <rFont val="Arial"/>
        <family val="2"/>
      </rPr>
      <t xml:space="preserve">
</t>
    </r>
    <r>
      <rPr>
        <sz val="10"/>
        <color rgb="FFFF0000"/>
        <rFont val="Arial"/>
        <family val="2"/>
      </rPr>
      <t>Bal Pmt = $20,747.00 due 23/05/2023</t>
    </r>
  </si>
  <si>
    <t>Part Bal Pmt</t>
  </si>
  <si>
    <r>
      <rPr>
        <b/>
        <sz val="10"/>
        <color rgb="FF0000FF"/>
        <rFont val="Arial"/>
        <family val="2"/>
      </rPr>
      <t xml:space="preserve">N </t>
    </r>
    <r>
      <rPr>
        <b/>
        <sz val="10"/>
        <rFont val="Arial"/>
        <family val="2"/>
      </rPr>
      <t xml:space="preserve">1478
</t>
    </r>
    <r>
      <rPr>
        <sz val="10"/>
        <color rgb="FFFF0000"/>
        <rFont val="Arial"/>
        <family val="2"/>
      </rPr>
      <t>Final Inspection Cert 8/06/2021
DUE 30 JUNE 2022</t>
    </r>
  </si>
  <si>
    <t>D000408544</t>
  </si>
  <si>
    <t>D000408549</t>
  </si>
  <si>
    <t>Part Paid 25/07/2022 $4,350.00 Receipt: D000408549</t>
  </si>
  <si>
    <r>
      <rPr>
        <b/>
        <sz val="10"/>
        <color rgb="FF0000FF"/>
        <rFont val="Arial"/>
        <family val="2"/>
      </rPr>
      <t xml:space="preserve">N </t>
    </r>
    <r>
      <rPr>
        <b/>
        <sz val="10"/>
        <rFont val="Arial"/>
        <family val="2"/>
      </rPr>
      <t xml:space="preserve">1593
</t>
    </r>
    <r>
      <rPr>
        <sz val="10"/>
        <color rgb="FFFF0000"/>
        <rFont val="Arial"/>
        <family val="2"/>
      </rPr>
      <t>Requested Direct Payment details</t>
    </r>
  </si>
  <si>
    <r>
      <rPr>
        <b/>
        <sz val="10"/>
        <color rgb="FF0000FF"/>
        <rFont val="Arial"/>
        <family val="2"/>
      </rPr>
      <t xml:space="preserve">N </t>
    </r>
    <r>
      <rPr>
        <b/>
        <sz val="10"/>
        <rFont val="Arial"/>
        <family val="2"/>
      </rPr>
      <t>1686</t>
    </r>
  </si>
  <si>
    <t>D000411486</t>
  </si>
  <si>
    <t>D000411556</t>
  </si>
  <si>
    <t>Issued PC21/0306 for Building Works</t>
  </si>
  <si>
    <t>Remaining "trunk" pathways offset constructed under 23118 DA Lot reconfiguration for 8 high density lots (conditions 124 to 127)
Lot 8 = $19,211.00 @ CPI March 2014 Base Date</t>
  </si>
  <si>
    <r>
      <rPr>
        <b/>
        <sz val="10"/>
        <color rgb="FF0000FF"/>
        <rFont val="Arial"/>
        <family val="2"/>
      </rPr>
      <t xml:space="preserve">N </t>
    </r>
    <r>
      <rPr>
        <b/>
        <sz val="10"/>
        <rFont val="Arial"/>
        <family val="2"/>
      </rPr>
      <t xml:space="preserve">1308
</t>
    </r>
    <r>
      <rPr>
        <b/>
        <sz val="10"/>
        <color rgb="FF0000FF"/>
        <rFont val="Arial"/>
        <family val="2"/>
      </rPr>
      <t xml:space="preserve">Negotiated
</t>
    </r>
    <r>
      <rPr>
        <sz val="10"/>
        <color rgb="FFFF0000"/>
        <rFont val="Arial"/>
        <family val="2"/>
      </rPr>
      <t>PC18/0729 CoC 18/09/2020</t>
    </r>
    <r>
      <rPr>
        <sz val="12"/>
        <color rgb="FFFF0000"/>
        <rFont val="Arial"/>
        <family val="2"/>
      </rPr>
      <t xml:space="preserve">
</t>
    </r>
    <r>
      <rPr>
        <sz val="10"/>
        <color rgb="FFFF0000"/>
        <rFont val="Arial"/>
        <family val="2"/>
      </rPr>
      <t xml:space="preserve">Amended STG PMT 3
</t>
    </r>
    <r>
      <rPr>
        <sz val="10"/>
        <color rgb="FF0000FF"/>
        <rFont val="Arial"/>
        <family val="2"/>
      </rPr>
      <t xml:space="preserve"> $5,000.00 paid 27/06/2022</t>
    </r>
    <r>
      <rPr>
        <sz val="10"/>
        <color rgb="FFFF0000"/>
        <rFont val="Arial"/>
        <family val="2"/>
      </rPr>
      <t xml:space="preserve">
 $10,000.00 Due 31 JULY 2022</t>
    </r>
    <r>
      <rPr>
        <b/>
        <sz val="10"/>
        <color rgb="FFFF0000"/>
        <rFont val="Arial"/>
        <family val="2"/>
      </rPr>
      <t xml:space="preserve">
</t>
    </r>
  </si>
  <si>
    <r>
      <t xml:space="preserve">Negotiated Decision additional condition 81 &amp; 82 approved area for sole use of vehicle manouvering &amp; loading. IC = 47,830 @ 2017-2018
STAGED PAYMENT AGREEMENTS DATED 28/06/2021 </t>
    </r>
    <r>
      <rPr>
        <sz val="10"/>
        <color rgb="FFFF0000"/>
        <rFont val="Arial"/>
        <family val="2"/>
      </rPr>
      <t>(Amended due to COVID-19 Business Support Initiative dated 26 March 2020)</t>
    </r>
    <r>
      <rPr>
        <sz val="10"/>
        <color rgb="FF0000FF"/>
        <rFont val="Arial"/>
        <family val="2"/>
      </rPr>
      <t xml:space="preserve">
</t>
    </r>
    <r>
      <rPr>
        <sz val="10"/>
        <color rgb="FFFF0000"/>
        <rFont val="Arial"/>
        <family val="2"/>
      </rPr>
      <t xml:space="preserve">Amended Stg Pmt 3 8/06/2022 to:
</t>
    </r>
    <r>
      <rPr>
        <sz val="10"/>
        <color rgb="FF0000FF"/>
        <rFont val="Arial"/>
        <family val="2"/>
      </rPr>
      <t>- $5,000.00 Due 30 JUNE 2022 paid 27/06/2022</t>
    </r>
    <r>
      <rPr>
        <sz val="10"/>
        <color rgb="FFFF0000"/>
        <rFont val="Arial"/>
        <family val="2"/>
      </rPr>
      <t xml:space="preserve">
- $10,000.00 Due 31 JULY 2022 paid 29/07/2022
</t>
    </r>
  </si>
  <si>
    <t>Paid Part Stg Pmt 3</t>
  </si>
  <si>
    <t>D000411569</t>
  </si>
  <si>
    <r>
      <t xml:space="preserve">Negotiated Decision additional condition 81 &amp; 82 approved area for sole use of vehicle manouvering &amp; loading. IC = 47,830 @ 2017-2018
STAGED PAYMENT AGREEMENTS DATED 28/06/2021 </t>
    </r>
    <r>
      <rPr>
        <sz val="10"/>
        <color rgb="FFFF0000"/>
        <rFont val="Arial"/>
        <family val="2"/>
      </rPr>
      <t>(Amended due to COVID-19 Business Support Initiative dated 26 March 2020)</t>
    </r>
    <r>
      <rPr>
        <sz val="10"/>
        <color rgb="FF0000FF"/>
        <rFont val="Arial"/>
        <family val="2"/>
      </rPr>
      <t xml:space="preserve">
</t>
    </r>
    <r>
      <rPr>
        <sz val="10"/>
        <color rgb="FFFF0000"/>
        <rFont val="Arial"/>
        <family val="2"/>
      </rPr>
      <t xml:space="preserve">Amended Stg Pmt 3 8/06/2022 to:
</t>
    </r>
    <r>
      <rPr>
        <sz val="10"/>
        <color rgb="FF0000FF"/>
        <rFont val="Arial"/>
        <family val="2"/>
      </rPr>
      <t>- $5,000.00 Due 30 JUNE 2022 paid 27/06/2022</t>
    </r>
    <r>
      <rPr>
        <sz val="10"/>
        <color rgb="FFFF0000"/>
        <rFont val="Arial"/>
        <family val="2"/>
      </rPr>
      <t xml:space="preserve">
</t>
    </r>
    <r>
      <rPr>
        <sz val="10"/>
        <color rgb="FF0000FF"/>
        <rFont val="Arial"/>
        <family val="2"/>
      </rPr>
      <t>- $10,000.00 Due 31 JULY 2022 paid 29/07/2022</t>
    </r>
    <r>
      <rPr>
        <sz val="10"/>
        <color rgb="FFFF0000"/>
        <rFont val="Arial"/>
        <family val="2"/>
      </rPr>
      <t xml:space="preserve">
- $10,510.00 Due 31 AUG 2022</t>
    </r>
  </si>
  <si>
    <t>AUGUST 2022
Total =</t>
  </si>
  <si>
    <t>D000412358</t>
  </si>
  <si>
    <t>D000414168</t>
  </si>
  <si>
    <r>
      <rPr>
        <b/>
        <sz val="10"/>
        <color rgb="FF0000FF"/>
        <rFont val="Arial"/>
        <family val="2"/>
      </rPr>
      <t xml:space="preserve">N </t>
    </r>
    <r>
      <rPr>
        <b/>
        <sz val="10"/>
        <rFont val="Arial"/>
        <family val="2"/>
      </rPr>
      <t xml:space="preserve">1478
</t>
    </r>
    <r>
      <rPr>
        <sz val="10"/>
        <color rgb="FFFF0000"/>
        <rFont val="Arial"/>
        <family val="2"/>
      </rPr>
      <t>Final Inspection Cert 8/06/2021
DUE 30 June 2022</t>
    </r>
  </si>
  <si>
    <r>
      <t xml:space="preserve">Planning Reg 2022-2023
</t>
    </r>
    <r>
      <rPr>
        <b/>
        <sz val="10"/>
        <color rgb="FFFF0000"/>
        <rFont val="Arial"/>
        <family val="2"/>
      </rPr>
      <t>with Compound Interest from 8/06/2021</t>
    </r>
  </si>
  <si>
    <r>
      <t xml:space="preserve">Part Paid 25/07/2022 $4,350.00
</t>
    </r>
    <r>
      <rPr>
        <b/>
        <sz val="10"/>
        <color rgb="FFFF0000"/>
        <rFont val="Arial"/>
        <family val="2"/>
      </rPr>
      <t>Outstanding Transferred to Rates</t>
    </r>
  </si>
  <si>
    <t>Charges update Journal 1753932 and GL posting journal 1753935</t>
  </si>
  <si>
    <t>D000414880</t>
  </si>
  <si>
    <t>D000414881</t>
  </si>
  <si>
    <r>
      <rPr>
        <b/>
        <sz val="10"/>
        <color rgb="FF0000FF"/>
        <rFont val="Arial"/>
        <family val="2"/>
      </rPr>
      <t xml:space="preserve">N </t>
    </r>
    <r>
      <rPr>
        <b/>
        <sz val="10"/>
        <rFont val="Arial"/>
        <family val="2"/>
      </rPr>
      <t xml:space="preserve">1621
</t>
    </r>
    <r>
      <rPr>
        <sz val="10"/>
        <color rgb="FFFF0000"/>
        <rFont val="Arial"/>
        <family val="2"/>
      </rPr>
      <t>Final Inspection Certificate issued 29/04/2022</t>
    </r>
    <r>
      <rPr>
        <b/>
        <sz val="10"/>
        <color rgb="FFFF0000"/>
        <rFont val="Arial"/>
        <family val="2"/>
      </rPr>
      <t xml:space="preserve">
</t>
    </r>
    <r>
      <rPr>
        <sz val="10"/>
        <color rgb="FFFF0000"/>
        <rFont val="Arial"/>
        <family val="2"/>
      </rPr>
      <t>DUE 3/08/2022 on settlement of sale</t>
    </r>
  </si>
  <si>
    <r>
      <rPr>
        <b/>
        <sz val="10"/>
        <color rgb="FF0000FF"/>
        <rFont val="Arial"/>
        <family val="2"/>
      </rPr>
      <t xml:space="preserve">N </t>
    </r>
    <r>
      <rPr>
        <b/>
        <sz val="10"/>
        <rFont val="Arial"/>
        <family val="2"/>
      </rPr>
      <t xml:space="preserve">1596
</t>
    </r>
    <r>
      <rPr>
        <sz val="10"/>
        <color rgb="FFFF0000"/>
        <rFont val="Arial"/>
        <family val="2"/>
      </rPr>
      <t>Completed per site inspection 3/08/2022
DUE 31 AUG 2022</t>
    </r>
  </si>
  <si>
    <t>D000415545</t>
  </si>
  <si>
    <t>DBW22/0061
Approved: 8/08/2022
Issued: 10/08/2022</t>
  </si>
  <si>
    <t>MJ Greco &amp; JM McGovern</t>
  </si>
  <si>
    <t>Lot 14 SP 243500</t>
  </si>
  <si>
    <t>Horizons At Peregian 
14/45 Lorikeet Dr 
Peregian Beach QLD 4573</t>
  </si>
  <si>
    <t xml:space="preserve"> 2 bedroom dwelling </t>
  </si>
  <si>
    <t>3 bedroom dwelling</t>
  </si>
  <si>
    <t>PC21/0689
Approved: 29/07/2022
Received &amp; Registered by NSC: 04/08/2022</t>
  </si>
  <si>
    <t>PC21/1219
Approved: 28/06/2022
Received &amp; Registered by NSC: 04/08/2022</t>
  </si>
  <si>
    <t>PC22/0770
Approved: 22/07/2022
Received &amp; Registered by NSC: 04/08/2022</t>
  </si>
  <si>
    <t>PC22/0886
Approved: 23/07/2022
Received &amp; Registered by NSC: 04/08/2022</t>
  </si>
  <si>
    <t>Lot 7 RP 131098</t>
  </si>
  <si>
    <t>33 Cooroy Noosa Road
TEWANTIN QLD 4565</t>
  </si>
  <si>
    <t>Shayne &amp; Kim Dudgeon</t>
  </si>
  <si>
    <t>154 Western Branch Road
KIN KIN QLD 4571</t>
  </si>
  <si>
    <t>Lot 1 RP 179734</t>
  </si>
  <si>
    <t>3 Gumdale Court
NOOSAVILLE QLD 4566</t>
  </si>
  <si>
    <t>Lot 30 RP 228902</t>
  </si>
  <si>
    <t>19 Tree Street
POMONA QL 4568</t>
  </si>
  <si>
    <t>PO Box 1422
COOLUM BEACH QLD 4578</t>
  </si>
  <si>
    <t>Lot 2 RP 137376</t>
  </si>
  <si>
    <t>544 Sunrise Road
TINBEERWH QLD 4563</t>
  </si>
  <si>
    <t>Total Concept Homes</t>
  </si>
  <si>
    <t>17 William Street
BUDERIM QLD 4556</t>
  </si>
  <si>
    <t>Lot 1 SP 326083</t>
  </si>
  <si>
    <t>108 Black Mountain Range Road
BLACK MOUNTAIN QLD4563</t>
  </si>
  <si>
    <t>PC22/0522
Approved: 29/07/2022
Received &amp; Registered by NSC: 10/08/2024</t>
  </si>
  <si>
    <t>Hoek Modular Homes</t>
  </si>
  <si>
    <t>6 Leanne Crescent
LAWTON QLD 4501</t>
  </si>
  <si>
    <t>Lot 51 SP15884</t>
  </si>
  <si>
    <t>GTO Building Pty Ltd</t>
  </si>
  <si>
    <t>19 Wagtail Drive
PEREGIAN BEACH QLD 4573</t>
  </si>
  <si>
    <t>Lot 306 P 93143</t>
  </si>
  <si>
    <t>Shaun Lockyer Architects</t>
  </si>
  <si>
    <t>15 Masters Street
NEWSTEAD QLD 4006</t>
  </si>
  <si>
    <t>Lot 565 RP 48112</t>
  </si>
  <si>
    <t>36 Ross Crescent 
SUNSHINE BEACH QLD 4567</t>
  </si>
  <si>
    <t>D000424740</t>
  </si>
  <si>
    <r>
      <rPr>
        <b/>
        <sz val="10"/>
        <color rgb="FF0000FF"/>
        <rFont val="Arial"/>
        <family val="2"/>
      </rPr>
      <t xml:space="preserve">N </t>
    </r>
    <r>
      <rPr>
        <b/>
        <sz val="10"/>
        <rFont val="Arial"/>
        <family val="2"/>
      </rPr>
      <t>1801</t>
    </r>
    <r>
      <rPr>
        <sz val="11"/>
        <color theme="1"/>
        <rFont val="Calibri"/>
        <family val="2"/>
        <scheme val="minor"/>
      </rPr>
      <t/>
    </r>
  </si>
  <si>
    <r>
      <rPr>
        <b/>
        <sz val="10"/>
        <color rgb="FF0000FF"/>
        <rFont val="Arial"/>
        <family val="2"/>
      </rPr>
      <t xml:space="preserve">N </t>
    </r>
    <r>
      <rPr>
        <b/>
        <sz val="10"/>
        <rFont val="Arial"/>
        <family val="2"/>
      </rPr>
      <t>1802</t>
    </r>
    <r>
      <rPr>
        <sz val="11"/>
        <color theme="1"/>
        <rFont val="Calibri"/>
        <family val="2"/>
        <scheme val="minor"/>
      </rPr>
      <t/>
    </r>
  </si>
  <si>
    <r>
      <rPr>
        <b/>
        <sz val="10"/>
        <color rgb="FF0000FF"/>
        <rFont val="Arial"/>
        <family val="2"/>
      </rPr>
      <t xml:space="preserve">N </t>
    </r>
    <r>
      <rPr>
        <b/>
        <sz val="10"/>
        <rFont val="Arial"/>
        <family val="2"/>
      </rPr>
      <t>1803</t>
    </r>
    <r>
      <rPr>
        <sz val="11"/>
        <color theme="1"/>
        <rFont val="Calibri"/>
        <family val="2"/>
        <scheme val="minor"/>
      </rPr>
      <t/>
    </r>
  </si>
  <si>
    <r>
      <rPr>
        <b/>
        <sz val="10"/>
        <color rgb="FF0000FF"/>
        <rFont val="Arial"/>
        <family val="2"/>
      </rPr>
      <t xml:space="preserve">N </t>
    </r>
    <r>
      <rPr>
        <b/>
        <sz val="10"/>
        <rFont val="Arial"/>
        <family val="2"/>
      </rPr>
      <t>1806</t>
    </r>
    <r>
      <rPr>
        <sz val="11"/>
        <color theme="1"/>
        <rFont val="Calibri"/>
        <family val="2"/>
        <scheme val="minor"/>
      </rPr>
      <t/>
    </r>
  </si>
  <si>
    <r>
      <rPr>
        <b/>
        <sz val="10"/>
        <color rgb="FF0000FF"/>
        <rFont val="Arial"/>
        <family val="2"/>
      </rPr>
      <t xml:space="preserve">N </t>
    </r>
    <r>
      <rPr>
        <b/>
        <sz val="10"/>
        <rFont val="Arial"/>
        <family val="2"/>
      </rPr>
      <t>1808</t>
    </r>
    <r>
      <rPr>
        <sz val="11"/>
        <color theme="1"/>
        <rFont val="Calibri"/>
        <family val="2"/>
        <scheme val="minor"/>
      </rPr>
      <t/>
    </r>
  </si>
  <si>
    <r>
      <rPr>
        <b/>
        <sz val="10"/>
        <color rgb="FF0000FF"/>
        <rFont val="Arial"/>
        <family val="2"/>
      </rPr>
      <t xml:space="preserve">N </t>
    </r>
    <r>
      <rPr>
        <b/>
        <sz val="10"/>
        <rFont val="Arial"/>
        <family val="2"/>
      </rPr>
      <t>1810</t>
    </r>
    <r>
      <rPr>
        <sz val="11"/>
        <color theme="1"/>
        <rFont val="Calibri"/>
        <family val="2"/>
        <scheme val="minor"/>
      </rPr>
      <t/>
    </r>
  </si>
  <si>
    <r>
      <rPr>
        <b/>
        <sz val="10"/>
        <color rgb="FF0000FF"/>
        <rFont val="Arial"/>
        <family val="2"/>
      </rPr>
      <t xml:space="preserve">N </t>
    </r>
    <r>
      <rPr>
        <b/>
        <sz val="10"/>
        <rFont val="Arial"/>
        <family val="2"/>
      </rPr>
      <t>1811</t>
    </r>
    <r>
      <rPr>
        <sz val="11"/>
        <color theme="1"/>
        <rFont val="Calibri"/>
        <family val="2"/>
        <scheme val="minor"/>
      </rPr>
      <t/>
    </r>
  </si>
  <si>
    <r>
      <rPr>
        <b/>
        <sz val="10"/>
        <color rgb="FF0000FF"/>
        <rFont val="Arial"/>
        <family val="2"/>
      </rPr>
      <t xml:space="preserve">N </t>
    </r>
    <r>
      <rPr>
        <b/>
        <sz val="10"/>
        <rFont val="Arial"/>
        <family val="2"/>
      </rPr>
      <t>1813</t>
    </r>
    <r>
      <rPr>
        <sz val="11"/>
        <color theme="1"/>
        <rFont val="Calibri"/>
        <family val="2"/>
        <scheme val="minor"/>
      </rPr>
      <t/>
    </r>
  </si>
  <si>
    <r>
      <rPr>
        <b/>
        <sz val="10"/>
        <color rgb="FF0000FF"/>
        <rFont val="Arial"/>
        <family val="2"/>
      </rPr>
      <t xml:space="preserve">N </t>
    </r>
    <r>
      <rPr>
        <b/>
        <sz val="10"/>
        <rFont val="Arial"/>
        <family val="2"/>
      </rPr>
      <t>1814</t>
    </r>
    <r>
      <rPr>
        <sz val="11"/>
        <color theme="1"/>
        <rFont val="Calibri"/>
        <family val="2"/>
        <scheme val="minor"/>
      </rPr>
      <t/>
    </r>
  </si>
  <si>
    <r>
      <rPr>
        <b/>
        <sz val="10"/>
        <color rgb="FF0000FF"/>
        <rFont val="Arial"/>
        <family val="2"/>
      </rPr>
      <t xml:space="preserve">N </t>
    </r>
    <r>
      <rPr>
        <b/>
        <sz val="10"/>
        <rFont val="Arial"/>
        <family val="2"/>
      </rPr>
      <t>1816</t>
    </r>
    <r>
      <rPr>
        <sz val="11"/>
        <color theme="1"/>
        <rFont val="Calibri"/>
        <family val="2"/>
        <scheme val="minor"/>
      </rPr>
      <t/>
    </r>
  </si>
  <si>
    <r>
      <rPr>
        <b/>
        <sz val="10"/>
        <color rgb="FF0000FF"/>
        <rFont val="Arial"/>
        <family val="2"/>
      </rPr>
      <t xml:space="preserve">N </t>
    </r>
    <r>
      <rPr>
        <b/>
        <sz val="10"/>
        <rFont val="Arial"/>
        <family val="2"/>
      </rPr>
      <t>1817</t>
    </r>
    <r>
      <rPr>
        <sz val="11"/>
        <color theme="1"/>
        <rFont val="Calibri"/>
        <family val="2"/>
        <scheme val="minor"/>
      </rPr>
      <t/>
    </r>
  </si>
  <si>
    <r>
      <rPr>
        <b/>
        <sz val="10"/>
        <color rgb="FF0000FF"/>
        <rFont val="Arial"/>
        <family val="2"/>
      </rPr>
      <t xml:space="preserve">N </t>
    </r>
    <r>
      <rPr>
        <b/>
        <sz val="10"/>
        <rFont val="Arial"/>
        <family val="2"/>
      </rPr>
      <t>1818</t>
    </r>
    <r>
      <rPr>
        <sz val="11"/>
        <color theme="1"/>
        <rFont val="Calibri"/>
        <family val="2"/>
        <scheme val="minor"/>
      </rPr>
      <t/>
    </r>
  </si>
  <si>
    <r>
      <rPr>
        <b/>
        <sz val="10"/>
        <color rgb="FF0000FF"/>
        <rFont val="Arial"/>
        <family val="2"/>
      </rPr>
      <t xml:space="preserve">N </t>
    </r>
    <r>
      <rPr>
        <b/>
        <sz val="10"/>
        <rFont val="Arial"/>
        <family val="2"/>
      </rPr>
      <t>1821</t>
    </r>
    <r>
      <rPr>
        <sz val="11"/>
        <color theme="1"/>
        <rFont val="Calibri"/>
        <family val="2"/>
        <scheme val="minor"/>
      </rPr>
      <t/>
    </r>
  </si>
  <si>
    <r>
      <rPr>
        <b/>
        <sz val="10"/>
        <color rgb="FF0000FF"/>
        <rFont val="Arial"/>
        <family val="2"/>
      </rPr>
      <t xml:space="preserve">N </t>
    </r>
    <r>
      <rPr>
        <b/>
        <sz val="10"/>
        <rFont val="Arial"/>
        <family val="2"/>
      </rPr>
      <t>1822</t>
    </r>
    <r>
      <rPr>
        <sz val="11"/>
        <color theme="1"/>
        <rFont val="Calibri"/>
        <family val="2"/>
        <scheme val="minor"/>
      </rPr>
      <t/>
    </r>
  </si>
  <si>
    <r>
      <rPr>
        <b/>
        <sz val="10"/>
        <color rgb="FF0000FF"/>
        <rFont val="Arial"/>
        <family val="2"/>
      </rPr>
      <t xml:space="preserve">N </t>
    </r>
    <r>
      <rPr>
        <b/>
        <sz val="10"/>
        <rFont val="Arial"/>
        <family val="2"/>
      </rPr>
      <t>1823</t>
    </r>
    <r>
      <rPr>
        <sz val="11"/>
        <color theme="1"/>
        <rFont val="Calibri"/>
        <family val="2"/>
        <scheme val="minor"/>
      </rPr>
      <t/>
    </r>
  </si>
  <si>
    <r>
      <rPr>
        <b/>
        <sz val="10"/>
        <color rgb="FF0000FF"/>
        <rFont val="Arial"/>
        <family val="2"/>
      </rPr>
      <t xml:space="preserve">N </t>
    </r>
    <r>
      <rPr>
        <b/>
        <sz val="10"/>
        <rFont val="Arial"/>
        <family val="2"/>
      </rPr>
      <t>1824</t>
    </r>
    <r>
      <rPr>
        <sz val="11"/>
        <color theme="1"/>
        <rFont val="Calibri"/>
        <family val="2"/>
        <scheme val="minor"/>
      </rPr>
      <t/>
    </r>
  </si>
  <si>
    <r>
      <rPr>
        <b/>
        <sz val="10"/>
        <color rgb="FF0000FF"/>
        <rFont val="Arial"/>
        <family val="2"/>
      </rPr>
      <t xml:space="preserve">N </t>
    </r>
    <r>
      <rPr>
        <b/>
        <sz val="10"/>
        <rFont val="Arial"/>
        <family val="2"/>
      </rPr>
      <t>1827</t>
    </r>
    <r>
      <rPr>
        <sz val="11"/>
        <color theme="1"/>
        <rFont val="Calibri"/>
        <family val="2"/>
        <scheme val="minor"/>
      </rPr>
      <t/>
    </r>
  </si>
  <si>
    <r>
      <rPr>
        <b/>
        <sz val="10"/>
        <color rgb="FF0000FF"/>
        <rFont val="Arial"/>
        <family val="2"/>
      </rPr>
      <t xml:space="preserve">N </t>
    </r>
    <r>
      <rPr>
        <b/>
        <sz val="10"/>
        <rFont val="Arial"/>
        <family val="2"/>
      </rPr>
      <t>1830</t>
    </r>
    <r>
      <rPr>
        <sz val="11"/>
        <color theme="1"/>
        <rFont val="Calibri"/>
        <family val="2"/>
        <scheme val="minor"/>
      </rPr>
      <t/>
    </r>
  </si>
  <si>
    <r>
      <rPr>
        <b/>
        <sz val="10"/>
        <color rgb="FF0000FF"/>
        <rFont val="Arial"/>
        <family val="2"/>
      </rPr>
      <t xml:space="preserve">N </t>
    </r>
    <r>
      <rPr>
        <b/>
        <sz val="10"/>
        <rFont val="Arial"/>
        <family val="2"/>
      </rPr>
      <t>1831</t>
    </r>
    <r>
      <rPr>
        <sz val="11"/>
        <color theme="1"/>
        <rFont val="Calibri"/>
        <family val="2"/>
        <scheme val="minor"/>
      </rPr>
      <t/>
    </r>
  </si>
  <si>
    <r>
      <rPr>
        <b/>
        <sz val="10"/>
        <color rgb="FF0000FF"/>
        <rFont val="Arial"/>
        <family val="2"/>
      </rPr>
      <t xml:space="preserve">N </t>
    </r>
    <r>
      <rPr>
        <b/>
        <sz val="10"/>
        <rFont val="Arial"/>
        <family val="2"/>
      </rPr>
      <t>1833</t>
    </r>
    <r>
      <rPr>
        <sz val="11"/>
        <color theme="1"/>
        <rFont val="Calibri"/>
        <family val="2"/>
        <scheme val="minor"/>
      </rPr>
      <t/>
    </r>
  </si>
  <si>
    <r>
      <rPr>
        <b/>
        <sz val="10"/>
        <color rgb="FF0000FF"/>
        <rFont val="Arial"/>
        <family val="2"/>
      </rPr>
      <t xml:space="preserve">N </t>
    </r>
    <r>
      <rPr>
        <b/>
        <sz val="10"/>
        <rFont val="Arial"/>
        <family val="2"/>
      </rPr>
      <t>1834</t>
    </r>
    <r>
      <rPr>
        <sz val="11"/>
        <color theme="1"/>
        <rFont val="Calibri"/>
        <family val="2"/>
        <scheme val="minor"/>
      </rPr>
      <t/>
    </r>
  </si>
  <si>
    <r>
      <rPr>
        <b/>
        <sz val="10"/>
        <color rgb="FF0000FF"/>
        <rFont val="Arial"/>
        <family val="2"/>
      </rPr>
      <t xml:space="preserve">N </t>
    </r>
    <r>
      <rPr>
        <b/>
        <sz val="10"/>
        <rFont val="Arial"/>
        <family val="2"/>
      </rPr>
      <t>1838</t>
    </r>
    <r>
      <rPr>
        <sz val="11"/>
        <color theme="1"/>
        <rFont val="Calibri"/>
        <family val="2"/>
        <scheme val="minor"/>
      </rPr>
      <t/>
    </r>
  </si>
  <si>
    <r>
      <rPr>
        <b/>
        <sz val="10"/>
        <color rgb="FF0000FF"/>
        <rFont val="Arial"/>
        <family val="2"/>
      </rPr>
      <t xml:space="preserve">N </t>
    </r>
    <r>
      <rPr>
        <b/>
        <sz val="10"/>
        <rFont val="Arial"/>
        <family val="2"/>
      </rPr>
      <t>1839</t>
    </r>
    <r>
      <rPr>
        <sz val="11"/>
        <color theme="1"/>
        <rFont val="Calibri"/>
        <family val="2"/>
        <scheme val="minor"/>
      </rPr>
      <t/>
    </r>
  </si>
  <si>
    <r>
      <rPr>
        <b/>
        <sz val="10"/>
        <color rgb="FF0000FF"/>
        <rFont val="Arial"/>
        <family val="2"/>
      </rPr>
      <t xml:space="preserve">N </t>
    </r>
    <r>
      <rPr>
        <b/>
        <sz val="10"/>
        <rFont val="Arial"/>
        <family val="2"/>
      </rPr>
      <t xml:space="preserve">1782
</t>
    </r>
  </si>
  <si>
    <t>5A Lake Cooroibah Road
COOROIBAH QLD 4565</t>
  </si>
  <si>
    <t>D000426940</t>
  </si>
  <si>
    <r>
      <rPr>
        <b/>
        <sz val="10"/>
        <color rgb="FF0000FF"/>
        <rFont val="Arial"/>
        <family val="2"/>
      </rPr>
      <t xml:space="preserve">N </t>
    </r>
    <r>
      <rPr>
        <b/>
        <sz val="10"/>
        <rFont val="Arial"/>
        <family val="2"/>
      </rPr>
      <t xml:space="preserve">1645
</t>
    </r>
    <r>
      <rPr>
        <i/>
        <sz val="10"/>
        <color rgb="FF0000FF"/>
        <rFont val="Arial"/>
        <family val="2"/>
      </rPr>
      <t>PC21/1385 Final Inspect Cert issued 28/06/2022</t>
    </r>
    <r>
      <rPr>
        <b/>
        <sz val="10"/>
        <rFont val="Arial"/>
        <family val="2"/>
      </rPr>
      <t xml:space="preserve">
</t>
    </r>
    <r>
      <rPr>
        <sz val="10"/>
        <color rgb="FFFF0000"/>
        <rFont val="Arial"/>
        <family val="2"/>
      </rPr>
      <t>DUE 31 AUG 2022</t>
    </r>
  </si>
  <si>
    <t>DBW22/0074
Approved: 19/08/2022
Issued: 23/08/2022</t>
  </si>
  <si>
    <t>19/08//2024</t>
  </si>
  <si>
    <t>11A Memorial Ave
POMONA QLD 4568</t>
  </si>
  <si>
    <t xml:space="preserve">498 Cooroy Mountain Rd 
Cooroy Mountain Qld 4563 </t>
  </si>
  <si>
    <t xml:space="preserve">Lot 1 RP 210844 </t>
  </si>
  <si>
    <t>MCU22/0038
Approved:18/08/2022
Issued: 24/08/2022</t>
  </si>
  <si>
    <t>Lot 3 SP 246584
(Future Lot 22)</t>
  </si>
  <si>
    <t>Noosa Civic 28 Eenie Creek Rd Noosaville Qld 4566 
(Future Lot 22)</t>
  </si>
  <si>
    <t xml:space="preserve">SBC Infrastructure Agreement  MP2 Precinct B3 Credits used = 2,1701 m2 gfa Business/Office + 1,746 m2 impervious area
</t>
  </si>
  <si>
    <t>Commercial Business
Type 1 Office &amp; Type 2 Medical (interchangeable) = 2,170 m2 gfa + 1,746 m2 impervious area</t>
  </si>
  <si>
    <t>MCU21/0228
Approved:18/08/2022
Issued: 24/08/2022</t>
  </si>
  <si>
    <t>Altum Property Group</t>
  </si>
  <si>
    <t>245 David Low Way 
Peregian Beach Qld 4573</t>
  </si>
  <si>
    <t xml:space="preserve">Lot 22 P 9315 </t>
  </si>
  <si>
    <t>Dual Occupancy = 2 x 2 bed units, &amp; 
Office = 100 m2 gfa + 455 m2 Impervious area</t>
  </si>
  <si>
    <t>Condition 28 &amp; 33 re Trunk pathway upgrade along frontage</t>
  </si>
  <si>
    <t>Reduction (-799.00) included for Units Stormwater 10% component already covered by Office overall Non-Residential Stormwater Impervious area.</t>
  </si>
  <si>
    <t>Building Work
Caloundra Building Approvals - Permit Number: 00010558</t>
  </si>
  <si>
    <t>Building Work
Earthcert Building Approvals - Permit Number: 210073</t>
  </si>
  <si>
    <t>Building Work
Project B.A - Permit Number: 20222722</t>
  </si>
  <si>
    <t>Building Work
Re: Fluid Building Approvals  - Permit Number: 2459/21</t>
  </si>
  <si>
    <t>Building Work
Re: Earthcert Building Approvals  - Permit Number: 210406</t>
  </si>
  <si>
    <t>Building Work
Re: Suncoast Building Approvals  - Permit Number: 00017193</t>
  </si>
  <si>
    <t>Building Work
Re: Caloundra Building Approvals  - Permit Number: 00010352</t>
  </si>
  <si>
    <t>Building Work
Re: Earthcert Building Approvals  - Permit Number: 210533</t>
  </si>
  <si>
    <t xml:space="preserve">Garry Trevor Coulstock
Caloundra Building Approvals 
</t>
  </si>
  <si>
    <t>19 Orcades Street 
SUNRISE BEACH QLD 4567</t>
  </si>
  <si>
    <t>Lot 439 RP 180560</t>
  </si>
  <si>
    <t>PO Box 135
GOLDEN BEACH 4551</t>
  </si>
  <si>
    <t>Mark Jupp</t>
  </si>
  <si>
    <t>4 Paul Street
HOOSA HEADS QLD 4567</t>
  </si>
  <si>
    <t>Lot 34 RP 128795</t>
  </si>
  <si>
    <t xml:space="preserve">Scott Stewart 
</t>
  </si>
  <si>
    <t>797 Ringtail Creek Road
POMONA QLD 4563</t>
  </si>
  <si>
    <t>Lot 4 RP 21371</t>
  </si>
  <si>
    <r>
      <t xml:space="preserve">Delayed Staged Payment Agreement approved 21/04/2022 incl 5% admin fee
Stg Pmt 1 = $6,916.00 Paid 23/05/2022
</t>
    </r>
    <r>
      <rPr>
        <b/>
        <sz val="10"/>
        <color rgb="FFFF0000"/>
        <rFont val="Arial"/>
        <family val="2"/>
      </rPr>
      <t>Bal Pmt = $20,747.00 due by 23 May 2023</t>
    </r>
    <r>
      <rPr>
        <sz val="10"/>
        <color rgb="FF0000FF"/>
        <rFont val="Arial"/>
        <family val="2"/>
      </rPr>
      <t xml:space="preserve">
Pt Pmt 4/07/2022 = $1,728.89 Rec D000402791
Pt Pmt 22/07/2022 = $1,728.89  Rec D000408544 
Pt Pmt 25/08/2022 = $1,728.89  Rec D000433948</t>
    </r>
  </si>
  <si>
    <t>D000433948</t>
  </si>
  <si>
    <r>
      <rPr>
        <b/>
        <sz val="10"/>
        <color rgb="FF0000FF"/>
        <rFont val="Arial"/>
        <family val="2"/>
      </rPr>
      <t xml:space="preserve">N </t>
    </r>
    <r>
      <rPr>
        <b/>
        <sz val="10"/>
        <rFont val="Arial"/>
        <family val="2"/>
      </rPr>
      <t xml:space="preserve">1719
</t>
    </r>
    <r>
      <rPr>
        <sz val="10"/>
        <color rgb="FFFF0000"/>
        <rFont val="Arial"/>
        <family val="2"/>
      </rPr>
      <t>Final Inspection Cert &amp; Certificate of Occupancy 1/04/2022</t>
    </r>
    <r>
      <rPr>
        <b/>
        <sz val="10"/>
        <color rgb="FFFF0000"/>
        <rFont val="Arial"/>
        <family val="2"/>
      </rPr>
      <t xml:space="preserve">
</t>
    </r>
    <r>
      <rPr>
        <sz val="10"/>
        <color rgb="FFFF0000"/>
        <rFont val="Arial"/>
        <family val="2"/>
      </rPr>
      <t>StgPmt1=$6,916.00 pd 23/5/2022</t>
    </r>
    <r>
      <rPr>
        <b/>
        <sz val="12"/>
        <color rgb="FFFF0000"/>
        <rFont val="Arial"/>
        <family val="2"/>
      </rPr>
      <t xml:space="preserve">
</t>
    </r>
    <r>
      <rPr>
        <sz val="10"/>
        <color rgb="FFFF0000"/>
        <rFont val="Arial"/>
        <family val="2"/>
      </rPr>
      <t>Bal Pmt2= $20,747.00 due 23/05/2023</t>
    </r>
  </si>
  <si>
    <t>Dwelling = Secondary dwelling</t>
  </si>
  <si>
    <t>Residential lot</t>
  </si>
  <si>
    <r>
      <t xml:space="preserve">When the certificate of classification or final inspection certificate for the building work is given &amp;/or prior to occupancy of the building.
</t>
    </r>
    <r>
      <rPr>
        <sz val="10"/>
        <color rgb="FF0000FF"/>
        <rFont val="Arial"/>
        <family val="2"/>
      </rPr>
      <t>HOWEVER, ONLY becomes payable following completion of a future primary “detached house” on the property.</t>
    </r>
  </si>
  <si>
    <r>
      <rPr>
        <b/>
        <sz val="10"/>
        <color rgb="FF0000FF"/>
        <rFont val="Arial"/>
        <family val="2"/>
      </rPr>
      <t xml:space="preserve">N </t>
    </r>
    <r>
      <rPr>
        <b/>
        <sz val="10"/>
        <rFont val="Arial"/>
        <family val="2"/>
      </rPr>
      <t xml:space="preserve">1653
</t>
    </r>
    <r>
      <rPr>
        <sz val="10"/>
        <color rgb="FFFF0000"/>
        <rFont val="Arial"/>
        <family val="2"/>
      </rPr>
      <t>Final Inspection Cert 7/07/2022
DUE 29 AUG 2022</t>
    </r>
  </si>
  <si>
    <t>D000435124</t>
  </si>
  <si>
    <r>
      <rPr>
        <b/>
        <sz val="10"/>
        <color rgb="FF0000FF"/>
        <rFont val="Arial"/>
        <family val="2"/>
      </rPr>
      <t xml:space="preserve">N </t>
    </r>
    <r>
      <rPr>
        <b/>
        <sz val="10"/>
        <rFont val="Arial"/>
        <family val="2"/>
      </rPr>
      <t xml:space="preserve">1764
</t>
    </r>
    <r>
      <rPr>
        <sz val="10"/>
        <color rgb="FFFF0000"/>
        <rFont val="Arial"/>
        <family val="2"/>
      </rPr>
      <t xml:space="preserve">Use commenced 25/08/2022
DUE 21 SEPT </t>
    </r>
  </si>
  <si>
    <r>
      <rPr>
        <b/>
        <sz val="10"/>
        <color rgb="FF0000FF"/>
        <rFont val="Arial"/>
        <family val="2"/>
      </rPr>
      <t xml:space="preserve">N </t>
    </r>
    <r>
      <rPr>
        <b/>
        <sz val="10"/>
        <rFont val="Arial"/>
        <family val="2"/>
      </rPr>
      <t xml:space="preserve">1308
</t>
    </r>
    <r>
      <rPr>
        <b/>
        <sz val="10"/>
        <color rgb="FF0000FF"/>
        <rFont val="Arial"/>
        <family val="2"/>
      </rPr>
      <t xml:space="preserve">Negotiated
</t>
    </r>
    <r>
      <rPr>
        <sz val="10"/>
        <color rgb="FFFF0000"/>
        <rFont val="Arial"/>
        <family val="2"/>
      </rPr>
      <t>PC18/0729 CoC 18/09/2020</t>
    </r>
    <r>
      <rPr>
        <sz val="12"/>
        <color rgb="FFFF0000"/>
        <rFont val="Arial"/>
        <family val="2"/>
      </rPr>
      <t xml:space="preserve">
</t>
    </r>
    <r>
      <rPr>
        <sz val="10"/>
        <color rgb="FFFF0000"/>
        <rFont val="Arial"/>
        <family val="2"/>
      </rPr>
      <t xml:space="preserve">Amended STG PMT 3
</t>
    </r>
    <r>
      <rPr>
        <sz val="10"/>
        <color rgb="FF0000FF"/>
        <rFont val="Arial"/>
        <family val="2"/>
      </rPr>
      <t xml:space="preserve"> $5,000.00 paid 27/06/2022</t>
    </r>
    <r>
      <rPr>
        <sz val="10"/>
        <color rgb="FFFF0000"/>
        <rFont val="Arial"/>
        <family val="2"/>
      </rPr>
      <t xml:space="preserve">
</t>
    </r>
    <r>
      <rPr>
        <sz val="10"/>
        <color rgb="FF0000FF"/>
        <rFont val="Arial"/>
        <family val="2"/>
      </rPr>
      <t xml:space="preserve"> $10,000.00 paid 29/07/2022</t>
    </r>
    <r>
      <rPr>
        <sz val="10"/>
        <color rgb="FFFF0000"/>
        <rFont val="Arial"/>
        <family val="2"/>
      </rPr>
      <t xml:space="preserve">
 $10,510.00 Due 31 AUG 2022</t>
    </r>
  </si>
  <si>
    <t>Paid final stg pmt balance</t>
  </si>
  <si>
    <t>Susan &amp; Mike Rumford</t>
  </si>
  <si>
    <t>330 Schreibers Road
COORAN QLD 4569</t>
  </si>
  <si>
    <t>Lot 15 RP 187354</t>
  </si>
  <si>
    <t>Building Work
Earthcert Building Approvals - Permit Number: 220255</t>
  </si>
  <si>
    <t>Patrick L'Estrange</t>
  </si>
  <si>
    <t xml:space="preserve">Unit 1 / 2 Weyba Street
SUNSHINE BEACH QLD 4567
</t>
  </si>
  <si>
    <t>Lot 6 SP 241382</t>
  </si>
  <si>
    <t>36 Highland Drive
LAKE MACDONALD QLD 4563</t>
  </si>
  <si>
    <r>
      <rPr>
        <b/>
        <sz val="10"/>
        <color rgb="FF0000FF"/>
        <rFont val="Arial"/>
        <family val="2"/>
      </rPr>
      <t xml:space="preserve">N </t>
    </r>
    <r>
      <rPr>
        <b/>
        <sz val="10"/>
        <rFont val="Arial"/>
        <family val="2"/>
      </rPr>
      <t xml:space="preserve">1735
</t>
    </r>
    <r>
      <rPr>
        <sz val="10"/>
        <color rgb="FFFF0000"/>
        <rFont val="Arial"/>
        <family val="2"/>
      </rPr>
      <t>Owner notified completion 1.09.2022</t>
    </r>
  </si>
  <si>
    <t>NSC CR (No.7)</t>
  </si>
  <si>
    <t>BR Williams</t>
  </si>
  <si>
    <t>Lakelands Resort 
2/396 Lake Cooroibah Rd 
COOROIBAH QLD 4565</t>
  </si>
  <si>
    <t>Lot 2 GTP 1928</t>
  </si>
  <si>
    <t>Staged Dev
6 villas completed Lot 1</t>
  </si>
  <si>
    <r>
      <t xml:space="preserve">Lot 11 RP 209011
</t>
    </r>
    <r>
      <rPr>
        <b/>
        <sz val="8"/>
        <color rgb="FF0000FF"/>
        <rFont val="Arial"/>
        <family val="2"/>
      </rPr>
      <t xml:space="preserve">51987.2966.05 = </t>
    </r>
    <r>
      <rPr>
        <sz val="8"/>
        <color rgb="FF0000FF"/>
        <rFont val="Arial"/>
        <family val="2"/>
      </rPr>
      <t xml:space="preserve">
Lot 2 GTP 1928</t>
    </r>
  </si>
  <si>
    <r>
      <t xml:space="preserve">TPC 1903 
(51987.2966)
</t>
    </r>
    <r>
      <rPr>
        <b/>
        <sz val="8"/>
        <color rgb="FF0000FF"/>
        <rFont val="Arial"/>
        <family val="2"/>
      </rPr>
      <t xml:space="preserve">51987.2966.05 </t>
    </r>
    <r>
      <rPr>
        <sz val="8"/>
        <color rgb="FF0000FF"/>
        <rFont val="Arial"/>
        <family val="2"/>
      </rPr>
      <t>(Minor Change to Lot 2)</t>
    </r>
  </si>
  <si>
    <r>
      <t xml:space="preserve">D.A &amp; V.C Smith
</t>
    </r>
    <r>
      <rPr>
        <b/>
        <sz val="8"/>
        <color rgb="FF0000FF"/>
        <rFont val="Arial"/>
        <family val="2"/>
      </rPr>
      <t xml:space="preserve">51987.2966.05 =
BR Williams
</t>
    </r>
  </si>
  <si>
    <r>
      <t xml:space="preserve">81 Torquay Rd East, Redland Bay, QLD 4165
</t>
    </r>
    <r>
      <rPr>
        <sz val="8"/>
        <color rgb="FF0000FF"/>
        <rFont val="Arial"/>
        <family val="2"/>
      </rPr>
      <t xml:space="preserve">
51987.2966.05 =
C/- Martoo Consulting Pty Ltd
PO Box 1684
NOOSA HEADS QLD 4567</t>
    </r>
  </si>
  <si>
    <r>
      <t xml:space="preserve">396 Lake Cooroibah Drive
COOROIBAH QLD 4565
</t>
    </r>
    <r>
      <rPr>
        <b/>
        <sz val="8"/>
        <color rgb="FF0000FF"/>
        <rFont val="Arial"/>
        <family val="2"/>
      </rPr>
      <t>51987.2966.05 =</t>
    </r>
    <r>
      <rPr>
        <sz val="8"/>
        <color rgb="FF0000FF"/>
        <rFont val="Arial"/>
        <family val="2"/>
      </rPr>
      <t xml:space="preserve">
2/396 Lake Cooroibah Drive
COOROIBAH</t>
    </r>
  </si>
  <si>
    <r>
      <t xml:space="preserve">21/10/1987
</t>
    </r>
    <r>
      <rPr>
        <sz val="8"/>
        <color rgb="FF0000FF"/>
        <rFont val="Arial"/>
        <family val="2"/>
      </rPr>
      <t xml:space="preserve">51987.2966.05 =
30/08/2022 </t>
    </r>
  </si>
  <si>
    <r>
      <t xml:space="preserve">25 Villas + 1 x Caretakers Residence &amp; reception (for which contribution DO
apply) &amp; 1 x Managers residence + 1 x Community facilities building (contributions do NOT apply)
</t>
    </r>
    <r>
      <rPr>
        <sz val="8"/>
        <color rgb="FF0000FF"/>
        <rFont val="Arial"/>
        <family val="2"/>
      </rPr>
      <t>51987.2966.05 = 1 x 3 bed Cartakers Res + 18 x 1 bed glamping tents (equiv to cabin/villa)</t>
    </r>
  </si>
  <si>
    <r>
      <rPr>
        <b/>
        <sz val="10"/>
        <color rgb="FF0000FF"/>
        <rFont val="Arial"/>
        <family val="2"/>
      </rPr>
      <t xml:space="preserve">N </t>
    </r>
    <r>
      <rPr>
        <b/>
        <sz val="10"/>
        <rFont val="Arial"/>
        <family val="2"/>
      </rPr>
      <t xml:space="preserve">1685
</t>
    </r>
    <r>
      <rPr>
        <sz val="10"/>
        <color rgb="FF0000FF"/>
        <rFont val="Arial"/>
        <family val="2"/>
      </rPr>
      <t xml:space="preserve">
PC22/0150 approved 14/03/2022
Inspection 22/08/2022 Change has happened
</t>
    </r>
    <r>
      <rPr>
        <sz val="10"/>
        <color rgb="FFFF0000"/>
        <rFont val="Arial"/>
        <family val="2"/>
      </rPr>
      <t xml:space="preserve">DUE 21SEPT </t>
    </r>
  </si>
  <si>
    <t>D000435669</t>
  </si>
  <si>
    <t>D000435670</t>
  </si>
  <si>
    <t>SEPTEMBER 2022
Total =</t>
  </si>
  <si>
    <t>D000435675</t>
  </si>
  <si>
    <r>
      <rPr>
        <b/>
        <sz val="10"/>
        <color rgb="FF0000FF"/>
        <rFont val="Arial"/>
        <family val="2"/>
      </rPr>
      <t xml:space="preserve">N </t>
    </r>
    <r>
      <rPr>
        <b/>
        <sz val="10"/>
        <rFont val="Arial"/>
        <family val="2"/>
      </rPr>
      <t xml:space="preserve">1565
</t>
    </r>
    <r>
      <rPr>
        <b/>
        <sz val="10"/>
        <color rgb="FF0000FF"/>
        <rFont val="Arial"/>
        <family val="2"/>
      </rPr>
      <t>Negotiated</t>
    </r>
    <r>
      <rPr>
        <b/>
        <sz val="10"/>
        <rFont val="Arial"/>
        <family val="2"/>
      </rPr>
      <t xml:space="preserve">
</t>
    </r>
    <r>
      <rPr>
        <sz val="10"/>
        <color rgb="FFFF0000"/>
        <rFont val="Arial"/>
        <family val="2"/>
      </rPr>
      <t>Final Inspection Cert 20/05/2022
DUE 12 SEPT 2022</t>
    </r>
  </si>
  <si>
    <t>D000435937</t>
  </si>
  <si>
    <t>D000435939</t>
  </si>
  <si>
    <t xml:space="preserve">Lot 2 RP 122891, &amp; Lot 135 RP 92518 </t>
  </si>
  <si>
    <t>10 Natasha Ave &amp; 
24 Katharina St 
Noosa Heads Qld 4567</t>
  </si>
  <si>
    <t>Multiple Units = 2 x 2 bed units 
+
Motel Short term accom = 6 x 1 bed suites + Managers Res 1 x 2 bed unit</t>
  </si>
  <si>
    <t xml:space="preserve">Multiple Units = 2 x 3 bed units + 6 x 2 bed units
</t>
  </si>
  <si>
    <r>
      <rPr>
        <b/>
        <sz val="10"/>
        <color rgb="FF0000FF"/>
        <rFont val="Arial"/>
        <family val="2"/>
      </rPr>
      <t xml:space="preserve">N </t>
    </r>
    <r>
      <rPr>
        <b/>
        <sz val="10"/>
        <rFont val="Arial"/>
        <family val="2"/>
      </rPr>
      <t xml:space="preserve">1762
</t>
    </r>
    <r>
      <rPr>
        <sz val="10"/>
        <color rgb="FFFF0000"/>
        <rFont val="Arial"/>
        <family val="2"/>
      </rPr>
      <t>Owner called advising complete for current amount</t>
    </r>
    <r>
      <rPr>
        <b/>
        <sz val="10"/>
        <rFont val="Arial"/>
        <family val="2"/>
      </rPr>
      <t xml:space="preserve">
</t>
    </r>
    <r>
      <rPr>
        <sz val="10"/>
        <color rgb="FFFF0000"/>
        <rFont val="Arial"/>
        <family val="2"/>
      </rPr>
      <t>DUE 12 SEPT</t>
    </r>
  </si>
  <si>
    <t>D000436616</t>
  </si>
  <si>
    <t>PC22/0890
Approved: 04/07/2022
Received &amp; Registered by NSC: 04/08/2022</t>
  </si>
  <si>
    <t>PC22/0566
Approved: 27/06/2022
Received &amp; Registered by NSC: 10/08/2022</t>
  </si>
  <si>
    <t>PC22/0824
Approved: 01/08/2022
Received &amp; Registered by NSC: 10/08/2022</t>
  </si>
  <si>
    <t>PC22/0977
Approved: 09/08/2022
Received &amp; Registered by NSC: 18/08/2022</t>
  </si>
  <si>
    <t>PC21/0193
Approved: 04/08/2022
Received &amp; Registered by NSC: 18/08/2022</t>
  </si>
  <si>
    <t>PC22/0992
Approved: 09/08/2022
Received &amp; Registered by NSC: 09/08/2022</t>
  </si>
  <si>
    <t>PC22/0857
Approved: 13/07/2022
Received &amp; Registered by NSC: 24/08/2022</t>
  </si>
  <si>
    <t>PC22/0458
Approved: 31/05/2022
Received &amp; Registered by NSC: 24/08/2022</t>
  </si>
  <si>
    <t>PC22/0659
Approved: 10/08/2022
Received &amp; Registered by NSC: 5/09/2022</t>
  </si>
  <si>
    <t>PC21/1263
Approved: 27/06/2022
Received &amp; Registered: 29/06/2022</t>
  </si>
  <si>
    <t>Building Work
BAU Building Approvals United - Permit Number: 22-3365</t>
  </si>
  <si>
    <t>2 Constellation Close
SUNRISE BEACH QLD 4567</t>
  </si>
  <si>
    <t>Lot 127 RP 845994</t>
  </si>
  <si>
    <t>JA Williams &amp; BR Gowley</t>
  </si>
  <si>
    <t>Lot 2 SP 241381</t>
  </si>
  <si>
    <t xml:space="preserve">315 Sister Tree Creek Rd 
Kin Kin Qld 4571 </t>
  </si>
  <si>
    <t xml:space="preserve">Short Term Accommodation = 4 x cabins with 2 or less bedrooms </t>
  </si>
  <si>
    <t>D000438564</t>
  </si>
  <si>
    <t>REVIEW = the access from the “new entry” into to the new lounge No.2 remains open with no future doors added, it is agreed to consider the whole new lower-floor renovation as an extension to the upper floor and on this basis, it is agreed to cancel the infrastructure charge originally issued.</t>
  </si>
  <si>
    <t>Nonad Financial Services P/L TE</t>
  </si>
  <si>
    <t>Outdoor Sport &amp; Recreation = 15 m2 gfa (other than court area)</t>
  </si>
  <si>
    <t>Lot 3 RP 223289</t>
  </si>
  <si>
    <t>16 Goldburg Ct 
Noosaville Qld 4566</t>
  </si>
  <si>
    <r>
      <t xml:space="preserve">1/09/2022
</t>
    </r>
    <r>
      <rPr>
        <sz val="10"/>
        <color rgb="FF0000FF"/>
        <rFont val="Arial"/>
        <family val="2"/>
      </rPr>
      <t>14/09/2022</t>
    </r>
  </si>
  <si>
    <r>
      <rPr>
        <b/>
        <sz val="10"/>
        <color rgb="FF0000FF"/>
        <rFont val="Arial"/>
        <family val="2"/>
      </rPr>
      <t xml:space="preserve">Negotiated N </t>
    </r>
    <r>
      <rPr>
        <b/>
        <sz val="10"/>
        <rFont val="Arial"/>
        <family val="2"/>
      </rPr>
      <t xml:space="preserve">1793 
</t>
    </r>
    <r>
      <rPr>
        <b/>
        <sz val="11"/>
        <color rgb="FF0000FF"/>
        <rFont val="Arial"/>
        <family val="2"/>
      </rPr>
      <t>STAGE 1</t>
    </r>
    <r>
      <rPr>
        <b/>
        <sz val="10"/>
        <rFont val="Arial"/>
        <family val="2"/>
      </rPr>
      <t xml:space="preserve">
</t>
    </r>
    <r>
      <rPr>
        <sz val="10"/>
        <color rgb="FF0000FF"/>
        <rFont val="Arial"/>
        <family val="2"/>
      </rPr>
      <t xml:space="preserve">+
</t>
    </r>
    <r>
      <rPr>
        <i/>
        <sz val="10"/>
        <color rgb="FF0000FF"/>
        <rFont val="Arial"/>
        <family val="2"/>
      </rPr>
      <t>51987.2966.05 Condition 6 
PSP Road Contrib</t>
    </r>
  </si>
  <si>
    <t>Includes
• Transport “Road” network component reduction due to existing Condition 6 Road contribution that continues to apply for the development. 
• Negotiated ICN to apply to each stage 1-3.</t>
  </si>
  <si>
    <r>
      <rPr>
        <b/>
        <sz val="10"/>
        <color rgb="FF0000FF"/>
        <rFont val="Arial"/>
        <family val="2"/>
      </rPr>
      <t xml:space="preserve">Negotiated N </t>
    </r>
    <r>
      <rPr>
        <b/>
        <sz val="10"/>
        <rFont val="Arial"/>
        <family val="2"/>
      </rPr>
      <t xml:space="preserve">1793 
</t>
    </r>
    <r>
      <rPr>
        <b/>
        <sz val="11"/>
        <color rgb="FF0000FF"/>
        <rFont val="Arial"/>
        <family val="2"/>
      </rPr>
      <t>STAGE 2</t>
    </r>
    <r>
      <rPr>
        <b/>
        <sz val="10"/>
        <rFont val="Arial"/>
        <family val="2"/>
      </rPr>
      <t xml:space="preserve">
</t>
    </r>
    <r>
      <rPr>
        <sz val="10"/>
        <color rgb="FF0000FF"/>
        <rFont val="Arial"/>
        <family val="2"/>
      </rPr>
      <t xml:space="preserve">+
</t>
    </r>
    <r>
      <rPr>
        <i/>
        <sz val="10"/>
        <color rgb="FF0000FF"/>
        <rFont val="Arial"/>
        <family val="2"/>
      </rPr>
      <t>51987.2966.05 Condition 6 
PSP Road Contrib</t>
    </r>
  </si>
  <si>
    <r>
      <rPr>
        <b/>
        <sz val="10"/>
        <color rgb="FF0000FF"/>
        <rFont val="Arial"/>
        <family val="2"/>
      </rPr>
      <t xml:space="preserve">Negotiated N </t>
    </r>
    <r>
      <rPr>
        <b/>
        <sz val="10"/>
        <rFont val="Arial"/>
        <family val="2"/>
      </rPr>
      <t xml:space="preserve">1793 
</t>
    </r>
    <r>
      <rPr>
        <b/>
        <sz val="11"/>
        <color rgb="FF0000FF"/>
        <rFont val="Arial"/>
        <family val="2"/>
      </rPr>
      <t>STAGE 3</t>
    </r>
    <r>
      <rPr>
        <b/>
        <sz val="10"/>
        <rFont val="Arial"/>
        <family val="2"/>
      </rPr>
      <t xml:space="preserve">
</t>
    </r>
    <r>
      <rPr>
        <sz val="10"/>
        <color rgb="FF0000FF"/>
        <rFont val="Arial"/>
        <family val="2"/>
      </rPr>
      <t xml:space="preserve">+
</t>
    </r>
    <r>
      <rPr>
        <i/>
        <sz val="10"/>
        <color rgb="FF0000FF"/>
        <rFont val="Arial"/>
        <family val="2"/>
      </rPr>
      <t>51987.2966.05 Condition 6 
PSP Road Contrib</t>
    </r>
  </si>
  <si>
    <r>
      <t xml:space="preserve">Caretakers Res = 3 bedroom dwelling +
Accommodation Short Term = 18 x 1 bedroom Glamping Tents (equiv to Cabin)
</t>
    </r>
    <r>
      <rPr>
        <sz val="10"/>
        <color rgb="FF0000FF"/>
        <rFont val="Arial"/>
        <family val="2"/>
      </rPr>
      <t xml:space="preserve">
Stage 1 = 6 Glaming Tents</t>
    </r>
  </si>
  <si>
    <r>
      <t xml:space="preserve">Caretakers Res = 3 bedroom dwelling +
Accommodation Short Term = 18 x 1 bedroom Glamping Tents (equiv to Cabin)
</t>
    </r>
    <r>
      <rPr>
        <sz val="10"/>
        <color rgb="FF0000FF"/>
        <rFont val="Arial"/>
        <family val="2"/>
      </rPr>
      <t>Stage 2 = 6 Glaming Tents</t>
    </r>
  </si>
  <si>
    <r>
      <t xml:space="preserve">Caretakers Res = 3 bedroom dwelling +
Accommodation Short Term = 18 x 1 bedroom Glamping Tents (equiv to Cabin)
</t>
    </r>
    <r>
      <rPr>
        <sz val="10"/>
        <color rgb="FF0000FF"/>
        <rFont val="Arial"/>
        <family val="2"/>
      </rPr>
      <t>Stage 3 = 6 Glaming Tents</t>
    </r>
  </si>
  <si>
    <t>D000439067</t>
  </si>
  <si>
    <r>
      <rPr>
        <b/>
        <sz val="10"/>
        <color rgb="FF0000FF"/>
        <rFont val="Arial"/>
        <family val="2"/>
      </rPr>
      <t xml:space="preserve">N </t>
    </r>
    <r>
      <rPr>
        <b/>
        <sz val="10"/>
        <rFont val="Arial"/>
        <family val="2"/>
      </rPr>
      <t xml:space="preserve">1397
</t>
    </r>
    <r>
      <rPr>
        <sz val="10"/>
        <color rgb="FFFF0000"/>
        <rFont val="Arial"/>
        <family val="2"/>
      </rPr>
      <t>IA#122 
Pmt 3= $40,000. 1 OCT 2022</t>
    </r>
    <r>
      <rPr>
        <sz val="10"/>
        <rFont val="Arial"/>
        <family val="2"/>
      </rPr>
      <t xml:space="preserve">
</t>
    </r>
  </si>
  <si>
    <t xml:space="preserve">Paid StgPmt3 </t>
  </si>
  <si>
    <r>
      <t xml:space="preserve">Final Inspection Cert issued 18/05/2018
Staged Payment Agreement #81 dated 28/03/2019
</t>
    </r>
    <r>
      <rPr>
        <sz val="10"/>
        <color rgb="FFFF0000"/>
        <rFont val="Arial"/>
        <family val="2"/>
      </rPr>
      <t>(amended due to COVID-19 Business Support Initiatives dated 26 March 2020)
IA AMENDED 9 April 2020 TO COMPLETION OF PRIMARY HOUSE 
Includes Balance $824 Stg pmt 4+Stg Pmt 5 $1,238 + indexation from CPI June 2021</t>
    </r>
  </si>
  <si>
    <t>D000440329</t>
  </si>
  <si>
    <r>
      <t xml:space="preserve">Multiple dwellings = 
12 x 3 bed units + 
</t>
    </r>
    <r>
      <rPr>
        <strike/>
        <sz val="10"/>
        <rFont val="Arial"/>
        <family val="2"/>
      </rPr>
      <t>41</t>
    </r>
    <r>
      <rPr>
        <sz val="10"/>
        <color rgb="FF0000FF"/>
        <rFont val="Arial"/>
        <family val="2"/>
      </rPr>
      <t xml:space="preserve"> </t>
    </r>
    <r>
      <rPr>
        <b/>
        <sz val="10"/>
        <color rgb="FF0000FF"/>
        <rFont val="Arial"/>
        <family val="2"/>
      </rPr>
      <t>57</t>
    </r>
    <r>
      <rPr>
        <sz val="10"/>
        <rFont val="Arial"/>
        <family val="2"/>
      </rPr>
      <t xml:space="preserve"> x 2 bed units + 
</t>
    </r>
    <r>
      <rPr>
        <strike/>
        <sz val="10"/>
        <rFont val="Arial"/>
        <family val="2"/>
      </rPr>
      <t>37</t>
    </r>
    <r>
      <rPr>
        <sz val="10"/>
        <rFont val="Arial"/>
        <family val="2"/>
      </rPr>
      <t xml:space="preserve"> </t>
    </r>
    <r>
      <rPr>
        <b/>
        <sz val="10"/>
        <color rgb="FF0000FF"/>
        <rFont val="Arial"/>
        <family val="2"/>
      </rPr>
      <t>21</t>
    </r>
    <r>
      <rPr>
        <sz val="10"/>
        <rFont val="Arial"/>
        <family val="2"/>
      </rPr>
      <t xml:space="preserve"> x 1 bed units</t>
    </r>
  </si>
  <si>
    <r>
      <t xml:space="preserve">SBC Infrastructure Agreement  MP2 Precinct E2 Credits used = </t>
    </r>
    <r>
      <rPr>
        <strike/>
        <sz val="10"/>
        <color rgb="FF0000FF"/>
        <rFont val="Arial"/>
        <family val="2"/>
      </rPr>
      <t xml:space="preserve">7,531 </t>
    </r>
    <r>
      <rPr>
        <sz val="10"/>
        <color rgb="FF0000FF"/>
        <rFont val="Arial"/>
        <family val="2"/>
      </rPr>
      <t xml:space="preserve">8,000 m2 gfa Business/Office + </t>
    </r>
    <r>
      <rPr>
        <strike/>
        <sz val="10"/>
        <color rgb="FF0000FF"/>
        <rFont val="Arial"/>
        <family val="2"/>
      </rPr>
      <t>9,966</t>
    </r>
    <r>
      <rPr>
        <sz val="10"/>
        <color rgb="FF0000FF"/>
        <rFont val="Arial"/>
        <family val="2"/>
      </rPr>
      <t xml:space="preserve"> 10,514 m2 impervious area
</t>
    </r>
  </si>
  <si>
    <r>
      <t xml:space="preserve">Planning Reg </t>
    </r>
    <r>
      <rPr>
        <strike/>
        <sz val="10"/>
        <rFont val="Arial"/>
        <family val="2"/>
      </rPr>
      <t>2021-2022</t>
    </r>
    <r>
      <rPr>
        <sz val="10"/>
        <rFont val="Arial"/>
        <family val="2"/>
      </rPr>
      <t xml:space="preserve">
</t>
    </r>
    <r>
      <rPr>
        <b/>
        <sz val="10"/>
        <color rgb="FF0000FF"/>
        <rFont val="Arial"/>
        <family val="2"/>
      </rPr>
      <t>2022-2023</t>
    </r>
  </si>
  <si>
    <t>BM &amp; AJ Wood</t>
  </si>
  <si>
    <t>Lot 21 SP 152370</t>
  </si>
  <si>
    <t>18 Akuna Lane
COORAN QLD 4569</t>
  </si>
  <si>
    <t>Retail Vending Australia Pty Ltd</t>
  </si>
  <si>
    <t>Lot 3 RP 71997</t>
  </si>
  <si>
    <t>115 Poinciana Avenue
TEWANTIN QLD 4565</t>
  </si>
  <si>
    <t>Material Change of Use - food and drink outlet = 173m2 of GFA
+ Impervious area = 293m2 Site area less 4m2 landscaped area</t>
  </si>
  <si>
    <t>Existing building area 155m2 of GFA with rear of the site grassed
Existing impervious 155m2 i.e. same as gfa</t>
  </si>
  <si>
    <r>
      <t xml:space="preserve">MCU21/0146
</t>
    </r>
    <r>
      <rPr>
        <sz val="10"/>
        <color rgb="FF0000FF"/>
        <rFont val="Arial"/>
        <family val="2"/>
      </rPr>
      <t>Negotiated Decision</t>
    </r>
    <r>
      <rPr>
        <sz val="10"/>
        <rFont val="Arial"/>
        <family val="2"/>
      </rPr>
      <t xml:space="preserve">
Approved: </t>
    </r>
    <r>
      <rPr>
        <strike/>
        <sz val="10"/>
        <rFont val="Arial"/>
        <family val="2"/>
      </rPr>
      <t>16/06/2022</t>
    </r>
    <r>
      <rPr>
        <sz val="10"/>
        <rFont val="Arial"/>
        <family val="2"/>
      </rPr>
      <t xml:space="preserve">
</t>
    </r>
    <r>
      <rPr>
        <sz val="10"/>
        <color rgb="FF0000FF"/>
        <rFont val="Arial"/>
        <family val="2"/>
      </rPr>
      <t>15/09/2022</t>
    </r>
    <r>
      <rPr>
        <sz val="10"/>
        <rFont val="Arial"/>
        <family val="2"/>
      </rPr>
      <t xml:space="preserve">
Issued: </t>
    </r>
    <r>
      <rPr>
        <strike/>
        <sz val="10"/>
        <rFont val="Arial"/>
        <family val="2"/>
      </rPr>
      <t>21/06/2022</t>
    </r>
    <r>
      <rPr>
        <sz val="10"/>
        <rFont val="Arial"/>
        <family val="2"/>
      </rPr>
      <t xml:space="preserve">
</t>
    </r>
    <r>
      <rPr>
        <sz val="10"/>
        <color rgb="FF0000FF"/>
        <rFont val="Arial"/>
        <family val="2"/>
      </rPr>
      <t>21/09/2022</t>
    </r>
  </si>
  <si>
    <r>
      <rPr>
        <strike/>
        <sz val="10"/>
        <rFont val="Arial"/>
        <family val="2"/>
      </rPr>
      <t>22/06/2022</t>
    </r>
    <r>
      <rPr>
        <sz val="10"/>
        <rFont val="Arial"/>
        <family val="2"/>
      </rPr>
      <t xml:space="preserve">
</t>
    </r>
    <r>
      <rPr>
        <sz val="10"/>
        <color rgb="FF0000FF"/>
        <rFont val="Arial"/>
        <family val="2"/>
      </rPr>
      <t>21/09/2022</t>
    </r>
  </si>
  <si>
    <t>Forde Developments Pty Ltd</t>
  </si>
  <si>
    <t>Lot 40 RP 139776</t>
  </si>
  <si>
    <t>6 Wyandra Street
NOOSA HEADS QLD 4567</t>
  </si>
  <si>
    <t>D000440972</t>
  </si>
  <si>
    <t>Material Change of Use for Offices = GFA 489m2 
Stormwater impervious area = resulting new lot area 875m2 less landscaping 70m2 = 805m2 imprevious</t>
  </si>
  <si>
    <t>Previously existing residential dwelling house</t>
  </si>
  <si>
    <t>Queensland Property Developments Pty Ltd</t>
  </si>
  <si>
    <t>C/- Wiltshire Stevens Architects Pty Ltd 
32 Thomas Street 
WEST END  QLD  4101</t>
  </si>
  <si>
    <t>D000443437</t>
  </si>
  <si>
    <r>
      <t xml:space="preserve">Delayed Staged Payment Agreement approved 21/04/2022 incl 5% admin fee
Stg Pmt 1 = $6,916.00 Paid 23/05/2022
</t>
    </r>
    <r>
      <rPr>
        <b/>
        <sz val="10"/>
        <color rgb="FFFF0000"/>
        <rFont val="Arial"/>
        <family val="2"/>
      </rPr>
      <t>Bal Pmt = $20,747.00 due by 23 May 2023</t>
    </r>
    <r>
      <rPr>
        <sz val="10"/>
        <color rgb="FF0000FF"/>
        <rFont val="Arial"/>
        <family val="2"/>
      </rPr>
      <t xml:space="preserve">
Pt Pmt 4/07/2022 = $1,728.89 Rec D000402791
Pt Pmt 22/07/2022 = $1,728.89  Rec D000408544 
Pt Pmt 25/08/2022 = $1,728.89  Rec D000433948
Pt Pmt 28/09/2022 = $1,728.89  Rec D000443787</t>
    </r>
  </si>
  <si>
    <t>D000443787</t>
  </si>
  <si>
    <r>
      <rPr>
        <b/>
        <sz val="10"/>
        <color rgb="FF0000FF"/>
        <rFont val="Arial"/>
        <family val="2"/>
      </rPr>
      <t xml:space="preserve">N </t>
    </r>
    <r>
      <rPr>
        <b/>
        <sz val="10"/>
        <rFont val="Arial"/>
        <family val="2"/>
      </rPr>
      <t xml:space="preserve">1719
</t>
    </r>
    <r>
      <rPr>
        <sz val="10"/>
        <color rgb="FFFF0000"/>
        <rFont val="Arial"/>
        <family val="2"/>
      </rPr>
      <t>Final Inspection Cert &amp; Certificate of Occupancy 1/04/2022</t>
    </r>
    <r>
      <rPr>
        <b/>
        <sz val="10"/>
        <color rgb="FFFF0000"/>
        <rFont val="Arial"/>
        <family val="2"/>
      </rPr>
      <t xml:space="preserve">
</t>
    </r>
    <r>
      <rPr>
        <sz val="10"/>
        <color rgb="FFFF0000"/>
        <rFont val="Arial"/>
        <family val="2"/>
      </rPr>
      <t>StgPmt1=$6,916.00 pd 23/5/2022
Bal Pmt2= $20,747.00 due 23/05/2023</t>
    </r>
  </si>
  <si>
    <t>PC21/1558
Approved: 23/03/2022
Received &amp; Registered by NSC: 24/03/2022</t>
  </si>
  <si>
    <r>
      <rPr>
        <b/>
        <sz val="10"/>
        <color rgb="FF0000FF"/>
        <rFont val="Arial"/>
        <family val="2"/>
      </rPr>
      <t xml:space="preserve">N </t>
    </r>
    <r>
      <rPr>
        <b/>
        <sz val="10"/>
        <rFont val="Arial"/>
        <family val="2"/>
      </rPr>
      <t xml:space="preserve">1731
</t>
    </r>
    <r>
      <rPr>
        <sz val="10"/>
        <color rgb="FFFF0000"/>
        <rFont val="Arial"/>
        <family val="2"/>
      </rPr>
      <t xml:space="preserve">5/10/2022 Requested to pay by DD </t>
    </r>
  </si>
  <si>
    <r>
      <rPr>
        <b/>
        <sz val="10"/>
        <rFont val="Arial"/>
        <family val="2"/>
      </rPr>
      <t>MCU16/0044.02</t>
    </r>
    <r>
      <rPr>
        <sz val="10"/>
        <rFont val="Arial"/>
        <family val="2"/>
      </rPr>
      <t xml:space="preserve">
Approved: 23/09/2022
Issued: 27/09/2022</t>
    </r>
  </si>
  <si>
    <t>C/- GJ Calder
C/- Noosa Council
9 Pelican Street
TEWANTIN QLD 4565</t>
  </si>
  <si>
    <t>Digital Hub 253 &amp; 255 David Low Way 
Peregian Beach Qld 4573</t>
  </si>
  <si>
    <t>Lot 95 SP 137431 &amp; Lot 1 SP215942</t>
  </si>
  <si>
    <t>New development change 
office = 187m2 gfa + (187+22=209 m2 impervious)</t>
  </si>
  <si>
    <t>Existing approval office = 115m2 gfa &amp; impervious area</t>
  </si>
  <si>
    <r>
      <rPr>
        <b/>
        <sz val="10"/>
        <color rgb="FF0000FF"/>
        <rFont val="Arial"/>
        <family val="2"/>
      </rPr>
      <t xml:space="preserve">N </t>
    </r>
    <r>
      <rPr>
        <b/>
        <sz val="10"/>
        <rFont val="Arial"/>
        <family val="2"/>
      </rPr>
      <t xml:space="preserve">1673
</t>
    </r>
    <r>
      <rPr>
        <sz val="10"/>
        <color rgb="FFFF0000"/>
        <rFont val="Arial"/>
        <family val="2"/>
      </rPr>
      <t>Plan seal lodged &amp; IC payment due letter issued 6/10/2022</t>
    </r>
  </si>
  <si>
    <t>PC21/1014
Approved: 15/09/2022
Received &amp; Registered by NSC: 28/09/2022</t>
  </si>
  <si>
    <t>Building Work
North Shore Building Approvals - Permit Number: 21/155</t>
  </si>
  <si>
    <t>BJ &amp; JM Armstrong</t>
  </si>
  <si>
    <t>138 Black Pinch Road
POMONA QLD 4568</t>
  </si>
  <si>
    <t>Lot 9 RP 227784</t>
  </si>
  <si>
    <r>
      <t xml:space="preserve">OPW20/0108 - Stormwater Drainage Works,
Earthworks, Landscaping, Roadworks
</t>
    </r>
    <r>
      <rPr>
        <b/>
        <sz val="10"/>
        <color rgb="FFFF0000"/>
        <rFont val="Arial"/>
        <family val="2"/>
      </rPr>
      <t>On-Maintenance date = 29/09/2022
Off-Maintenance date = XXXX</t>
    </r>
  </si>
  <si>
    <t>OCTOBER 2022
Total =</t>
  </si>
  <si>
    <t>D000446195</t>
  </si>
  <si>
    <t>Australasian Conference Association Limited</t>
  </si>
  <si>
    <t>C/- Gaskell Planning Consultants
PO Box 8103
WOOLLOONGABBA QLD 4102</t>
  </si>
  <si>
    <t>20 Cooroy Belli Creek Rd 
Cooroy Qld 4563</t>
  </si>
  <si>
    <t xml:space="preserve">Education Establishement = 
Additional 176 m2 gfa +
Additional 146 m2 impervious area </t>
  </si>
  <si>
    <r>
      <rPr>
        <b/>
        <sz val="10"/>
        <color rgb="FF0000FF"/>
        <rFont val="Arial"/>
        <family val="2"/>
      </rPr>
      <t xml:space="preserve">N </t>
    </r>
    <r>
      <rPr>
        <b/>
        <sz val="10"/>
        <rFont val="Arial"/>
        <family val="2"/>
      </rPr>
      <t xml:space="preserve">1601
</t>
    </r>
    <r>
      <rPr>
        <sz val="10"/>
        <color rgb="FFFF0000"/>
        <rFont val="Arial"/>
        <family val="2"/>
      </rPr>
      <t>PC21/1288 issued</t>
    </r>
  </si>
  <si>
    <t>MCU20/0143
Approved: 15/02/2021
Issued: 19/02/2021</t>
  </si>
  <si>
    <r>
      <rPr>
        <b/>
        <sz val="10"/>
        <color rgb="FF0000FF"/>
        <rFont val="Arial"/>
        <family val="2"/>
      </rPr>
      <t xml:space="preserve">N </t>
    </r>
    <r>
      <rPr>
        <b/>
        <sz val="10"/>
        <rFont val="Arial"/>
        <family val="2"/>
      </rPr>
      <t>1698</t>
    </r>
  </si>
  <si>
    <t xml:space="preserve">Part pre-pmt $1,800.00 made 11/10/2022 </t>
  </si>
  <si>
    <t>Part pre-pmt $1,800.00</t>
  </si>
  <si>
    <r>
      <t xml:space="preserve">12/09/2022 Part payment $2,800 Rec: D000438564
Balance = Stg Pmt IA 13/09/2022
Stg Pmt 1 = $745.00 paid 11/10/2022
</t>
    </r>
    <r>
      <rPr>
        <sz val="10"/>
        <color rgb="FFFF0000"/>
        <rFont val="Arial"/>
        <family val="2"/>
      </rPr>
      <t>Stg pmt 2 = $2,237.00 Due 17 Oct 2023</t>
    </r>
  </si>
  <si>
    <t>RL Wiseman &amp; M Wiseman</t>
  </si>
  <si>
    <t>C/- PPLan
PO Box 340
HAMILTON CENTRAL QLD 4007</t>
  </si>
  <si>
    <t xml:space="preserve">49 Donnellys Rd 
Ridgewood Qld 4563 </t>
  </si>
  <si>
    <t>Lot 13 RP 800338</t>
  </si>
  <si>
    <t>D000447445</t>
  </si>
  <si>
    <t>D000447446</t>
  </si>
  <si>
    <r>
      <rPr>
        <b/>
        <sz val="10"/>
        <color rgb="FF0000FF"/>
        <rFont val="Arial"/>
        <family val="2"/>
      </rPr>
      <t xml:space="preserve">N </t>
    </r>
    <r>
      <rPr>
        <b/>
        <sz val="10"/>
        <rFont val="Arial"/>
        <family val="2"/>
      </rPr>
      <t xml:space="preserve">1614
</t>
    </r>
    <r>
      <rPr>
        <i/>
        <sz val="10"/>
        <color rgb="FFFF0000"/>
        <rFont val="Arial"/>
        <family val="2"/>
      </rPr>
      <t>PC21/1073 CoC 16/06/2022
DUE 7 NOV 2022</t>
    </r>
  </si>
  <si>
    <r>
      <rPr>
        <b/>
        <sz val="10"/>
        <color rgb="FF0000FF"/>
        <rFont val="Arial"/>
        <family val="2"/>
      </rPr>
      <t xml:space="preserve">N </t>
    </r>
    <r>
      <rPr>
        <b/>
        <sz val="10"/>
        <rFont val="Arial"/>
        <family val="2"/>
      </rPr>
      <t xml:space="preserve">1615 
</t>
    </r>
    <r>
      <rPr>
        <sz val="10"/>
        <color rgb="FFFF0000"/>
        <rFont val="Arial"/>
        <family val="2"/>
      </rPr>
      <t>PC21/1074 CoC 4/07/2022</t>
    </r>
    <r>
      <rPr>
        <sz val="10"/>
        <rFont val="Arial"/>
        <family val="2"/>
      </rPr>
      <t xml:space="preserve">
</t>
    </r>
    <r>
      <rPr>
        <sz val="10"/>
        <color rgb="FFFF0000"/>
        <rFont val="Arial"/>
        <family val="2"/>
      </rPr>
      <t>DUE 7 NOV 2022</t>
    </r>
  </si>
  <si>
    <r>
      <t xml:space="preserve">12/09/2022 Part payment $2,800 Rec: D000438564
Balance = Stg Pmt IA 13/09/2022
Stg Pmt 1 = $745.00 paid 11/10/2022 Rec: D000447446
</t>
    </r>
    <r>
      <rPr>
        <sz val="10"/>
        <color rgb="FFFF0000"/>
        <rFont val="Arial"/>
        <family val="2"/>
      </rPr>
      <t>Stg pmt 2 = $2,237.00 Due 31 Oct 2023</t>
    </r>
  </si>
  <si>
    <t>Mr RL Clem</t>
  </si>
  <si>
    <t>Lot 134 MCH 181</t>
  </si>
  <si>
    <t>74 Pender Creek Rd 
Kin Kin Qld 4571</t>
  </si>
  <si>
    <t>2 x rural lots</t>
  </si>
  <si>
    <t>1 x rural lot</t>
  </si>
  <si>
    <t>D000447788</t>
  </si>
  <si>
    <t>D000447791</t>
  </si>
  <si>
    <t>D000447800</t>
  </si>
  <si>
    <r>
      <rPr>
        <b/>
        <sz val="10"/>
        <color rgb="FF0000FF"/>
        <rFont val="Arial"/>
        <family val="2"/>
      </rPr>
      <t xml:space="preserve">N </t>
    </r>
    <r>
      <rPr>
        <b/>
        <sz val="10"/>
        <rFont val="Arial"/>
        <family val="2"/>
      </rPr>
      <t xml:space="preserve">1464
</t>
    </r>
    <r>
      <rPr>
        <sz val="10"/>
        <color rgb="FF0000FF"/>
        <rFont val="Arial"/>
        <family val="2"/>
      </rPr>
      <t xml:space="preserve">ONLY becomes payable following completion of future primary Detached House
</t>
    </r>
    <r>
      <rPr>
        <sz val="10"/>
        <color rgb="FFFF0000"/>
        <rFont val="Arial"/>
        <family val="2"/>
      </rPr>
      <t xml:space="preserve">PC19/0920 issued for primary dwelling 17/01/2020
Final Inspect Cert issued 13/04/2021 </t>
    </r>
    <r>
      <rPr>
        <sz val="10"/>
        <rFont val="Arial"/>
        <family val="2"/>
      </rPr>
      <t xml:space="preserve">
</t>
    </r>
    <r>
      <rPr>
        <sz val="10"/>
        <color rgb="FFFF0000"/>
        <rFont val="Arial"/>
        <family val="2"/>
      </rPr>
      <t>DUE 14 OCT 2022</t>
    </r>
  </si>
  <si>
    <r>
      <t xml:space="preserve">23649 DA
</t>
    </r>
    <r>
      <rPr>
        <sz val="8"/>
        <color rgb="FF0000FF"/>
        <rFont val="Arial"/>
        <family val="2"/>
      </rPr>
      <t>132003.221156.4</t>
    </r>
    <r>
      <rPr>
        <b/>
        <sz val="8"/>
        <rFont val="Arial"/>
        <family val="2"/>
      </rPr>
      <t xml:space="preserve">
</t>
    </r>
    <r>
      <rPr>
        <sz val="8"/>
        <color rgb="FF0000FF"/>
        <rFont val="Arial"/>
        <family val="2"/>
      </rPr>
      <t>132003.221156.5</t>
    </r>
  </si>
  <si>
    <r>
      <t>30/06/2005</t>
    </r>
    <r>
      <rPr>
        <sz val="8"/>
        <rFont val="Arial"/>
        <family val="2"/>
      </rPr>
      <t xml:space="preserve">
</t>
    </r>
    <r>
      <rPr>
        <strike/>
        <sz val="8"/>
        <rFont val="Arial"/>
        <family val="2"/>
      </rPr>
      <t>19/08/2009</t>
    </r>
    <r>
      <rPr>
        <sz val="8"/>
        <rFont val="Arial"/>
        <family val="2"/>
      </rPr>
      <t xml:space="preserve">
</t>
    </r>
    <r>
      <rPr>
        <strike/>
        <sz val="8"/>
        <rFont val="Arial"/>
        <family val="2"/>
      </rPr>
      <t>23/08/2013</t>
    </r>
    <r>
      <rPr>
        <sz val="8"/>
        <rFont val="Arial"/>
        <family val="2"/>
      </rPr>
      <t xml:space="preserve">
</t>
    </r>
    <r>
      <rPr>
        <strike/>
        <sz val="8"/>
        <color rgb="FF0000FF"/>
        <rFont val="Arial"/>
        <family val="2"/>
      </rPr>
      <t>26/06/2017</t>
    </r>
    <r>
      <rPr>
        <strike/>
        <sz val="8"/>
        <rFont val="Arial"/>
        <family val="2"/>
      </rPr>
      <t xml:space="preserve">
</t>
    </r>
    <r>
      <rPr>
        <sz val="8"/>
        <color rgb="FF0000FF"/>
        <rFont val="Arial"/>
        <family val="2"/>
      </rPr>
      <t>3/09/2021</t>
    </r>
  </si>
  <si>
    <r>
      <t>30/06/2005</t>
    </r>
    <r>
      <rPr>
        <sz val="8"/>
        <rFont val="Arial"/>
        <family val="2"/>
      </rPr>
      <t xml:space="preserve">
</t>
    </r>
    <r>
      <rPr>
        <strike/>
        <sz val="8"/>
        <rFont val="Arial"/>
        <family val="2"/>
      </rPr>
      <t>19/08/2009</t>
    </r>
    <r>
      <rPr>
        <sz val="8"/>
        <rFont val="Arial"/>
        <family val="2"/>
      </rPr>
      <t xml:space="preserve">
</t>
    </r>
    <r>
      <rPr>
        <strike/>
        <sz val="8"/>
        <rFont val="Arial"/>
        <family val="2"/>
      </rPr>
      <t>23/08/2013</t>
    </r>
    <r>
      <rPr>
        <sz val="8"/>
        <rFont val="Arial"/>
        <family val="2"/>
      </rPr>
      <t xml:space="preserve">
</t>
    </r>
    <r>
      <rPr>
        <strike/>
        <sz val="8"/>
        <color rgb="FF0000FF"/>
        <rFont val="Arial"/>
        <family val="2"/>
      </rPr>
      <t>26/06/2017</t>
    </r>
    <r>
      <rPr>
        <sz val="8"/>
        <color rgb="FF0000FF"/>
        <rFont val="Arial"/>
        <family val="2"/>
      </rPr>
      <t xml:space="preserve">
3/09/2021</t>
    </r>
  </si>
  <si>
    <r>
      <t xml:space="preserve">23648 DA
</t>
    </r>
    <r>
      <rPr>
        <sz val="8"/>
        <color rgb="FF0000FF"/>
        <rFont val="Arial"/>
        <family val="2"/>
      </rPr>
      <t>132003.221157.4
132003.221157.5</t>
    </r>
  </si>
  <si>
    <r>
      <t xml:space="preserve">23647 DA
</t>
    </r>
    <r>
      <rPr>
        <sz val="8"/>
        <color rgb="FF0000FF"/>
        <rFont val="Arial"/>
        <family val="2"/>
      </rPr>
      <t>132003.221158.4 
132003.221158.5</t>
    </r>
  </si>
  <si>
    <r>
      <t>30/06/2005</t>
    </r>
    <r>
      <rPr>
        <sz val="8"/>
        <rFont val="Arial"/>
        <family val="2"/>
      </rPr>
      <t xml:space="preserve">
</t>
    </r>
    <r>
      <rPr>
        <strike/>
        <sz val="8"/>
        <rFont val="Arial"/>
        <family val="2"/>
      </rPr>
      <t>19/08/2009</t>
    </r>
    <r>
      <rPr>
        <sz val="8"/>
        <rFont val="Arial"/>
        <family val="2"/>
      </rPr>
      <t xml:space="preserve">
</t>
    </r>
    <r>
      <rPr>
        <strike/>
        <sz val="8"/>
        <rFont val="Arial"/>
        <family val="2"/>
      </rPr>
      <t xml:space="preserve">23/08/2013
</t>
    </r>
    <r>
      <rPr>
        <strike/>
        <sz val="8"/>
        <color rgb="FF0000FF"/>
        <rFont val="Arial"/>
        <family val="2"/>
      </rPr>
      <t xml:space="preserve">26/06/2017
</t>
    </r>
    <r>
      <rPr>
        <sz val="8"/>
        <color rgb="FF0000FF"/>
        <rFont val="Arial"/>
        <family val="2"/>
      </rPr>
      <t>3/09/2021</t>
    </r>
  </si>
  <si>
    <r>
      <t>30/06/2009</t>
    </r>
    <r>
      <rPr>
        <sz val="8"/>
        <rFont val="Arial"/>
        <family val="2"/>
      </rPr>
      <t xml:space="preserve">
</t>
    </r>
    <r>
      <rPr>
        <strike/>
        <sz val="8"/>
        <rFont val="Arial"/>
        <family val="2"/>
      </rPr>
      <t>30/06/2013</t>
    </r>
    <r>
      <rPr>
        <sz val="8"/>
        <rFont val="Arial"/>
        <family val="2"/>
      </rPr>
      <t xml:space="preserve">
</t>
    </r>
    <r>
      <rPr>
        <strike/>
        <sz val="8"/>
        <rFont val="Arial"/>
        <family val="2"/>
      </rPr>
      <t>30/06/2017</t>
    </r>
    <r>
      <rPr>
        <sz val="8"/>
        <rFont val="Arial"/>
        <family val="2"/>
      </rPr>
      <t xml:space="preserve">
</t>
    </r>
    <r>
      <rPr>
        <strike/>
        <sz val="8"/>
        <color rgb="FF0000FF"/>
        <rFont val="Arial"/>
        <family val="2"/>
      </rPr>
      <t>30/06/2021</t>
    </r>
    <r>
      <rPr>
        <sz val="8"/>
        <color rgb="FF0000FF"/>
        <rFont val="Arial"/>
        <family val="2"/>
      </rPr>
      <t xml:space="preserve">
30/06/2025</t>
    </r>
  </si>
  <si>
    <r>
      <t>30/06/2009</t>
    </r>
    <r>
      <rPr>
        <sz val="8"/>
        <rFont val="Arial"/>
        <family val="2"/>
      </rPr>
      <t xml:space="preserve">
</t>
    </r>
    <r>
      <rPr>
        <strike/>
        <sz val="8"/>
        <rFont val="Arial"/>
        <family val="2"/>
      </rPr>
      <t>30/06/2013</t>
    </r>
    <r>
      <rPr>
        <sz val="8"/>
        <rFont val="Arial"/>
        <family val="2"/>
      </rPr>
      <t xml:space="preserve">
</t>
    </r>
    <r>
      <rPr>
        <strike/>
        <sz val="8"/>
        <rFont val="Arial"/>
        <family val="2"/>
      </rPr>
      <t>30/06/2017</t>
    </r>
    <r>
      <rPr>
        <sz val="8"/>
        <rFont val="Arial"/>
        <family val="2"/>
      </rPr>
      <t xml:space="preserve">
</t>
    </r>
    <r>
      <rPr>
        <strike/>
        <sz val="8"/>
        <color rgb="FF0000FF"/>
        <rFont val="Arial"/>
        <family val="2"/>
      </rPr>
      <t>30/06/202</t>
    </r>
    <r>
      <rPr>
        <sz val="8"/>
        <color rgb="FF0000FF"/>
        <rFont val="Arial"/>
        <family val="2"/>
      </rPr>
      <t>1
30/06/2025</t>
    </r>
  </si>
  <si>
    <r>
      <t>30/06/2009</t>
    </r>
    <r>
      <rPr>
        <sz val="8"/>
        <rFont val="Arial"/>
        <family val="2"/>
      </rPr>
      <t xml:space="preserve">
</t>
    </r>
    <r>
      <rPr>
        <strike/>
        <sz val="8"/>
        <rFont val="Arial"/>
        <family val="2"/>
      </rPr>
      <t>30/06/2013
30/06/2017</t>
    </r>
    <r>
      <rPr>
        <sz val="8"/>
        <rFont val="Arial"/>
        <family val="2"/>
      </rPr>
      <t xml:space="preserve">
</t>
    </r>
    <r>
      <rPr>
        <strike/>
        <sz val="8"/>
        <color rgb="FF0000FF"/>
        <rFont val="Arial"/>
        <family val="2"/>
      </rPr>
      <t xml:space="preserve">30/06/2021
</t>
    </r>
    <r>
      <rPr>
        <sz val="8"/>
        <color rgb="FF0000FF"/>
        <rFont val="Arial"/>
        <family val="2"/>
      </rPr>
      <t>30/06/2025</t>
    </r>
  </si>
  <si>
    <r>
      <t>03/11/2009</t>
    </r>
    <r>
      <rPr>
        <sz val="8"/>
        <rFont val="Arial"/>
        <family val="2"/>
      </rPr>
      <t xml:space="preserve"> 
Stg 2 31/05/2012</t>
    </r>
  </si>
  <si>
    <r>
      <rPr>
        <sz val="8"/>
        <color rgb="FF0000FF"/>
        <rFont val="Arial"/>
        <family val="2"/>
      </rPr>
      <t>Stage 1 Completed</t>
    </r>
    <r>
      <rPr>
        <b/>
        <sz val="8"/>
        <rFont val="Arial"/>
        <family val="2"/>
      </rPr>
      <t xml:space="preserve">
</t>
    </r>
    <r>
      <rPr>
        <b/>
        <sz val="8"/>
        <color rgb="FFFF0000"/>
        <rFont val="Arial"/>
        <family val="2"/>
      </rPr>
      <t>Stage 2 Remaining</t>
    </r>
  </si>
  <si>
    <r>
      <t xml:space="preserve">07/0776 (DA)
</t>
    </r>
    <r>
      <rPr>
        <sz val="8"/>
        <rFont val="Arial"/>
        <family val="2"/>
      </rPr>
      <t xml:space="preserve">132007.776
</t>
    </r>
    <r>
      <rPr>
        <sz val="8"/>
        <color rgb="FF0000FF"/>
        <rFont val="Arial"/>
        <family val="2"/>
      </rPr>
      <t>(Extn:
132007.776.3 &amp;.4 &amp; .5 &amp;.06 &amp; .07)</t>
    </r>
    <r>
      <rPr>
        <sz val="8"/>
        <rFont val="Arial"/>
        <family val="2"/>
      </rPr>
      <t xml:space="preserve">
</t>
    </r>
  </si>
  <si>
    <r>
      <rPr>
        <strike/>
        <sz val="8"/>
        <rFont val="Arial"/>
        <family val="2"/>
      </rPr>
      <t>14/08/2007</t>
    </r>
    <r>
      <rPr>
        <sz val="8"/>
        <rFont val="Arial"/>
        <family val="2"/>
      </rPr>
      <t xml:space="preserve">
</t>
    </r>
    <r>
      <rPr>
        <strike/>
        <sz val="8"/>
        <rFont val="Arial"/>
        <family val="2"/>
      </rPr>
      <t>4/05/2010</t>
    </r>
    <r>
      <rPr>
        <sz val="8"/>
        <rFont val="Arial"/>
        <family val="2"/>
      </rPr>
      <t xml:space="preserve">
</t>
    </r>
    <r>
      <rPr>
        <strike/>
        <sz val="8"/>
        <rFont val="Arial"/>
        <family val="2"/>
      </rPr>
      <t>30/05/2014</t>
    </r>
    <r>
      <rPr>
        <sz val="8"/>
        <rFont val="Arial"/>
        <family val="2"/>
      </rPr>
      <t xml:space="preserve">
</t>
    </r>
    <r>
      <rPr>
        <strike/>
        <sz val="8"/>
        <rFont val="Arial"/>
        <family val="2"/>
      </rPr>
      <t>10/9/2015</t>
    </r>
    <r>
      <rPr>
        <sz val="8"/>
        <rFont val="Arial"/>
        <family val="2"/>
      </rPr>
      <t xml:space="preserve">
</t>
    </r>
    <r>
      <rPr>
        <strike/>
        <sz val="8"/>
        <rFont val="Arial"/>
        <family val="2"/>
      </rPr>
      <t>23/06/2016</t>
    </r>
    <r>
      <rPr>
        <sz val="8"/>
        <rFont val="Arial"/>
        <family val="2"/>
      </rPr>
      <t xml:space="preserve">
</t>
    </r>
    <r>
      <rPr>
        <strike/>
        <sz val="8"/>
        <rFont val="Arial"/>
        <family val="2"/>
      </rPr>
      <t>8/02/2018</t>
    </r>
    <r>
      <rPr>
        <sz val="8"/>
        <rFont val="Arial"/>
        <family val="2"/>
      </rPr>
      <t xml:space="preserve">
</t>
    </r>
    <r>
      <rPr>
        <strike/>
        <sz val="8"/>
        <rFont val="Arial"/>
        <family val="2"/>
      </rPr>
      <t>21/02/2020</t>
    </r>
    <r>
      <rPr>
        <sz val="8"/>
        <rFont val="Arial"/>
        <family val="2"/>
      </rPr>
      <t xml:space="preserve">
</t>
    </r>
    <r>
      <rPr>
        <sz val="8"/>
        <color rgb="FF0000FF"/>
        <rFont val="Arial"/>
        <family val="2"/>
      </rPr>
      <t>28/04/2022</t>
    </r>
  </si>
  <si>
    <r>
      <rPr>
        <strike/>
        <sz val="8"/>
        <rFont val="Arial"/>
        <family val="2"/>
      </rPr>
      <t>14/08/2011</t>
    </r>
    <r>
      <rPr>
        <sz val="8"/>
        <rFont val="Arial"/>
        <family val="2"/>
      </rPr>
      <t xml:space="preserve">
</t>
    </r>
    <r>
      <rPr>
        <strike/>
        <sz val="8"/>
        <color rgb="FF0000FF"/>
        <rFont val="Arial"/>
        <family val="2"/>
      </rPr>
      <t>14/08/2014</t>
    </r>
    <r>
      <rPr>
        <sz val="8"/>
        <color rgb="FF0000FF"/>
        <rFont val="Arial"/>
        <family val="2"/>
      </rPr>
      <t xml:space="preserve">
</t>
    </r>
    <r>
      <rPr>
        <strike/>
        <sz val="8"/>
        <color rgb="FF0000FF"/>
        <rFont val="Arial"/>
        <family val="2"/>
      </rPr>
      <t>14/08/2016</t>
    </r>
    <r>
      <rPr>
        <sz val="8"/>
        <color rgb="FF0000FF"/>
        <rFont val="Arial"/>
        <family val="2"/>
      </rPr>
      <t xml:space="preserve">
</t>
    </r>
    <r>
      <rPr>
        <strike/>
        <sz val="8"/>
        <color rgb="FF0000FF"/>
        <rFont val="Arial"/>
        <family val="2"/>
      </rPr>
      <t>1/11/2017</t>
    </r>
    <r>
      <rPr>
        <sz val="8"/>
        <color rgb="FF0000FF"/>
        <rFont val="Arial"/>
        <family val="2"/>
      </rPr>
      <t xml:space="preserve">
</t>
    </r>
    <r>
      <rPr>
        <strike/>
        <sz val="8"/>
        <color rgb="FF0000FF"/>
        <rFont val="Arial"/>
        <family val="2"/>
      </rPr>
      <t>14/08/2018
14/08/2020</t>
    </r>
    <r>
      <rPr>
        <sz val="8"/>
        <color rgb="FF0000FF"/>
        <rFont val="Arial"/>
        <family val="2"/>
      </rPr>
      <t xml:space="preserve">
</t>
    </r>
    <r>
      <rPr>
        <strike/>
        <sz val="8"/>
        <color rgb="FF0000FF"/>
        <rFont val="Arial"/>
        <family val="2"/>
      </rPr>
      <t>14/08/2021</t>
    </r>
    <r>
      <rPr>
        <sz val="8"/>
        <color rgb="FF0000FF"/>
        <rFont val="Arial"/>
        <family val="2"/>
      </rPr>
      <t xml:space="preserve">
14/12/2022</t>
    </r>
  </si>
  <si>
    <t>DBW22/0021
Approved: 27/04/2022
Issued: 05/5/2022</t>
  </si>
  <si>
    <r>
      <rPr>
        <b/>
        <sz val="10"/>
        <color rgb="FF0000FF"/>
        <rFont val="Arial"/>
        <family val="2"/>
      </rPr>
      <t xml:space="preserve">N </t>
    </r>
    <r>
      <rPr>
        <b/>
        <sz val="10"/>
        <rFont val="Arial"/>
        <family val="2"/>
      </rPr>
      <t xml:space="preserve">1637
</t>
    </r>
    <r>
      <rPr>
        <sz val="10"/>
        <color rgb="FF0000FF"/>
        <rFont val="Arial"/>
        <family val="2"/>
      </rPr>
      <t xml:space="preserve">PC21/0790 issued </t>
    </r>
    <r>
      <rPr>
        <b/>
        <sz val="10"/>
        <rFont val="Arial"/>
        <family val="2"/>
      </rPr>
      <t xml:space="preserve">
</t>
    </r>
  </si>
  <si>
    <t>MCU21/0033
Approved: 28/06/2021
Issued: 28/06/2021</t>
  </si>
  <si>
    <t>MCU21/0080
Approved: 11/06/2021
Issued: 17/06/2021</t>
  </si>
  <si>
    <t>D000448866</t>
  </si>
  <si>
    <t>J Kelly &amp; K Kelly</t>
  </si>
  <si>
    <t>149 Pomona Kin Kin Rd Pinbarren Qld 4568</t>
  </si>
  <si>
    <t xml:space="preserve">Lot 3 RP 187541 </t>
  </si>
  <si>
    <t>Secondary dwelling</t>
  </si>
  <si>
    <r>
      <rPr>
        <b/>
        <sz val="10"/>
        <rFont val="Arial"/>
        <family val="2"/>
      </rPr>
      <t>DBW22/0138</t>
    </r>
    <r>
      <rPr>
        <sz val="10"/>
        <rFont val="Arial"/>
        <family val="2"/>
      </rPr>
      <t xml:space="preserve">
Approved: 17/10/2022
Issued: 19/10/2022</t>
    </r>
  </si>
  <si>
    <t>GE Johnson &amp; DG Johnson</t>
  </si>
  <si>
    <t xml:space="preserve">Lot 4 RP 179378 </t>
  </si>
  <si>
    <t>1320 Cooroy Belli Creek Rd Ridgewood Qld 4563</t>
  </si>
  <si>
    <t>D000449731</t>
  </si>
  <si>
    <r>
      <t xml:space="preserve">Studio is ok &amp; not considered additional self contained dwelling. See RAB20/0025 - Email 14/2/2020 from Coastal Building Certification Planning response dated 28/11/2019.
Final Inspection Certificate issued 8/01/2021 </t>
    </r>
    <r>
      <rPr>
        <b/>
        <sz val="10"/>
        <color rgb="FF0000FF"/>
        <rFont val="Arial"/>
        <family val="2"/>
      </rPr>
      <t>“Infrastructure Charges Rebates for Community Organisations” Approved 27/10/2021</t>
    </r>
    <r>
      <rPr>
        <sz val="10"/>
        <color rgb="FF0000FF"/>
        <rFont val="Arial"/>
        <family val="2"/>
      </rPr>
      <t xml:space="preserve">
</t>
    </r>
  </si>
  <si>
    <r>
      <t xml:space="preserve">“Infrastructure Charges Rebates for Community Organisations” approved 27/10/2021 with the infrastructure charge as an </t>
    </r>
    <r>
      <rPr>
        <b/>
        <sz val="10"/>
        <color rgb="FFFF0000"/>
        <rFont val="Arial"/>
        <family val="2"/>
      </rPr>
      <t>‘unfulfilled’ debt on the land or payment required on change of status or sale of property</t>
    </r>
  </si>
  <si>
    <r>
      <rPr>
        <b/>
        <sz val="10"/>
        <color rgb="FF0000FF"/>
        <rFont val="Arial"/>
        <family val="2"/>
      </rPr>
      <t xml:space="preserve">N </t>
    </r>
    <r>
      <rPr>
        <b/>
        <sz val="10"/>
        <rFont val="Arial"/>
        <family val="2"/>
      </rPr>
      <t xml:space="preserve">1604
</t>
    </r>
    <r>
      <rPr>
        <sz val="10"/>
        <color rgb="FFFF0000"/>
        <rFont val="Arial"/>
        <family val="2"/>
      </rPr>
      <t>Completed aerial photos Oct 2022</t>
    </r>
  </si>
  <si>
    <r>
      <rPr>
        <b/>
        <sz val="10"/>
        <color rgb="FF0000FF"/>
        <rFont val="Arial"/>
        <family val="2"/>
      </rPr>
      <t xml:space="preserve">N </t>
    </r>
    <r>
      <rPr>
        <b/>
        <sz val="10"/>
        <rFont val="Arial"/>
        <family val="2"/>
      </rPr>
      <t xml:space="preserve">1465
</t>
    </r>
    <r>
      <rPr>
        <sz val="10"/>
        <color rgb="FFFF0000"/>
        <rFont val="Arial"/>
        <family val="2"/>
      </rPr>
      <t>Completed aerial photos Oct 2022</t>
    </r>
  </si>
  <si>
    <t>D000450326</t>
  </si>
  <si>
    <t>D000450716</t>
  </si>
  <si>
    <r>
      <rPr>
        <b/>
        <sz val="10"/>
        <color rgb="FF0000FF"/>
        <rFont val="Arial"/>
        <family val="2"/>
      </rPr>
      <t xml:space="preserve">N </t>
    </r>
    <r>
      <rPr>
        <b/>
        <sz val="10"/>
        <rFont val="Arial"/>
        <family val="2"/>
      </rPr>
      <t xml:space="preserve">1670
</t>
    </r>
    <r>
      <rPr>
        <sz val="10"/>
        <color rgb="FFFF0000"/>
        <rFont val="Arial"/>
        <family val="2"/>
      </rPr>
      <t>Final Inspection Certificate issued 7/092022</t>
    </r>
    <r>
      <rPr>
        <b/>
        <sz val="10"/>
        <color rgb="FFFF0000"/>
        <rFont val="Arial"/>
        <family val="2"/>
      </rPr>
      <t xml:space="preserve">
</t>
    </r>
    <r>
      <rPr>
        <sz val="10"/>
        <color rgb="FFFF0000"/>
        <rFont val="Arial"/>
        <family val="2"/>
      </rPr>
      <t>DUE 16 NOV 2022</t>
    </r>
  </si>
  <si>
    <t>D000450933</t>
  </si>
  <si>
    <t>PC22/0162 - Disengaged 
PC20-1193 New Shed Finalised 27/01/2022 &amp; checked by compliance &amp; confirmed for private use.</t>
  </si>
  <si>
    <r>
      <rPr>
        <b/>
        <sz val="10"/>
        <color rgb="FF0000FF"/>
        <rFont val="Arial"/>
        <family val="2"/>
      </rPr>
      <t xml:space="preserve">N </t>
    </r>
    <r>
      <rPr>
        <b/>
        <sz val="10"/>
        <rFont val="Arial"/>
        <family val="2"/>
      </rPr>
      <t xml:space="preserve">1544
</t>
    </r>
  </si>
  <si>
    <r>
      <t xml:space="preserve">Building Work: 
Project BA
Approval No. 20201114
</t>
    </r>
    <r>
      <rPr>
        <sz val="10"/>
        <color rgb="FFFF0000"/>
        <rFont val="Arial"/>
        <family val="2"/>
      </rPr>
      <t>Disengaged 04/06/2020
New Certifier BAU 3/07/2020</t>
    </r>
  </si>
  <si>
    <t>New replacement Certifier Building Approvlas United QLD - NOE 3/07/2020 re  PC20/0649</t>
  </si>
  <si>
    <t>D000451172</t>
  </si>
  <si>
    <r>
      <rPr>
        <b/>
        <sz val="10"/>
        <color rgb="FF0000FF"/>
        <rFont val="Arial"/>
        <family val="2"/>
      </rPr>
      <t xml:space="preserve">N </t>
    </r>
    <r>
      <rPr>
        <b/>
        <sz val="10"/>
        <rFont val="Arial"/>
        <family val="2"/>
      </rPr>
      <t xml:space="preserve">1705
</t>
    </r>
    <r>
      <rPr>
        <sz val="10"/>
        <color rgb="FF0000FF"/>
        <rFont val="Arial"/>
        <family val="2"/>
      </rPr>
      <t>part pre pmt 12/09/2022 $2,800.00</t>
    </r>
    <r>
      <rPr>
        <b/>
        <sz val="10"/>
        <rFont val="Arial"/>
        <family val="2"/>
      </rPr>
      <t xml:space="preserve">
</t>
    </r>
    <r>
      <rPr>
        <sz val="10"/>
        <color rgb="FFFF0000"/>
        <rFont val="Arial"/>
        <family val="2"/>
      </rPr>
      <t>Bal = stg pmt IA</t>
    </r>
    <r>
      <rPr>
        <b/>
        <sz val="10"/>
        <color rgb="FFFF0000"/>
        <rFont val="Arial"/>
        <family val="2"/>
      </rPr>
      <t xml:space="preserve">
</t>
    </r>
    <r>
      <rPr>
        <sz val="10"/>
        <color rgb="FFFF0000"/>
        <rFont val="Arial"/>
        <family val="2"/>
      </rPr>
      <t>Stg Pmt 1 = $745.00 paid 11/10/2022</t>
    </r>
  </si>
  <si>
    <t>Mahadevan-Wilson &amp; Ramana DS Trust</t>
  </si>
  <si>
    <t xml:space="preserve">23 Coral Tree Ave 
Noosa Heads Qld 4567 </t>
  </si>
  <si>
    <t>Lot 17 RP 90014</t>
  </si>
  <si>
    <t>Dual occupancy = 2 x 2 bed units</t>
  </si>
  <si>
    <t>1 Dwelling House</t>
  </si>
  <si>
    <t>Eagle Surveys Pty Ltd</t>
  </si>
  <si>
    <t>37 Gwandalan Rd
LAKE MACDONALD QLD 4563</t>
  </si>
  <si>
    <t xml:space="preserve">4 Hill St 
Pomona Qld 4568 </t>
  </si>
  <si>
    <t xml:space="preserve">Lot 6 RP 35080 </t>
  </si>
  <si>
    <t>Residential lots x 2</t>
  </si>
  <si>
    <t>Residential lot x 1</t>
  </si>
  <si>
    <t>PC22/0780
Approved: 28/09/2022
Received &amp; Registered by NSC:27/10/2022</t>
  </si>
  <si>
    <t>PC22/1135
Approved: 28/09/2022
Received &amp; Registered by NSC:27/10/2022</t>
  </si>
  <si>
    <t>Building Work
Earthcert Building Approvals - Permit Number: 220238</t>
  </si>
  <si>
    <t>Building Work
Earthcert Building Approvals - Permit Number: 220320</t>
  </si>
  <si>
    <t>Greystone Projects Pty Ltd</t>
  </si>
  <si>
    <t xml:space="preserve">7 Tarina Street NOOSA HEADS QLD 4567
</t>
  </si>
  <si>
    <t>Lot 5 RP 227335</t>
  </si>
  <si>
    <t>Lot 186 M 111110</t>
  </si>
  <si>
    <t>528 Black Mountain Road
BLACK MOUNTAIN QLD 4563</t>
  </si>
  <si>
    <t>8 Walnut Court
MARCUS BEACH QLD 4573</t>
  </si>
  <si>
    <t>DBW21/0119
Approved: 14/09/2021
Issued: 16/09/2021</t>
  </si>
  <si>
    <t>3 Sugargum Pl 
Black Mountain Qld 4563</t>
  </si>
  <si>
    <t>Lot 129 RP 907722</t>
  </si>
  <si>
    <r>
      <rPr>
        <u/>
        <sz val="10"/>
        <color rgb="FF0000FF"/>
        <rFont val="Arial"/>
        <family val="2"/>
      </rPr>
      <t>StgPmt 1</t>
    </r>
    <r>
      <rPr>
        <sz val="10"/>
        <color rgb="FF0000FF"/>
        <rFont val="Arial"/>
        <family val="2"/>
      </rPr>
      <t xml:space="preserve"> paid 3/11/21 $1,470 
</t>
    </r>
    <r>
      <rPr>
        <u/>
        <sz val="10"/>
        <color rgb="FF0000FF"/>
        <rFont val="Arial"/>
        <family val="2"/>
      </rPr>
      <t>StgPmt 2</t>
    </r>
    <r>
      <rPr>
        <sz val="10"/>
        <color rgb="FF0000FF"/>
        <rFont val="Arial"/>
        <family val="2"/>
      </rPr>
      <t xml:space="preserve"> part paid 14/01/22 $1,000
</t>
    </r>
    <r>
      <rPr>
        <u/>
        <sz val="10"/>
        <color rgb="FF0000FF"/>
        <rFont val="Arial"/>
        <family val="2"/>
      </rPr>
      <t xml:space="preserve">StgPmt </t>
    </r>
    <r>
      <rPr>
        <sz val="10"/>
        <color rgb="FF0000FF"/>
        <rFont val="Arial"/>
        <family val="2"/>
      </rPr>
      <t xml:space="preserve">2 part paid 14/09/22 $2,000
</t>
    </r>
    <r>
      <rPr>
        <i/>
        <u/>
        <sz val="10"/>
        <color rgb="FF0000FF"/>
        <rFont val="Arial"/>
        <family val="2"/>
      </rPr>
      <t>StgPmt 2 Final Pmnt</t>
    </r>
    <r>
      <rPr>
        <i/>
        <sz val="10"/>
        <color rgb="FF0000FF"/>
        <rFont val="Arial"/>
        <family val="2"/>
      </rPr>
      <t xml:space="preserve">
</t>
    </r>
    <r>
      <rPr>
        <sz val="10"/>
        <color rgb="FF0000FF"/>
        <rFont val="Arial"/>
        <family val="2"/>
      </rPr>
      <t>3/11/2022 $1,411</t>
    </r>
  </si>
  <si>
    <t>NOVEMBER 2022
Total =</t>
  </si>
  <si>
    <t>D000452130</t>
  </si>
  <si>
    <r>
      <rPr>
        <b/>
        <sz val="10"/>
        <color rgb="FF0000FF"/>
        <rFont val="Arial"/>
        <family val="2"/>
      </rPr>
      <t xml:space="preserve">N </t>
    </r>
    <r>
      <rPr>
        <b/>
        <sz val="10"/>
        <rFont val="Arial"/>
        <family val="2"/>
      </rPr>
      <t xml:space="preserve">1440
</t>
    </r>
    <r>
      <rPr>
        <b/>
        <sz val="10"/>
        <color rgb="FFFF0000"/>
        <rFont val="Arial"/>
        <family val="2"/>
      </rPr>
      <t xml:space="preserve">
</t>
    </r>
    <r>
      <rPr>
        <sz val="10"/>
        <color rgb="FFFF0000"/>
        <rFont val="Arial"/>
        <family val="2"/>
      </rPr>
      <t>Stg Pmt 2 - $4,411.00
DUE 6 Nov 2022</t>
    </r>
  </si>
  <si>
    <t>SJ Heron &amp; DM Hill</t>
  </si>
  <si>
    <t xml:space="preserve">Lot 2 SP 265110 </t>
  </si>
  <si>
    <t>36 Riverpark Dr 
Ringtail Creek Qld 4565</t>
  </si>
  <si>
    <t>JM Blake &amp; C Blake</t>
  </si>
  <si>
    <t xml:space="preserve">Lot 77 MCH 546 </t>
  </si>
  <si>
    <t>42 Lukes Rd 
Cooroy Mountain Qld 4563</t>
  </si>
  <si>
    <t>New Dwelling House + Rural workers'
accommodation 3 bedroom</t>
  </si>
  <si>
    <r>
      <rPr>
        <b/>
        <sz val="10"/>
        <color rgb="FF0000FF"/>
        <rFont val="Arial"/>
        <family val="2"/>
      </rPr>
      <t xml:space="preserve">N </t>
    </r>
    <r>
      <rPr>
        <b/>
        <sz val="10"/>
        <rFont val="Arial"/>
        <family val="2"/>
      </rPr>
      <t xml:space="preserve">1702
</t>
    </r>
    <r>
      <rPr>
        <sz val="10"/>
        <color rgb="FFFF0000"/>
        <rFont val="Arial"/>
        <family val="2"/>
      </rPr>
      <t xml:space="preserve">
Final Insp Cert issued 15/06/2022
DUE 7 NOV 2022</t>
    </r>
  </si>
  <si>
    <t>D000452385</t>
  </si>
  <si>
    <r>
      <rPr>
        <b/>
        <sz val="10"/>
        <color rgb="FF0000FF"/>
        <rFont val="Arial"/>
        <family val="2"/>
      </rPr>
      <t xml:space="preserve">N </t>
    </r>
    <r>
      <rPr>
        <b/>
        <sz val="10"/>
        <rFont val="Arial"/>
        <family val="2"/>
      </rPr>
      <t xml:space="preserve">1135
</t>
    </r>
    <r>
      <rPr>
        <sz val="10"/>
        <color rgb="FFFF0000"/>
        <rFont val="Arial"/>
        <family val="2"/>
      </rPr>
      <t>Use Commenced with official opening 10/10/2022
Due 7 NOV 2022</t>
    </r>
    <r>
      <rPr>
        <sz val="10"/>
        <rFont val="Arial"/>
        <family val="2"/>
      </rPr>
      <t xml:space="preserve">
</t>
    </r>
  </si>
  <si>
    <t>Transaction ID =  93600726
Charges Update Journal ID = 1757676</t>
  </si>
  <si>
    <t>Transaction ID =  93600728
Charges Update Journal ID = 1757678</t>
  </si>
  <si>
    <t>D000452927</t>
  </si>
  <si>
    <r>
      <rPr>
        <b/>
        <sz val="10"/>
        <color rgb="FF0000FF"/>
        <rFont val="Arial"/>
        <family val="2"/>
      </rPr>
      <t xml:space="preserve">N </t>
    </r>
    <r>
      <rPr>
        <b/>
        <sz val="10"/>
        <rFont val="Arial"/>
        <family val="2"/>
      </rPr>
      <t>1841</t>
    </r>
    <r>
      <rPr>
        <sz val="11"/>
        <color theme="1"/>
        <rFont val="Calibri"/>
        <family val="2"/>
        <scheme val="minor"/>
      </rPr>
      <t/>
    </r>
  </si>
  <si>
    <r>
      <rPr>
        <b/>
        <sz val="10"/>
        <color rgb="FF0000FF"/>
        <rFont val="Arial"/>
        <family val="2"/>
      </rPr>
      <t xml:space="preserve">N </t>
    </r>
    <r>
      <rPr>
        <b/>
        <sz val="10"/>
        <rFont val="Arial"/>
        <family val="2"/>
      </rPr>
      <t>1844</t>
    </r>
    <r>
      <rPr>
        <sz val="11"/>
        <color theme="1"/>
        <rFont val="Calibri"/>
        <family val="2"/>
        <scheme val="minor"/>
      </rPr>
      <t/>
    </r>
  </si>
  <si>
    <r>
      <rPr>
        <b/>
        <sz val="10"/>
        <color rgb="FF0000FF"/>
        <rFont val="Arial"/>
        <family val="2"/>
      </rPr>
      <t xml:space="preserve">N </t>
    </r>
    <r>
      <rPr>
        <b/>
        <sz val="10"/>
        <rFont val="Arial"/>
        <family val="2"/>
      </rPr>
      <t>1848</t>
    </r>
    <r>
      <rPr>
        <sz val="11"/>
        <color theme="1"/>
        <rFont val="Calibri"/>
        <family val="2"/>
        <scheme val="minor"/>
      </rPr>
      <t/>
    </r>
  </si>
  <si>
    <r>
      <rPr>
        <b/>
        <sz val="10"/>
        <color rgb="FF0000FF"/>
        <rFont val="Arial"/>
        <family val="2"/>
      </rPr>
      <t xml:space="preserve">N </t>
    </r>
    <r>
      <rPr>
        <b/>
        <sz val="10"/>
        <rFont val="Arial"/>
        <family val="2"/>
      </rPr>
      <t>1850</t>
    </r>
    <r>
      <rPr>
        <sz val="11"/>
        <color theme="1"/>
        <rFont val="Calibri"/>
        <family val="2"/>
        <scheme val="minor"/>
      </rPr>
      <t/>
    </r>
  </si>
  <si>
    <r>
      <rPr>
        <b/>
        <sz val="10"/>
        <color rgb="FF0000FF"/>
        <rFont val="Arial"/>
        <family val="2"/>
      </rPr>
      <t xml:space="preserve">N </t>
    </r>
    <r>
      <rPr>
        <b/>
        <sz val="10"/>
        <rFont val="Arial"/>
        <family val="2"/>
      </rPr>
      <t>1851</t>
    </r>
    <r>
      <rPr>
        <sz val="11"/>
        <color theme="1"/>
        <rFont val="Calibri"/>
        <family val="2"/>
        <scheme val="minor"/>
      </rPr>
      <t/>
    </r>
  </si>
  <si>
    <r>
      <rPr>
        <b/>
        <sz val="10"/>
        <color rgb="FF0000FF"/>
        <rFont val="Arial"/>
        <family val="2"/>
      </rPr>
      <t xml:space="preserve">N </t>
    </r>
    <r>
      <rPr>
        <b/>
        <sz val="10"/>
        <rFont val="Arial"/>
        <family val="2"/>
      </rPr>
      <t>1855</t>
    </r>
    <r>
      <rPr>
        <sz val="11"/>
        <color theme="1"/>
        <rFont val="Calibri"/>
        <family val="2"/>
        <scheme val="minor"/>
      </rPr>
      <t/>
    </r>
  </si>
  <si>
    <r>
      <rPr>
        <b/>
        <sz val="10"/>
        <color rgb="FF0000FF"/>
        <rFont val="Arial"/>
        <family val="2"/>
      </rPr>
      <t xml:space="preserve">N </t>
    </r>
    <r>
      <rPr>
        <b/>
        <sz val="10"/>
        <rFont val="Arial"/>
        <family val="2"/>
      </rPr>
      <t>1856</t>
    </r>
    <r>
      <rPr>
        <sz val="11"/>
        <color theme="1"/>
        <rFont val="Calibri"/>
        <family val="2"/>
        <scheme val="minor"/>
      </rPr>
      <t/>
    </r>
  </si>
  <si>
    <r>
      <rPr>
        <b/>
        <sz val="10"/>
        <color rgb="FF0000FF"/>
        <rFont val="Arial"/>
        <family val="2"/>
      </rPr>
      <t xml:space="preserve">N </t>
    </r>
    <r>
      <rPr>
        <b/>
        <sz val="10"/>
        <rFont val="Arial"/>
        <family val="2"/>
      </rPr>
      <t>1857</t>
    </r>
    <r>
      <rPr>
        <sz val="11"/>
        <color theme="1"/>
        <rFont val="Calibri"/>
        <family val="2"/>
        <scheme val="minor"/>
      </rPr>
      <t/>
    </r>
  </si>
  <si>
    <r>
      <rPr>
        <b/>
        <sz val="10"/>
        <color rgb="FF0000FF"/>
        <rFont val="Arial"/>
        <family val="2"/>
      </rPr>
      <t xml:space="preserve">N </t>
    </r>
    <r>
      <rPr>
        <b/>
        <sz val="10"/>
        <rFont val="Arial"/>
        <family val="2"/>
      </rPr>
      <t>1858</t>
    </r>
    <r>
      <rPr>
        <sz val="11"/>
        <color theme="1"/>
        <rFont val="Calibri"/>
        <family val="2"/>
        <scheme val="minor"/>
      </rPr>
      <t/>
    </r>
  </si>
  <si>
    <r>
      <rPr>
        <b/>
        <sz val="10"/>
        <color rgb="FF0000FF"/>
        <rFont val="Arial"/>
        <family val="2"/>
      </rPr>
      <t xml:space="preserve">N </t>
    </r>
    <r>
      <rPr>
        <b/>
        <sz val="10"/>
        <rFont val="Arial"/>
        <family val="2"/>
      </rPr>
      <t>1863</t>
    </r>
    <r>
      <rPr>
        <sz val="11"/>
        <color theme="1"/>
        <rFont val="Calibri"/>
        <family val="2"/>
        <scheme val="minor"/>
      </rPr>
      <t/>
    </r>
  </si>
  <si>
    <r>
      <rPr>
        <b/>
        <sz val="10"/>
        <color rgb="FF0000FF"/>
        <rFont val="Arial"/>
        <family val="2"/>
      </rPr>
      <t xml:space="preserve">N </t>
    </r>
    <r>
      <rPr>
        <b/>
        <sz val="10"/>
        <rFont val="Arial"/>
        <family val="2"/>
      </rPr>
      <t>1864</t>
    </r>
    <r>
      <rPr>
        <sz val="11"/>
        <color theme="1"/>
        <rFont val="Calibri"/>
        <family val="2"/>
        <scheme val="minor"/>
      </rPr>
      <t/>
    </r>
  </si>
  <si>
    <r>
      <rPr>
        <b/>
        <sz val="10"/>
        <color rgb="FF0000FF"/>
        <rFont val="Arial"/>
        <family val="2"/>
      </rPr>
      <t xml:space="preserve">N </t>
    </r>
    <r>
      <rPr>
        <b/>
        <sz val="10"/>
        <rFont val="Arial"/>
        <family val="2"/>
      </rPr>
      <t>1865</t>
    </r>
    <r>
      <rPr>
        <sz val="11"/>
        <color theme="1"/>
        <rFont val="Calibri"/>
        <family val="2"/>
        <scheme val="minor"/>
      </rPr>
      <t/>
    </r>
  </si>
  <si>
    <r>
      <rPr>
        <b/>
        <sz val="10"/>
        <color rgb="FF0000FF"/>
        <rFont val="Arial"/>
        <family val="2"/>
      </rPr>
      <t xml:space="preserve">N </t>
    </r>
    <r>
      <rPr>
        <b/>
        <sz val="10"/>
        <rFont val="Arial"/>
        <family val="2"/>
      </rPr>
      <t>1870</t>
    </r>
    <r>
      <rPr>
        <sz val="11"/>
        <color theme="1"/>
        <rFont val="Calibri"/>
        <family val="2"/>
        <scheme val="minor"/>
      </rPr>
      <t/>
    </r>
  </si>
  <si>
    <r>
      <rPr>
        <b/>
        <sz val="10"/>
        <color rgb="FF0000FF"/>
        <rFont val="Arial"/>
        <family val="2"/>
      </rPr>
      <t xml:space="preserve">N </t>
    </r>
    <r>
      <rPr>
        <b/>
        <sz val="10"/>
        <rFont val="Arial"/>
        <family val="2"/>
      </rPr>
      <t>1874</t>
    </r>
    <r>
      <rPr>
        <sz val="11"/>
        <color theme="1"/>
        <rFont val="Calibri"/>
        <family val="2"/>
        <scheme val="minor"/>
      </rPr>
      <t/>
    </r>
  </si>
  <si>
    <r>
      <rPr>
        <b/>
        <sz val="10"/>
        <color rgb="FF0000FF"/>
        <rFont val="Arial"/>
        <family val="2"/>
      </rPr>
      <t xml:space="preserve">N </t>
    </r>
    <r>
      <rPr>
        <b/>
        <sz val="10"/>
        <rFont val="Arial"/>
        <family val="2"/>
      </rPr>
      <t>1875</t>
    </r>
    <r>
      <rPr>
        <sz val="11"/>
        <color theme="1"/>
        <rFont val="Calibri"/>
        <family val="2"/>
        <scheme val="minor"/>
      </rPr>
      <t/>
    </r>
  </si>
  <si>
    <r>
      <rPr>
        <b/>
        <sz val="10"/>
        <color rgb="FF0000FF"/>
        <rFont val="Arial"/>
        <family val="2"/>
      </rPr>
      <t xml:space="preserve">N </t>
    </r>
    <r>
      <rPr>
        <b/>
        <sz val="10"/>
        <rFont val="Arial"/>
        <family val="2"/>
      </rPr>
      <t>1877</t>
    </r>
    <r>
      <rPr>
        <sz val="11"/>
        <color theme="1"/>
        <rFont val="Calibri"/>
        <family val="2"/>
        <scheme val="minor"/>
      </rPr>
      <t/>
    </r>
  </si>
  <si>
    <r>
      <rPr>
        <b/>
        <sz val="10"/>
        <color rgb="FF0000FF"/>
        <rFont val="Arial"/>
        <family val="2"/>
      </rPr>
      <t xml:space="preserve">N </t>
    </r>
    <r>
      <rPr>
        <b/>
        <sz val="10"/>
        <rFont val="Arial"/>
        <family val="2"/>
      </rPr>
      <t>1879</t>
    </r>
    <r>
      <rPr>
        <sz val="11"/>
        <color theme="1"/>
        <rFont val="Calibri"/>
        <family val="2"/>
        <scheme val="minor"/>
      </rPr>
      <t/>
    </r>
  </si>
  <si>
    <r>
      <rPr>
        <b/>
        <sz val="10"/>
        <color rgb="FF0000FF"/>
        <rFont val="Arial"/>
        <family val="2"/>
      </rPr>
      <t xml:space="preserve">N </t>
    </r>
    <r>
      <rPr>
        <b/>
        <sz val="10"/>
        <rFont val="Arial"/>
        <family val="2"/>
      </rPr>
      <t>1880</t>
    </r>
    <r>
      <rPr>
        <sz val="11"/>
        <color theme="1"/>
        <rFont val="Calibri"/>
        <family val="2"/>
        <scheme val="minor"/>
      </rPr>
      <t/>
    </r>
  </si>
  <si>
    <r>
      <rPr>
        <b/>
        <sz val="10"/>
        <color rgb="FF0000FF"/>
        <rFont val="Arial"/>
        <family val="2"/>
      </rPr>
      <t xml:space="preserve">N </t>
    </r>
    <r>
      <rPr>
        <b/>
        <sz val="10"/>
        <rFont val="Arial"/>
        <family val="2"/>
      </rPr>
      <t>1884</t>
    </r>
    <r>
      <rPr>
        <sz val="11"/>
        <color theme="1"/>
        <rFont val="Calibri"/>
        <family val="2"/>
        <scheme val="minor"/>
      </rPr>
      <t/>
    </r>
  </si>
  <si>
    <r>
      <rPr>
        <b/>
        <sz val="10"/>
        <color rgb="FF0000FF"/>
        <rFont val="Arial"/>
        <family val="2"/>
      </rPr>
      <t xml:space="preserve">N </t>
    </r>
    <r>
      <rPr>
        <b/>
        <sz val="10"/>
        <rFont val="Arial"/>
        <family val="2"/>
      </rPr>
      <t>1885</t>
    </r>
    <r>
      <rPr>
        <sz val="11"/>
        <color theme="1"/>
        <rFont val="Calibri"/>
        <family val="2"/>
        <scheme val="minor"/>
      </rPr>
      <t/>
    </r>
  </si>
  <si>
    <r>
      <rPr>
        <b/>
        <sz val="10"/>
        <color rgb="FF0000FF"/>
        <rFont val="Arial"/>
        <family val="2"/>
      </rPr>
      <t xml:space="preserve">N </t>
    </r>
    <r>
      <rPr>
        <b/>
        <sz val="10"/>
        <rFont val="Arial"/>
        <family val="2"/>
      </rPr>
      <t>1887</t>
    </r>
    <r>
      <rPr>
        <sz val="11"/>
        <color theme="1"/>
        <rFont val="Calibri"/>
        <family val="2"/>
        <scheme val="minor"/>
      </rPr>
      <t/>
    </r>
  </si>
  <si>
    <r>
      <rPr>
        <b/>
        <sz val="10"/>
        <color rgb="FF0000FF"/>
        <rFont val="Arial"/>
        <family val="2"/>
      </rPr>
      <t xml:space="preserve">N </t>
    </r>
    <r>
      <rPr>
        <b/>
        <sz val="10"/>
        <rFont val="Arial"/>
        <family val="2"/>
      </rPr>
      <t>1888</t>
    </r>
    <r>
      <rPr>
        <sz val="11"/>
        <color theme="1"/>
        <rFont val="Calibri"/>
        <family val="2"/>
        <scheme val="minor"/>
      </rPr>
      <t/>
    </r>
  </si>
  <si>
    <r>
      <rPr>
        <b/>
        <sz val="10"/>
        <color rgb="FF0000FF"/>
        <rFont val="Arial"/>
        <family val="2"/>
      </rPr>
      <t xml:space="preserve">N </t>
    </r>
    <r>
      <rPr>
        <b/>
        <sz val="10"/>
        <rFont val="Arial"/>
        <family val="2"/>
      </rPr>
      <t>1889</t>
    </r>
    <r>
      <rPr>
        <sz val="11"/>
        <color theme="1"/>
        <rFont val="Calibri"/>
        <family val="2"/>
        <scheme val="minor"/>
      </rPr>
      <t/>
    </r>
  </si>
  <si>
    <r>
      <rPr>
        <b/>
        <sz val="10"/>
        <color rgb="FF0000FF"/>
        <rFont val="Arial"/>
        <family val="2"/>
      </rPr>
      <t xml:space="preserve">N </t>
    </r>
    <r>
      <rPr>
        <b/>
        <sz val="10"/>
        <rFont val="Arial"/>
        <family val="2"/>
      </rPr>
      <t>1890</t>
    </r>
    <r>
      <rPr>
        <sz val="11"/>
        <color theme="1"/>
        <rFont val="Calibri"/>
        <family val="2"/>
        <scheme val="minor"/>
      </rPr>
      <t/>
    </r>
  </si>
  <si>
    <r>
      <rPr>
        <b/>
        <sz val="10"/>
        <color rgb="FF0000FF"/>
        <rFont val="Arial"/>
        <family val="2"/>
      </rPr>
      <t xml:space="preserve">N </t>
    </r>
    <r>
      <rPr>
        <b/>
        <sz val="10"/>
        <rFont val="Arial"/>
        <family val="2"/>
      </rPr>
      <t>1892</t>
    </r>
    <r>
      <rPr>
        <sz val="11"/>
        <color theme="1"/>
        <rFont val="Calibri"/>
        <family val="2"/>
        <scheme val="minor"/>
      </rPr>
      <t/>
    </r>
  </si>
  <si>
    <r>
      <rPr>
        <b/>
        <sz val="10"/>
        <color rgb="FF0000FF"/>
        <rFont val="Arial"/>
        <family val="2"/>
      </rPr>
      <t xml:space="preserve">N </t>
    </r>
    <r>
      <rPr>
        <b/>
        <sz val="10"/>
        <rFont val="Arial"/>
        <family val="2"/>
      </rPr>
      <t>1893</t>
    </r>
    <r>
      <rPr>
        <sz val="11"/>
        <color theme="1"/>
        <rFont val="Calibri"/>
        <family val="2"/>
        <scheme val="minor"/>
      </rPr>
      <t/>
    </r>
  </si>
  <si>
    <r>
      <rPr>
        <b/>
        <sz val="10"/>
        <color rgb="FF0000FF"/>
        <rFont val="Arial"/>
        <family val="2"/>
      </rPr>
      <t xml:space="preserve">N </t>
    </r>
    <r>
      <rPr>
        <b/>
        <sz val="10"/>
        <rFont val="Arial"/>
        <family val="2"/>
      </rPr>
      <t>1894</t>
    </r>
    <r>
      <rPr>
        <sz val="11"/>
        <color theme="1"/>
        <rFont val="Calibri"/>
        <family val="2"/>
        <scheme val="minor"/>
      </rPr>
      <t/>
    </r>
  </si>
  <si>
    <r>
      <rPr>
        <b/>
        <sz val="10"/>
        <color rgb="FF0000FF"/>
        <rFont val="Arial"/>
        <family val="2"/>
      </rPr>
      <t xml:space="preserve">N </t>
    </r>
    <r>
      <rPr>
        <b/>
        <sz val="10"/>
        <rFont val="Arial"/>
        <family val="2"/>
      </rPr>
      <t>1895</t>
    </r>
    <r>
      <rPr>
        <sz val="11"/>
        <color theme="1"/>
        <rFont val="Calibri"/>
        <family val="2"/>
        <scheme val="minor"/>
      </rPr>
      <t/>
    </r>
  </si>
  <si>
    <r>
      <rPr>
        <b/>
        <sz val="10"/>
        <color rgb="FF0000FF"/>
        <rFont val="Arial"/>
        <family val="2"/>
      </rPr>
      <t xml:space="preserve">N </t>
    </r>
    <r>
      <rPr>
        <b/>
        <sz val="10"/>
        <rFont val="Arial"/>
        <family val="2"/>
      </rPr>
      <t>1896</t>
    </r>
    <r>
      <rPr>
        <sz val="11"/>
        <color theme="1"/>
        <rFont val="Calibri"/>
        <family val="2"/>
        <scheme val="minor"/>
      </rPr>
      <t/>
    </r>
  </si>
  <si>
    <r>
      <rPr>
        <b/>
        <sz val="10"/>
        <color rgb="FF0000FF"/>
        <rFont val="Arial"/>
        <family val="2"/>
      </rPr>
      <t xml:space="preserve">N </t>
    </r>
    <r>
      <rPr>
        <b/>
        <sz val="10"/>
        <rFont val="Arial"/>
        <family val="2"/>
      </rPr>
      <t>1897</t>
    </r>
    <r>
      <rPr>
        <sz val="11"/>
        <color theme="1"/>
        <rFont val="Calibri"/>
        <family val="2"/>
        <scheme val="minor"/>
      </rPr>
      <t/>
    </r>
  </si>
  <si>
    <r>
      <rPr>
        <b/>
        <sz val="10"/>
        <color rgb="FF0000FF"/>
        <rFont val="Arial"/>
        <family val="2"/>
      </rPr>
      <t xml:space="preserve">N </t>
    </r>
    <r>
      <rPr>
        <b/>
        <sz val="10"/>
        <rFont val="Arial"/>
        <family val="2"/>
      </rPr>
      <t>1898</t>
    </r>
    <r>
      <rPr>
        <sz val="11"/>
        <color theme="1"/>
        <rFont val="Calibri"/>
        <family val="2"/>
        <scheme val="minor"/>
      </rPr>
      <t/>
    </r>
  </si>
  <si>
    <r>
      <rPr>
        <b/>
        <sz val="10"/>
        <color rgb="FF0000FF"/>
        <rFont val="Arial"/>
        <family val="2"/>
      </rPr>
      <t xml:space="preserve">N </t>
    </r>
    <r>
      <rPr>
        <b/>
        <sz val="10"/>
        <rFont val="Arial"/>
        <family val="2"/>
      </rPr>
      <t xml:space="preserve">1785
</t>
    </r>
    <r>
      <rPr>
        <sz val="10"/>
        <color rgb="FF0000FF"/>
        <rFont val="Arial"/>
        <family val="2"/>
      </rPr>
      <t xml:space="preserve">PC22/0647 issued 9/9/2022 </t>
    </r>
  </si>
  <si>
    <r>
      <rPr>
        <b/>
        <sz val="10"/>
        <color rgb="FF0000FF"/>
        <rFont val="Arial"/>
        <family val="2"/>
      </rPr>
      <t xml:space="preserve">N </t>
    </r>
    <r>
      <rPr>
        <b/>
        <sz val="10"/>
        <rFont val="Arial"/>
        <family val="2"/>
      </rPr>
      <t xml:space="preserve">1258
</t>
    </r>
    <r>
      <rPr>
        <sz val="10"/>
        <color rgb="FF0000FF"/>
        <rFont val="Arial"/>
        <family val="2"/>
      </rPr>
      <t>PC22/0361 issued
Amount Due requested &amp; sent 11/11/2022</t>
    </r>
  </si>
  <si>
    <r>
      <rPr>
        <b/>
        <sz val="10"/>
        <rFont val="Arial"/>
        <family val="2"/>
      </rPr>
      <t>DBW22/0156</t>
    </r>
    <r>
      <rPr>
        <sz val="10"/>
        <rFont val="Arial"/>
        <family val="2"/>
      </rPr>
      <t xml:space="preserve">
Approved: 9/11/2022
Issued: 10/11/2022</t>
    </r>
  </si>
  <si>
    <t>Lot 10 RP 881371</t>
  </si>
  <si>
    <t>111 Uhlmanns Road 
BLACK MOUNTAIN QLD 4563</t>
  </si>
  <si>
    <r>
      <rPr>
        <b/>
        <sz val="10"/>
        <color rgb="FF0000FF"/>
        <rFont val="Arial"/>
        <family val="2"/>
      </rPr>
      <t xml:space="preserve">N </t>
    </r>
    <r>
      <rPr>
        <b/>
        <sz val="10"/>
        <rFont val="Arial"/>
        <family val="2"/>
      </rPr>
      <t xml:space="preserve">1293
</t>
    </r>
    <r>
      <rPr>
        <b/>
        <sz val="10"/>
        <color rgb="FF0000FF"/>
        <rFont val="Arial"/>
        <family val="2"/>
      </rPr>
      <t xml:space="preserve">Amended
Replaced by New Approval Ref: MCU20/0150.01 &amp; IC-N1622 (Rev1) </t>
    </r>
  </si>
  <si>
    <t>PC22/0737
Approved: 18/10/2022
Received &amp; Registered by NSC:19/10/2022</t>
  </si>
  <si>
    <t>Building Work
Core Building Certification - Permit Number:220933</t>
  </si>
  <si>
    <t>Building Work
Core Building Certification - Permit Number:221133</t>
  </si>
  <si>
    <t>D &amp; C Berridge 9</t>
  </si>
  <si>
    <t>9 Craigslea Court
COOROIBAH QLD 4565</t>
  </si>
  <si>
    <t>Lot 42 SP 109955</t>
  </si>
  <si>
    <t>Janine &amp; Gary Searl</t>
  </si>
  <si>
    <t>26A Jirrima Crescent
COOROIBAH QLD 4565</t>
  </si>
  <si>
    <t>Lot 1 SP 330320</t>
  </si>
  <si>
    <t>D000454664</t>
  </si>
  <si>
    <r>
      <rPr>
        <b/>
        <sz val="10"/>
        <color rgb="FF0000FF"/>
        <rFont val="Arial"/>
        <family val="2"/>
      </rPr>
      <t xml:space="preserve">N </t>
    </r>
    <r>
      <rPr>
        <b/>
        <sz val="10"/>
        <rFont val="Arial"/>
        <family val="2"/>
      </rPr>
      <t xml:space="preserve">1319
</t>
    </r>
    <r>
      <rPr>
        <sz val="10"/>
        <color rgb="FF0000FF"/>
        <rFont val="Arial"/>
        <family val="2"/>
      </rPr>
      <t xml:space="preserve">PC21/1457 &amp; PC22/0535 issued
</t>
    </r>
    <r>
      <rPr>
        <b/>
        <sz val="10"/>
        <color rgb="FFFF0000"/>
        <rFont val="Arial"/>
        <family val="2"/>
      </rPr>
      <t xml:space="preserve">
</t>
    </r>
    <r>
      <rPr>
        <sz val="10"/>
        <color rgb="FFFF0000"/>
        <rFont val="Arial"/>
        <family val="2"/>
      </rPr>
      <t>A/H Site Visit 3/11/2022 reveals Supermarket expansion completed &amp;USE COMMENCED
DUE 30 NOV 2022</t>
    </r>
  </si>
  <si>
    <r>
      <rPr>
        <b/>
        <sz val="10"/>
        <rFont val="Arial"/>
        <family val="2"/>
      </rPr>
      <t>MCU22/0115</t>
    </r>
    <r>
      <rPr>
        <sz val="10"/>
        <rFont val="Arial"/>
        <family val="2"/>
      </rPr>
      <t xml:space="preserve">
Approved: 17/11/2022
Issued: 18/11/2022</t>
    </r>
  </si>
  <si>
    <t>Weir Distilling Company Pty Ltd</t>
  </si>
  <si>
    <t>Lots 1, 2 &amp; 3 BUP 5337</t>
  </si>
  <si>
    <t>Industry = 85 m2 gfa</t>
  </si>
  <si>
    <t>Bar= 85m2 gfa
No change to impervious area</t>
  </si>
  <si>
    <t>Lot 3 SP 127443</t>
  </si>
  <si>
    <t>44 Williams Rd 
KIN KIN QLD 4571</t>
  </si>
  <si>
    <t>Westair 1-3/9 Rene St
NOOSAVILLE QLD 4566</t>
  </si>
  <si>
    <r>
      <rPr>
        <b/>
        <sz val="10"/>
        <rFont val="Arial"/>
        <family val="2"/>
      </rPr>
      <t>MCU22/0148</t>
    </r>
    <r>
      <rPr>
        <sz val="10"/>
        <rFont val="Arial"/>
        <family val="2"/>
      </rPr>
      <t xml:space="preserve">
Approved: 17/11/2022
Issued: 18/11/2022</t>
    </r>
  </si>
  <si>
    <t>RS Wilson &amp; Z Wilson</t>
  </si>
  <si>
    <t>Lot 1 RP 4348</t>
  </si>
  <si>
    <t xml:space="preserve">2 Memorial Ave 
Pomona Qld 4568 </t>
  </si>
  <si>
    <t xml:space="preserve">Food and drink outlet (new external kitchen/bar area and dry store = additional 17 m2 gfa &amp; impervious area to exiting lawful use.
</t>
  </si>
  <si>
    <r>
      <rPr>
        <b/>
        <sz val="10"/>
        <color rgb="FF0000FF"/>
        <rFont val="Arial"/>
        <family val="2"/>
      </rPr>
      <t xml:space="preserve">N </t>
    </r>
    <r>
      <rPr>
        <b/>
        <sz val="10"/>
        <rFont val="Arial"/>
        <family val="2"/>
      </rPr>
      <t xml:space="preserve">1264
</t>
    </r>
    <r>
      <rPr>
        <b/>
        <sz val="10"/>
        <color rgb="FF0000FF"/>
        <rFont val="Arial"/>
        <family val="2"/>
      </rPr>
      <t>Negotiated</t>
    </r>
    <r>
      <rPr>
        <b/>
        <sz val="10"/>
        <rFont val="Arial"/>
        <family val="2"/>
      </rPr>
      <t xml:space="preserve">
</t>
    </r>
    <r>
      <rPr>
        <sz val="10"/>
        <color rgb="FF0000FF"/>
        <rFont val="Arial"/>
        <family val="2"/>
      </rPr>
      <t xml:space="preserve">PC18/1255 issued
</t>
    </r>
    <r>
      <rPr>
        <sz val="10"/>
        <color rgb="FFFF0000"/>
        <rFont val="Arial"/>
        <family val="2"/>
      </rPr>
      <t xml:space="preserve">Completed per aerial review 11/11/2022 </t>
    </r>
    <r>
      <rPr>
        <sz val="10"/>
        <rFont val="Arial"/>
        <family val="2"/>
      </rPr>
      <t xml:space="preserve">
</t>
    </r>
    <r>
      <rPr>
        <sz val="10"/>
        <color rgb="FFFF0000"/>
        <rFont val="Arial"/>
        <family val="2"/>
      </rPr>
      <t>DUE 9 DEC 2022</t>
    </r>
  </si>
  <si>
    <t>D000454970</t>
  </si>
  <si>
    <t>Pais</t>
  </si>
  <si>
    <t>D000455410</t>
  </si>
  <si>
    <t>PC22/1149
Approved: 03/11/2022
Received &amp; Registered by NSC:03/11/2023</t>
  </si>
  <si>
    <t>PC21/0145
Approved: 06//11/2022
Received &amp; Registered by NSC:22/11/2023</t>
  </si>
  <si>
    <t>Building Work
Coastal Building Certifications - Permit Number:35071</t>
  </si>
  <si>
    <t>Dean White &amp; Vivienne Savill</t>
  </si>
  <si>
    <t>2 Lakeway Drive
COOROIBAH QLD 4565</t>
  </si>
  <si>
    <t>Lot 1 RP 107647</t>
  </si>
  <si>
    <r>
      <rPr>
        <b/>
        <sz val="10"/>
        <color rgb="FF0000FF"/>
        <rFont val="Arial"/>
        <family val="2"/>
      </rPr>
      <t xml:space="preserve">N </t>
    </r>
    <r>
      <rPr>
        <b/>
        <sz val="10"/>
        <rFont val="Arial"/>
        <family val="2"/>
      </rPr>
      <t xml:space="preserve">1548
</t>
    </r>
    <r>
      <rPr>
        <sz val="10"/>
        <color rgb="FF0000FF"/>
        <rFont val="Arial"/>
        <family val="2"/>
      </rPr>
      <t>Final Inspection Certificate issued 8/01/2021</t>
    </r>
    <r>
      <rPr>
        <b/>
        <sz val="10"/>
        <rFont val="Arial"/>
        <family val="2"/>
      </rPr>
      <t xml:space="preserve">
</t>
    </r>
    <r>
      <rPr>
        <sz val="10"/>
        <color rgb="FFFF0000"/>
        <rFont val="Arial"/>
        <family val="2"/>
      </rPr>
      <t>infrastructure charge is an ‘unfulfilled’ debt on the land or payment required on change of status or sale of property</t>
    </r>
  </si>
  <si>
    <t>D000456192</t>
  </si>
  <si>
    <r>
      <rPr>
        <b/>
        <sz val="10"/>
        <color rgb="FF0000FF"/>
        <rFont val="Arial"/>
        <family val="2"/>
      </rPr>
      <t xml:space="preserve">N </t>
    </r>
    <r>
      <rPr>
        <b/>
        <sz val="10"/>
        <rFont val="Arial"/>
        <family val="2"/>
      </rPr>
      <t xml:space="preserve">1522
</t>
    </r>
    <r>
      <rPr>
        <sz val="10"/>
        <color rgb="FFFF0000"/>
        <rFont val="Arial"/>
        <family val="2"/>
      </rPr>
      <t xml:space="preserve">
Final Insp Cert 5/08/2022</t>
    </r>
    <r>
      <rPr>
        <sz val="10"/>
        <rFont val="Arial"/>
        <family val="2"/>
      </rPr>
      <t xml:space="preserve">
</t>
    </r>
    <r>
      <rPr>
        <sz val="10"/>
        <color rgb="FFFF0000"/>
        <rFont val="Arial"/>
        <family val="2"/>
      </rPr>
      <t>DUE 25 NOV 2022</t>
    </r>
  </si>
  <si>
    <t>Hanifin Education Management ATF The Hanifin Family Trust</t>
  </si>
  <si>
    <t>C/- Urban Strategies P/L
PO Box 3368
SOUTH BRISBANE QLD 4101</t>
  </si>
  <si>
    <t xml:space="preserve">Lots 410  &amp; 411
RP 48112 </t>
  </si>
  <si>
    <t>65 &amp; 67 Elanda St 
Sunshine Beach QLD 4567</t>
  </si>
  <si>
    <t>Multiple dwelling = 4 x 3 bed units</t>
  </si>
  <si>
    <t>1 x Dwelling house &amp; 
1 x Vacant Res lot</t>
  </si>
  <si>
    <t xml:space="preserve"> D000457136</t>
  </si>
  <si>
    <t>DECEMBER 2022
Total =</t>
  </si>
  <si>
    <t>D000457381</t>
  </si>
  <si>
    <t>Building Work
North Shore Building Approvals - Permit Number: 22-170</t>
  </si>
  <si>
    <t>PC22/1079
Approved: 16/11/2022
Received &amp; Registered by NSC:1/12/2022</t>
  </si>
  <si>
    <t>Building Work
Building Approvals United QLD - Permit Number: 22-3727</t>
  </si>
  <si>
    <t>PC22/1351
Approved: 1/12/2022
Received &amp; Registered by NSC:1/12/2022</t>
  </si>
  <si>
    <t>Building Work
Core Building Certification - Permit Number: 221275</t>
  </si>
  <si>
    <t>175 Wiloson Road
ILKEY QLD 4554</t>
  </si>
  <si>
    <t>Lot 2 RP 86491</t>
  </si>
  <si>
    <t>10 Sandy Street
POMONA QLD 4568</t>
  </si>
  <si>
    <t>MZ Building Serices</t>
  </si>
  <si>
    <t>17 Morgan Close
YAROOMBA QLD 4573</t>
  </si>
  <si>
    <t>Lot 45 RP 139233</t>
  </si>
  <si>
    <t>20 Agrippa Crescent
TEWANTIN QLD 4565</t>
  </si>
  <si>
    <t>Shane Schofield</t>
  </si>
  <si>
    <t>11 Bowerbird Lane
POMONA QLD 4568</t>
  </si>
  <si>
    <t>Lot 3 RP 851946</t>
  </si>
  <si>
    <t>D000458817</t>
  </si>
  <si>
    <t>DEC 2022 Total =</t>
  </si>
  <si>
    <t>Mr D Briggs &amp; Mrs A Briggs
C/- Coastal Building Certification Pty Ltd</t>
  </si>
  <si>
    <t>10 Akounah Crescent
BUDDINA QLD 4575</t>
  </si>
  <si>
    <t>Lot 10 RP 908176</t>
  </si>
  <si>
    <t>54 Gwandalan Road
LAKE MACDONALD QLD 4563</t>
  </si>
  <si>
    <t>PC22/0355
Approved: 17/11/2022
Received &amp; Registered by NSC:8/11/2022</t>
  </si>
  <si>
    <t>Building Work
Urban Certifiers - Permit Number: 11842</t>
  </si>
  <si>
    <t>KMC Superannuation</t>
  </si>
  <si>
    <t>65 Lake Weyba Road
NOOSAVILLE QLD 4566</t>
  </si>
  <si>
    <t>Lot 2 RP 104568</t>
  </si>
  <si>
    <t>Taylor Court Developments Pty Ltd
C/- Building Suncoast Green</t>
  </si>
  <si>
    <t>Lot 1 SP 324340</t>
  </si>
  <si>
    <t>1 Taylor Court 
COOROY QLD 4563</t>
  </si>
  <si>
    <t>Equivalent credit for contributions paid under 2005/2159 = 33% of the lot area = 3,050 x 33% = 1,006 m2 gfa
+ Stormwater impervious area = Nil</t>
  </si>
  <si>
    <t>Low Impact Industry = 1,593 m2 gfa 
+ 
Stormwater Impervious Area = 2,017</t>
  </si>
  <si>
    <t>D000459829</t>
  </si>
  <si>
    <t>D000459830</t>
  </si>
  <si>
    <t>Robyn Lynette Kildey
C/- Murray &amp; Associates (QLD) Pty Ltd</t>
  </si>
  <si>
    <t xml:space="preserve">PO Box 456
NAMBOUR QLD 4560
</t>
  </si>
  <si>
    <t>Lot 616 C 56014</t>
  </si>
  <si>
    <t>7 Ruby Street
COOROY QLD 4563</t>
  </si>
  <si>
    <t>Material Change of Use for Multiple Dwelling Units - 4 x 2 bedroom small dwelling units</t>
  </si>
  <si>
    <t>Existing residential lot with existing dwelling</t>
  </si>
  <si>
    <t>Integra Partnerships
C/- Pivotal Perspective Pty Ltd</t>
  </si>
  <si>
    <t>95/3 Hilton Terrace
TEWANTIN QLD 4565</t>
  </si>
  <si>
    <t>Lot 44 RP 139776</t>
  </si>
  <si>
    <t>14 Wyandra Street
NOOSA HEADS QLD 4565</t>
  </si>
  <si>
    <t>Material Change of Use - Dual Occupancy (2 x 3+ Bedrooms)</t>
  </si>
  <si>
    <t>Existing Dwelling</t>
  </si>
  <si>
    <r>
      <rPr>
        <b/>
        <sz val="10"/>
        <color rgb="FF0000FF"/>
        <rFont val="Arial"/>
        <family val="2"/>
      </rPr>
      <t xml:space="preserve">N </t>
    </r>
    <r>
      <rPr>
        <b/>
        <sz val="10"/>
        <rFont val="Arial"/>
        <family val="2"/>
      </rPr>
      <t xml:space="preserve">1692
</t>
    </r>
    <r>
      <rPr>
        <sz val="10"/>
        <color rgb="FFFF0000"/>
        <rFont val="Arial"/>
        <family val="2"/>
      </rPr>
      <t>Final Inpection Certificate issued 28/03/2022 
DUE 21 DEC 2022</t>
    </r>
  </si>
  <si>
    <r>
      <t xml:space="preserve">MCU18/0084
</t>
    </r>
    <r>
      <rPr>
        <b/>
        <sz val="11"/>
        <color rgb="FF0000FF"/>
        <rFont val="Arial"/>
        <family val="2"/>
      </rPr>
      <t>(STAGE 1)</t>
    </r>
  </si>
  <si>
    <t>Stg Pmt 1 paid 13/12/2022</t>
  </si>
  <si>
    <r>
      <rPr>
        <sz val="10"/>
        <color rgb="FFFF0000"/>
        <rFont val="Arial"/>
        <family val="2"/>
      </rPr>
      <t>PC19/1069 Final Inspection Certificate 19/06/2020</t>
    </r>
    <r>
      <rPr>
        <sz val="10"/>
        <color rgb="FF0000FF"/>
        <rFont val="Arial"/>
        <family val="2"/>
      </rPr>
      <t xml:space="preserve">
</t>
    </r>
    <r>
      <rPr>
        <sz val="10"/>
        <color rgb="FFFF0000"/>
        <rFont val="Arial"/>
        <family val="2"/>
      </rPr>
      <t xml:space="preserve">IA#109 Staged Payment Agreement approved 4/02/2021 in accordance with COVID-19 Business Support Initiatives dated 26 March 2020
IA Amended 8/06/2021 re special circumstances
IA Amended 28/04/2022 re special circumstances
</t>
    </r>
    <r>
      <rPr>
        <sz val="10"/>
        <color rgb="FF0000FF"/>
        <rFont val="Arial"/>
        <family val="2"/>
      </rPr>
      <t>Stg Pmt1 $4,362.00 Paid 13/12/2022 &amp; Receipted</t>
    </r>
    <r>
      <rPr>
        <sz val="10"/>
        <color rgb="FFFF0000"/>
        <rFont val="Arial"/>
        <family val="2"/>
      </rPr>
      <t xml:space="preserve"> </t>
    </r>
    <r>
      <rPr>
        <sz val="10"/>
        <color rgb="FF0000FF"/>
        <rFont val="Arial"/>
        <family val="2"/>
      </rPr>
      <t>19/12/2022</t>
    </r>
  </si>
  <si>
    <r>
      <t xml:space="preserve">Delayed Staged Payment Agreement approved 21/04/2022 incl 5% admin fee
Stg Pmt 1 = $6,916.00 Paid 23/05/2022
</t>
    </r>
    <r>
      <rPr>
        <b/>
        <sz val="10"/>
        <color rgb="FFFF0000"/>
        <rFont val="Arial"/>
        <family val="2"/>
      </rPr>
      <t>Bal Pmt = $20,747.00 due by 23 May 2023</t>
    </r>
    <r>
      <rPr>
        <sz val="10"/>
        <color rgb="FF0000FF"/>
        <rFont val="Arial"/>
        <family val="2"/>
      </rPr>
      <t xml:space="preserve">
Pt Pmt 4/07/2022 = $1,728.89 Rec D000402791
Pt Pmt 22/07/2022 = $1,728.89  Rec D000408544 
Pt Pmt 25/08/2022 = $1,728.89  Rec D000433948
Pt Pmt 28/09/2022 = $1,728.89  Rec D000443787
Pt Pmt 7/11/2022 = $1,728.89  Rec D000452927
Pt Pmt 19/12/2022 = $1,728.89  Rec XXXX</t>
    </r>
  </si>
  <si>
    <t>Pt Pmt</t>
  </si>
  <si>
    <r>
      <rPr>
        <b/>
        <sz val="10"/>
        <color rgb="FF0000FF"/>
        <rFont val="Arial"/>
        <family val="2"/>
      </rPr>
      <t xml:space="preserve">N </t>
    </r>
    <r>
      <rPr>
        <b/>
        <sz val="10"/>
        <rFont val="Arial"/>
        <family val="2"/>
      </rPr>
      <t xml:space="preserve">1719
</t>
    </r>
    <r>
      <rPr>
        <sz val="10"/>
        <color rgb="FFFF0000"/>
        <rFont val="Arial"/>
        <family val="2"/>
      </rPr>
      <t>Bal Pmt2 = $20,747.00 due 23/05/2023</t>
    </r>
  </si>
  <si>
    <t>D000460385</t>
  </si>
  <si>
    <r>
      <rPr>
        <b/>
        <sz val="10"/>
        <color rgb="FF0000FF"/>
        <rFont val="Arial"/>
        <family val="2"/>
      </rPr>
      <t xml:space="preserve">N </t>
    </r>
    <r>
      <rPr>
        <b/>
        <sz val="10"/>
        <rFont val="Arial"/>
        <family val="2"/>
      </rPr>
      <t xml:space="preserve">1747
</t>
    </r>
    <r>
      <rPr>
        <sz val="10"/>
        <color rgb="FFFF0000"/>
        <rFont val="Arial"/>
        <family val="2"/>
      </rPr>
      <t>REPLACES N1717 previously issued on PC21/1455 for same development</t>
    </r>
    <r>
      <rPr>
        <b/>
        <sz val="10"/>
        <rFont val="Arial"/>
        <family val="2"/>
      </rPr>
      <t xml:space="preserve">
</t>
    </r>
    <r>
      <rPr>
        <sz val="10"/>
        <color rgb="FFFF0000"/>
        <rFont val="Arial"/>
        <family val="2"/>
      </rPr>
      <t>Final inspection cert 18/11/2022
DUE 19 DEC 2022</t>
    </r>
  </si>
  <si>
    <t>D000460601</t>
  </si>
  <si>
    <t>D000460602</t>
  </si>
  <si>
    <t>Receipted 20/12/2022</t>
  </si>
  <si>
    <t>D000460611</t>
  </si>
  <si>
    <t>D000460607</t>
  </si>
  <si>
    <t>D000460615</t>
  </si>
  <si>
    <t>PC22/1329
Approved: 8/11/2022
Received &amp; Registered: 1/12/2022</t>
  </si>
  <si>
    <t>19/25 Quanda Road
COOLUM QLD 4573</t>
  </si>
  <si>
    <t>Lot 5 SP 144546</t>
  </si>
  <si>
    <t>9 Bungee Court
TEWANTIN QLD 4565</t>
  </si>
  <si>
    <t>PC22/1338
Approved: 22/10/2022
Received &amp; Registered: 1/12/2022</t>
  </si>
  <si>
    <t>Building Work
Caloundra Building Approvals - Permit Number: 00010429</t>
  </si>
  <si>
    <t>Building Work
Jim Locke Building Consultants Pty Ltd - Permit Number: 220191</t>
  </si>
  <si>
    <t>Renae Taylor &amp; Brent Collette</t>
  </si>
  <si>
    <t>123 Werin Street
TEWANTIN QLD 4565</t>
  </si>
  <si>
    <r>
      <rPr>
        <b/>
        <sz val="10"/>
        <rFont val="Arial"/>
        <family val="2"/>
      </rPr>
      <t>MCU22/0170</t>
    </r>
    <r>
      <rPr>
        <sz val="10"/>
        <rFont val="Arial"/>
        <family val="2"/>
      </rPr>
      <t xml:space="preserve">
Approved: 12/12/2022
Issued: 20/12/2022</t>
    </r>
  </si>
  <si>
    <t>KX Pilates</t>
  </si>
  <si>
    <t>1/8 Venture Dr 
Noosaville Qld 4566</t>
  </si>
  <si>
    <t>Lot 1 BUP 105301</t>
  </si>
  <si>
    <t>Indoor Sport and Recreation (pilates) = 206m2 (96m2 court area + 110 Non-court area)
No change to impervious area</t>
  </si>
  <si>
    <t>Industry = 206 m2</t>
  </si>
  <si>
    <t>Noosa Heads Surf Life Saving Club Inc</t>
  </si>
  <si>
    <t>1/11b Venture Dr 
Noosaville Qld 4566</t>
  </si>
  <si>
    <t>Lot 1 SP 173113</t>
  </si>
  <si>
    <t>Indoor Sport and Recreation = 100m2 court area + 92m2 non-court area
+
Warehouse = 361m2 gfa
No change to impervious area</t>
  </si>
  <si>
    <t>Industry = 361m2 gfa</t>
  </si>
  <si>
    <t>A Mouat &amp; K Mouat</t>
  </si>
  <si>
    <t xml:space="preserve">Lot 2 SP 295958 </t>
  </si>
  <si>
    <t xml:space="preserve">3 Vision Ct 
Noosaville Qld 4566 </t>
  </si>
  <si>
    <t>Industry = 447 m2 gfa
+ Caretakers accom 1 x 3 bed unit
No change to impervious area</t>
  </si>
  <si>
    <t>Industry = 392 m2 gfa</t>
  </si>
  <si>
    <t>Integra Partnerships</t>
  </si>
  <si>
    <t>Lot 43 RP 139776</t>
  </si>
  <si>
    <t xml:space="preserve">12 Wyandra St 
Noosa Heads Qld 4567 </t>
  </si>
  <si>
    <t>Dual occupancy =  2 x 3 bed units</t>
  </si>
  <si>
    <t>Noosa Women's Shed</t>
  </si>
  <si>
    <t>60/1 Ferrells Rd
COOROY QLD 4563</t>
  </si>
  <si>
    <t xml:space="preserve">Wallum Lane 
Noosa Heads Qld 4567 </t>
  </si>
  <si>
    <t xml:space="preserve">Lot 17 SP 239726 </t>
  </si>
  <si>
    <t>Community use (Women’s Shed) = 300m2 gfa &amp; impervious area</t>
  </si>
  <si>
    <t>The applicant may be entitled to claim a rebate of the infrastructure charge under Council Policy “Infrastructure Charges Rebates for Community Organisations” on providing evidence of its registration as a charity with the Australian Charities and Not-for-profits Commission (ACNC) under the eligibility criteria for Community Sheds.</t>
  </si>
  <si>
    <t>D000461230</t>
  </si>
  <si>
    <t xml:space="preserve">3 x residential lots 
</t>
  </si>
  <si>
    <t xml:space="preserve">1 x residential lot
</t>
  </si>
  <si>
    <t>Mr KJ Kelly &amp; Mrs VL Kelly</t>
  </si>
  <si>
    <t>9 Crystal St 
Cooroy Qld 4563</t>
  </si>
  <si>
    <t xml:space="preserve">Lot 31 C 5605 </t>
  </si>
  <si>
    <t>RAL22/0003
Approved: 17/08/2022
Issued: 19/08/2022</t>
  </si>
  <si>
    <t>RD Klinge TTE</t>
  </si>
  <si>
    <t>62 Gateway Dr 
Noosaville Qld 4566</t>
  </si>
  <si>
    <t>Lot 12 SP 216079</t>
  </si>
  <si>
    <t xml:space="preserve">Warehouse = 1,528 m2 gfa 
+
Stormwater Impervious area = 2,076 m2 </t>
  </si>
  <si>
    <t xml:space="preserve">Equivalent credit for contributions paid under lot reconfiguration approval 152007.1626.3 = 0.9 Non-residential lot 
+ Nil Stormwater credit </t>
  </si>
  <si>
    <t xml:space="preserve">Remaining Offset Credit for Constructed Trunk Pathways = 
2,448m2 lot area x $0.63/m2 = $1,542.24 at 1 July 2014 (CPI March 2014) = $1,837.00 at 1 July 2022 (CPI March 2022) </t>
  </si>
  <si>
    <t>CPI Mar 2022 @ 2022-2023 financial year</t>
  </si>
  <si>
    <r>
      <t xml:space="preserve">Use already commenced &amp; payment due extended to19 Decmeber 2022.
</t>
    </r>
    <r>
      <rPr>
        <sz val="10"/>
        <color rgb="FFFF0000"/>
        <rFont val="Arial"/>
        <family val="2"/>
      </rPr>
      <t>Final Overdue Notice sent 4/01/2023 for paument by 30 Jan 2023</t>
    </r>
  </si>
  <si>
    <t>PC22/1395
Approved: 22/12/2022
Received &amp; Registered: 28/12/2022</t>
  </si>
  <si>
    <t>Building Work
David Wright Queensland  Pty Ltd - Permit Number: 791621</t>
  </si>
  <si>
    <t xml:space="preserve">David Wright Properties Pty Ltd
</t>
  </si>
  <si>
    <t>240 Bruce Highway Eastern Service Road
BURPENGARRY QLD 4505</t>
  </si>
  <si>
    <t>Lot 80 CP 208642</t>
  </si>
  <si>
    <t>64 Lancaster Lane
COOROIBAH QLD 4565</t>
  </si>
  <si>
    <r>
      <t xml:space="preserve">22/12/2022
</t>
    </r>
    <r>
      <rPr>
        <sz val="10"/>
        <color rgb="FF0000FF"/>
        <rFont val="Arial"/>
        <family val="2"/>
      </rPr>
      <t>6/01/2022</t>
    </r>
  </si>
  <si>
    <t>Negotiated IC = 100% Rebate for Community Organisation</t>
  </si>
  <si>
    <r>
      <rPr>
        <b/>
        <sz val="10"/>
        <color rgb="FF0000FF"/>
        <rFont val="Arial"/>
        <family val="2"/>
      </rPr>
      <t xml:space="preserve">N </t>
    </r>
    <r>
      <rPr>
        <b/>
        <sz val="10"/>
        <rFont val="Arial"/>
        <family val="2"/>
      </rPr>
      <t xml:space="preserve">1719
</t>
    </r>
    <r>
      <rPr>
        <sz val="10"/>
        <color rgb="FFFF0000"/>
        <rFont val="Arial"/>
        <family val="2"/>
      </rPr>
      <t>Final Inspection Cert &amp; Certificate of Occupancy 1/04/2022</t>
    </r>
    <r>
      <rPr>
        <b/>
        <sz val="10"/>
        <color rgb="FFFF0000"/>
        <rFont val="Arial"/>
        <family val="2"/>
      </rPr>
      <t xml:space="preserve">
</t>
    </r>
    <r>
      <rPr>
        <sz val="10"/>
        <color rgb="FFFF0000"/>
        <rFont val="Arial"/>
        <family val="2"/>
      </rPr>
      <t>StgPmt1=$6,916.00 pd 23/5/2022</t>
    </r>
    <r>
      <rPr>
        <b/>
        <sz val="12"/>
        <color rgb="FFFF0000"/>
        <rFont val="Arial"/>
        <family val="2"/>
      </rPr>
      <t xml:space="preserve">
</t>
    </r>
    <r>
      <rPr>
        <sz val="10"/>
        <color rgb="FFFF0000"/>
        <rFont val="Arial"/>
        <family val="2"/>
      </rPr>
      <t>Bal Pmt2 = $20,747.00 due 23/05/2023</t>
    </r>
  </si>
  <si>
    <r>
      <t xml:space="preserve">Delayed Staged Payment Agreement approved 21/04/2022 incl 5% admin fee
Stg Pmt 1 = $6,916.00 Paid 23/05/2022
</t>
    </r>
    <r>
      <rPr>
        <b/>
        <sz val="10"/>
        <color rgb="FFFF0000"/>
        <rFont val="Arial"/>
        <family val="2"/>
      </rPr>
      <t>Bal Pmt = $20,747.00 due by 23 May 2023</t>
    </r>
    <r>
      <rPr>
        <sz val="10"/>
        <color rgb="FF0000FF"/>
        <rFont val="Arial"/>
        <family val="2"/>
      </rPr>
      <t xml:space="preserve">
Pt Pmt 4/07/2022 = $1,728.89 Rec D000402791
Pt Pmt 22/07/2022 = $1,728.89  Rec D000408544 
Pt Pmt 25/08/2022 = $1,728.89  Rec D000433948
Pt Pmt 28/09/2022 = $1,728.89  Rec D000443787
Pt Pmt 7/11/2022 = $1,728.89  Rec D000452927
Pt Pmt 19/12/2022 = $1,728.89  Rec D000460611</t>
    </r>
  </si>
  <si>
    <t>January 2023
Total =</t>
  </si>
  <si>
    <t>PC21/1554 - Amended
Approved: 9/03/2022
Received &amp; Registered by NSC 14/03/2022</t>
  </si>
  <si>
    <t>D000463001</t>
  </si>
  <si>
    <r>
      <rPr>
        <b/>
        <sz val="10"/>
        <rFont val="Arial"/>
        <family val="2"/>
      </rPr>
      <t>MCU22/0116</t>
    </r>
    <r>
      <rPr>
        <sz val="10"/>
        <rFont val="Arial"/>
        <family val="2"/>
      </rPr>
      <t xml:space="preserve">
Approved: 05/01/2023
Issued: 10/01/2023</t>
    </r>
  </si>
  <si>
    <t>Santiago Nominees Pty Ltd TTE</t>
  </si>
  <si>
    <t>Lot 136 RP 160425</t>
  </si>
  <si>
    <t>22 Delorme Street 
NOOSA HEADS QLD 4567</t>
  </si>
  <si>
    <t>Development Permit for Material Change of Use - Dual Occupancy (2 x 3 brm), Operational Works for Landscaping, earthworks, access and stormwater, Reconfiguring and Lot - Community Title and Development Permit for Building works (Demolition)</t>
  </si>
  <si>
    <t>Existing Dwelling House</t>
  </si>
  <si>
    <t>Pomona Distilling Co.</t>
  </si>
  <si>
    <t>14-16 Reserve St 
Pomona Qld 4568</t>
  </si>
  <si>
    <t xml:space="preserve">Lot 2 SP 115871 </t>
  </si>
  <si>
    <t>Food &amp; Drink Outlet = 179 m2 gfa +
191 m2 Impervious area</t>
  </si>
  <si>
    <r>
      <rPr>
        <b/>
        <sz val="10"/>
        <color rgb="FF0000FF"/>
        <rFont val="Arial"/>
        <family val="2"/>
      </rPr>
      <t xml:space="preserve">N </t>
    </r>
    <r>
      <rPr>
        <b/>
        <sz val="10"/>
        <rFont val="Arial"/>
        <family val="2"/>
      </rPr>
      <t xml:space="preserve">1815
</t>
    </r>
    <r>
      <rPr>
        <sz val="10"/>
        <color rgb="FF0000FF"/>
        <rFont val="Arial"/>
        <family val="2"/>
      </rPr>
      <t xml:space="preserve">
PC22/1273 issued 15/11/2022</t>
    </r>
  </si>
  <si>
    <t>D000465081</t>
  </si>
  <si>
    <t>Representations made 10/01/2023 as to use intention as home office &amp; on review of details, subsequently ICN calcelled with conditions on 16/01/2023. 
Request for reinstatement of ICN for flexibility &amp; ICN reinstated to original on 18/01/2023.</t>
  </si>
  <si>
    <t>Part pre-pmt $1,800.00 made 11/10/2022 Receipt: D000447445
Stg Pmt Agmt 17/01/2023 Incl 5% fee on $4,820 bal
Stg Pmt 1 = $1,220 Paid 18/01/2023
Stg Pmt2 Bal $3,851 Due 30 JULY 2023</t>
  </si>
  <si>
    <t>Paid StgPmt 1</t>
  </si>
  <si>
    <t>D000465907</t>
  </si>
  <si>
    <r>
      <rPr>
        <b/>
        <sz val="10"/>
        <color rgb="FF0000FF"/>
        <rFont val="Arial"/>
        <family val="2"/>
      </rPr>
      <t xml:space="preserve">N </t>
    </r>
    <r>
      <rPr>
        <b/>
        <sz val="10"/>
        <rFont val="Arial"/>
        <family val="2"/>
      </rPr>
      <t xml:space="preserve">1698
</t>
    </r>
    <r>
      <rPr>
        <sz val="10"/>
        <color rgb="FFFF0000"/>
        <rFont val="Arial"/>
        <family val="2"/>
      </rPr>
      <t>Final Inspection Certificate issued 10/10/2022
Stg Pmt Agmt 17/01/2023</t>
    </r>
  </si>
  <si>
    <t>Pre-pmt $1,800.00 made 11/10/2022 Rec: D000447445
Stg Pmt Agmt 17/01/2023 Incl 5% fee on $4,820 bal
Stg Pmt 1 = $1,220 Paid 18/01/2023 Rec D000465907
Stg Pmt2 Bal $3,851 Due 30 JULY 2023</t>
  </si>
  <si>
    <t>BE Hage</t>
  </si>
  <si>
    <t>Lot 3 RP 131369</t>
  </si>
  <si>
    <t xml:space="preserve">96 Black Mountain Range Rd Black Mountain Qld 4563 </t>
  </si>
  <si>
    <r>
      <rPr>
        <b/>
        <sz val="10"/>
        <color rgb="FF0000FF"/>
        <rFont val="Arial"/>
        <family val="2"/>
      </rPr>
      <t xml:space="preserve">N </t>
    </r>
    <r>
      <rPr>
        <b/>
        <sz val="10"/>
        <rFont val="Arial"/>
        <family val="2"/>
      </rPr>
      <t>1842</t>
    </r>
  </si>
  <si>
    <t>LAPSED 29/06/2011
Use not commenced as advised by Owner 4/10/2022</t>
  </si>
  <si>
    <t>CF Deighton &amp; MT Deighton</t>
  </si>
  <si>
    <t xml:space="preserve">Lot 141 RP 132135 </t>
  </si>
  <si>
    <t xml:space="preserve">14 Orealla Cres 
Sunrise Beach Qld 4567 </t>
  </si>
  <si>
    <t>Dual Occupancy = 1 x 3 bedroom unit + 
1 x 2 bedroom unit</t>
  </si>
  <si>
    <t>2 bedroom Dwelling House however min credit for res lot equiv to 3 bedroom dwelling</t>
  </si>
  <si>
    <t xml:space="preserve">43 Gwandalan Rd
LAKE MACDONALD QLD 4563
</t>
  </si>
  <si>
    <t>D000467692</t>
  </si>
  <si>
    <t>D000467693</t>
  </si>
  <si>
    <r>
      <rPr>
        <b/>
        <sz val="10"/>
        <color rgb="FF0000FF"/>
        <rFont val="Arial"/>
        <family val="2"/>
      </rPr>
      <t xml:space="preserve">N </t>
    </r>
    <r>
      <rPr>
        <b/>
        <sz val="10"/>
        <rFont val="Arial"/>
        <family val="2"/>
      </rPr>
      <t xml:space="preserve">1519
</t>
    </r>
    <r>
      <rPr>
        <i/>
        <sz val="10"/>
        <color rgb="FF0000FF"/>
        <rFont val="Arial"/>
        <family val="2"/>
      </rPr>
      <t>PC21/0176
Approved 15/02/2021</t>
    </r>
    <r>
      <rPr>
        <b/>
        <sz val="10"/>
        <rFont val="Arial"/>
        <family val="2"/>
      </rPr>
      <t xml:space="preserve">
</t>
    </r>
    <r>
      <rPr>
        <b/>
        <sz val="10"/>
        <color rgb="FFFF0000"/>
        <rFont val="Arial"/>
        <family val="2"/>
      </rPr>
      <t>Note OFFSET + REFUND applies</t>
    </r>
  </si>
  <si>
    <r>
      <rPr>
        <b/>
        <sz val="10"/>
        <color rgb="FF0000FF"/>
        <rFont val="Arial"/>
        <family val="2"/>
      </rPr>
      <t xml:space="preserve">N </t>
    </r>
    <r>
      <rPr>
        <b/>
        <sz val="10"/>
        <rFont val="Arial"/>
        <family val="2"/>
      </rPr>
      <t xml:space="preserve">1612
</t>
    </r>
    <r>
      <rPr>
        <i/>
        <sz val="10"/>
        <color rgb="FF0000FF"/>
        <rFont val="Arial"/>
        <family val="2"/>
      </rPr>
      <t>PC21/1021
Approved 06/08/2021</t>
    </r>
  </si>
  <si>
    <r>
      <rPr>
        <b/>
        <sz val="10"/>
        <color rgb="FF0000FF"/>
        <rFont val="Arial"/>
        <family val="2"/>
      </rPr>
      <t xml:space="preserve">N </t>
    </r>
    <r>
      <rPr>
        <b/>
        <sz val="10"/>
        <rFont val="Arial"/>
        <family val="2"/>
      </rPr>
      <t xml:space="preserve">1772
</t>
    </r>
  </si>
  <si>
    <r>
      <rPr>
        <b/>
        <sz val="10"/>
        <color rgb="FF0000FF"/>
        <rFont val="Arial"/>
        <family val="2"/>
      </rPr>
      <t xml:space="preserve">N </t>
    </r>
    <r>
      <rPr>
        <b/>
        <sz val="10"/>
        <rFont val="Arial"/>
        <family val="2"/>
      </rPr>
      <t xml:space="preserve">1773
</t>
    </r>
    <r>
      <rPr>
        <i/>
        <sz val="10"/>
        <color rgb="FF0000FF"/>
        <rFont val="Arial"/>
        <family val="2"/>
      </rPr>
      <t>PC23/0030
Approved 15/12/2022</t>
    </r>
  </si>
  <si>
    <t>SE Meldrum</t>
  </si>
  <si>
    <t>Lot 101 M 11112</t>
  </si>
  <si>
    <t>4 Tristania Dr 
Marcus Beach Qld 4573</t>
  </si>
  <si>
    <t>ICN Issued on Minor change approval that changes the original Preliminary Approval to a Full Development Permit</t>
  </si>
  <si>
    <t>D000471079</t>
  </si>
  <si>
    <t>23/12/2023 Receipted 27/01/2023</t>
  </si>
  <si>
    <t>D000471107</t>
  </si>
  <si>
    <t xml:space="preserve">53 Martins Rd 
Cooroy Qld 4563 </t>
  </si>
  <si>
    <t xml:space="preserve">Lot 4 RP 852013 </t>
  </si>
  <si>
    <r>
      <rPr>
        <b/>
        <sz val="10"/>
        <color rgb="FF0000FF"/>
        <rFont val="Arial"/>
        <family val="2"/>
      </rPr>
      <t xml:space="preserve">N </t>
    </r>
    <r>
      <rPr>
        <b/>
        <sz val="10"/>
        <rFont val="Arial"/>
        <family val="2"/>
      </rPr>
      <t>1382</t>
    </r>
    <r>
      <rPr>
        <b/>
        <sz val="10"/>
        <color rgb="FF0000FF"/>
        <rFont val="Arial"/>
        <family val="2"/>
      </rPr>
      <t xml:space="preserve"> (Part)</t>
    </r>
    <r>
      <rPr>
        <b/>
        <sz val="10"/>
        <rFont val="Arial"/>
        <family val="2"/>
      </rPr>
      <t xml:space="preserve">
</t>
    </r>
    <r>
      <rPr>
        <b/>
        <sz val="10"/>
        <color rgb="FF0000FF"/>
        <rFont val="Arial"/>
        <family val="2"/>
      </rPr>
      <t>Amended</t>
    </r>
    <r>
      <rPr>
        <b/>
        <sz val="10"/>
        <rFont val="Arial"/>
        <family val="2"/>
      </rPr>
      <t xml:space="preserve">
</t>
    </r>
    <r>
      <rPr>
        <b/>
        <sz val="11"/>
        <color rgb="FF0000FF"/>
        <rFont val="Arial"/>
        <family val="2"/>
      </rPr>
      <t>Stg 2 - Bal - 3-bed visitor cabin</t>
    </r>
    <r>
      <rPr>
        <b/>
        <sz val="10"/>
        <color rgb="FF0000FF"/>
        <rFont val="Arial"/>
        <family val="2"/>
      </rPr>
      <t xml:space="preserve"> </t>
    </r>
  </si>
  <si>
    <r>
      <rPr>
        <b/>
        <sz val="10"/>
        <color rgb="FF0000FF"/>
        <rFont val="Arial"/>
        <family val="2"/>
      </rPr>
      <t xml:space="preserve">N </t>
    </r>
    <r>
      <rPr>
        <b/>
        <sz val="10"/>
        <rFont val="Arial"/>
        <family val="2"/>
      </rPr>
      <t xml:space="preserve">1382 </t>
    </r>
    <r>
      <rPr>
        <b/>
        <sz val="10"/>
        <color rgb="FF0000FF"/>
        <rFont val="Arial"/>
        <family val="2"/>
      </rPr>
      <t>(Part)</t>
    </r>
    <r>
      <rPr>
        <b/>
        <sz val="10"/>
        <rFont val="Arial"/>
        <family val="2"/>
      </rPr>
      <t xml:space="preserve">
</t>
    </r>
    <r>
      <rPr>
        <b/>
        <sz val="10"/>
        <color rgb="FF0000FF"/>
        <rFont val="Arial"/>
        <family val="2"/>
      </rPr>
      <t>Amended</t>
    </r>
    <r>
      <rPr>
        <b/>
        <sz val="10"/>
        <rFont val="Arial"/>
        <family val="2"/>
      </rPr>
      <t xml:space="preserve">
</t>
    </r>
    <r>
      <rPr>
        <sz val="8"/>
        <color rgb="FFFF0000"/>
        <rFont val="Arial"/>
        <family val="2"/>
      </rPr>
      <t>Part - Secondary dwelling completed 28/11/2022
DUE 30 JAN 2023</t>
    </r>
  </si>
  <si>
    <r>
      <t>Stage 2 Total = $13,408 @ 2021-2022</t>
    </r>
    <r>
      <rPr>
        <sz val="10"/>
        <color rgb="FFFF0000"/>
        <rFont val="Arial"/>
        <family val="2"/>
      </rPr>
      <t xml:space="preserve">
Part - Secondary Dwelling = $5,567.00 @ 2021-2022 - PL22-0249 completed 9/11/2022 &amp; confirmed completed by owner on 28/11/2022 
Paid 30/01/2023
</t>
    </r>
    <r>
      <rPr>
        <sz val="10"/>
        <color rgb="FF0000FF"/>
        <rFont val="Arial"/>
        <family val="2"/>
      </rPr>
      <t>Bal - 3-bed Visitor Cabin = $7,841.00 @ 2021-2022</t>
    </r>
  </si>
  <si>
    <t>Paid Part
Secondary dwelling</t>
  </si>
  <si>
    <t xml:space="preserve">22 Grant St 
Noosa Heads Qld 4567 </t>
  </si>
  <si>
    <t xml:space="preserve">Lot 90 RP 92518 </t>
  </si>
  <si>
    <t>D000473098</t>
  </si>
  <si>
    <r>
      <t>Stage 2 Total = $13,408 @ 2021-2022</t>
    </r>
    <r>
      <rPr>
        <sz val="10"/>
        <color rgb="FFFF0000"/>
        <rFont val="Arial"/>
        <family val="2"/>
      </rPr>
      <t xml:space="preserve">
Part - Secondary Dwelling = $5,567.00 @ 2021-2022 - PL22-0249 completed 9/11/2022 &amp; confirmed completed by owner on 28/11/2022 Paid 30/01/2023 Receipt D000473098
</t>
    </r>
    <r>
      <rPr>
        <sz val="10"/>
        <color rgb="FF0000FF"/>
        <rFont val="Arial"/>
        <family val="2"/>
      </rPr>
      <t>Bal - 3-bed Visitor Cabin = $7,841.00 @ 2021-2022</t>
    </r>
  </si>
  <si>
    <t>PC23/0071
Approved: 24/01/2023
Received &amp; Registered: 27/01/2023</t>
  </si>
  <si>
    <t>Building Work
Coastal Building Certifications - Permit Number: 35513</t>
  </si>
  <si>
    <t>54 Suncoast Beach Road 
COOLUM MOUNTAIN QLD 4573</t>
  </si>
  <si>
    <t>Lot 9 RP 128795</t>
  </si>
  <si>
    <t>11 Paul Street
NOOSA HEADS QLD 4567</t>
  </si>
  <si>
    <r>
      <rPr>
        <b/>
        <sz val="10"/>
        <color rgb="FF0000FF"/>
        <rFont val="Arial"/>
        <family val="2"/>
      </rPr>
      <t xml:space="preserve">N </t>
    </r>
    <r>
      <rPr>
        <b/>
        <sz val="10"/>
        <rFont val="Arial"/>
        <family val="2"/>
      </rPr>
      <t xml:space="preserve">1820
</t>
    </r>
    <r>
      <rPr>
        <sz val="10"/>
        <rFont val="Arial"/>
        <family val="2"/>
      </rPr>
      <t xml:space="preserve">
</t>
    </r>
    <r>
      <rPr>
        <sz val="10"/>
        <color rgb="FFFF0000"/>
        <rFont val="Arial"/>
        <family val="2"/>
      </rPr>
      <t>DUE 30 JAN 2023</t>
    </r>
  </si>
  <si>
    <t>February 2023
Total =</t>
  </si>
  <si>
    <t>D000474495</t>
  </si>
  <si>
    <t>D000477068</t>
  </si>
  <si>
    <t>D000477069</t>
  </si>
  <si>
    <t>PC21/0612
Approved: 11/07/2022
Received &amp; Registered: 7/02/2023</t>
  </si>
  <si>
    <t>Building Work
Pacific BCQ Building Certifiers - Permit Number: 20210227</t>
  </si>
  <si>
    <t>LL &amp; AJ Tylor</t>
  </si>
  <si>
    <t>3 Signata Court
TEWANTIN QLD 4565</t>
  </si>
  <si>
    <t>Lot 85 RP 860581</t>
  </si>
  <si>
    <t>D000478461</t>
  </si>
  <si>
    <t>Sunshine Grove P/L</t>
  </si>
  <si>
    <t xml:space="preserve">9 Kauri St 
Cooroy Qld 4563 </t>
  </si>
  <si>
    <t>Multiple Dwellings - 10 x 2 bed units</t>
  </si>
  <si>
    <t>20080625 BA</t>
  </si>
  <si>
    <r>
      <t xml:space="preserve">Extn IA for Missing:
- Stormwater 
- Transport
PC21/1621 </t>
    </r>
    <r>
      <rPr>
        <sz val="8"/>
        <color rgb="FF0000FF"/>
        <rFont val="Arial"/>
        <family val="2"/>
      </rPr>
      <t>issued 20/06/2022 &amp; in progress</t>
    </r>
  </si>
  <si>
    <r>
      <t xml:space="preserve">State Gov't Entitiy refer IPA 2.6.5A &amp; 2.6.6 = the entity is not required to pay any infrastructure charge under chapter 5, part 1 for the development.
</t>
    </r>
    <r>
      <rPr>
        <sz val="8"/>
        <color rgb="FF0000FF"/>
        <rFont val="Arial"/>
        <family val="2"/>
      </rPr>
      <t xml:space="preserve">However, the above does not prevent the infrastructure charge from being issued and attached to the property and the charge collected/recovered from a new owner </t>
    </r>
    <r>
      <rPr>
        <u/>
        <sz val="8"/>
        <color rgb="FF0000FF"/>
        <rFont val="Arial"/>
        <family val="2"/>
      </rPr>
      <t>on the future sale of the property</t>
    </r>
    <r>
      <rPr>
        <sz val="8"/>
        <color rgb="FF0000FF"/>
        <rFont val="Arial"/>
        <family val="2"/>
      </rPr>
      <t xml:space="preserve"> by the Department.</t>
    </r>
  </si>
  <si>
    <r>
      <t xml:space="preserve">AAA Building Consultants
Permit No 07266
Received 20/07/07
CFC completed 3/12/08
</t>
    </r>
    <r>
      <rPr>
        <sz val="8"/>
        <color indexed="10"/>
        <rFont val="Arial"/>
        <family val="2"/>
      </rPr>
      <t>State Gov't Entitiy refer IPA 2.6.5A &amp; 2.6.6 = the entity is not required to pay any infrastructure charge under chapter 5, part 1 for the development.</t>
    </r>
    <r>
      <rPr>
        <sz val="8"/>
        <rFont val="Arial"/>
        <family val="2"/>
      </rPr>
      <t xml:space="preserve">
</t>
    </r>
    <r>
      <rPr>
        <sz val="8"/>
        <color rgb="FF0000FF"/>
        <rFont val="Arial"/>
        <family val="2"/>
      </rPr>
      <t xml:space="preserve">However, the above does not prevent the infrastructure charge from being issued and attached to the property and the charge collected/recovered from a new owner </t>
    </r>
    <r>
      <rPr>
        <u/>
        <sz val="8"/>
        <color rgb="FF0000FF"/>
        <rFont val="Arial"/>
        <family val="2"/>
      </rPr>
      <t>on the future sale of the property</t>
    </r>
    <r>
      <rPr>
        <sz val="8"/>
        <color rgb="FF0000FF"/>
        <rFont val="Arial"/>
        <family val="2"/>
      </rPr>
      <t xml:space="preserve"> by the Department.</t>
    </r>
  </si>
  <si>
    <r>
      <t xml:space="preserve">Hendry Group Compliance Certificate No: 07-08-00436
Received 07/04/08
</t>
    </r>
    <r>
      <rPr>
        <sz val="8"/>
        <color indexed="10"/>
        <rFont val="Arial"/>
        <family val="2"/>
      </rPr>
      <t>State Gov't Entitiy refer IPA 2.6.5A &amp; 2.6.6 = the entity is not required to pay any infrastructure charge under chapter 5, part 1 for the development.</t>
    </r>
    <r>
      <rPr>
        <sz val="8"/>
        <rFont val="Arial"/>
        <family val="2"/>
      </rPr>
      <t xml:space="preserve">
</t>
    </r>
    <r>
      <rPr>
        <sz val="8"/>
        <color rgb="FF0000FF"/>
        <rFont val="Arial"/>
        <family val="2"/>
      </rPr>
      <t xml:space="preserve">However, the above does not prevent the infrastructure charge from being issued and attached to the property and the charge collected/recovered from a new owner </t>
    </r>
    <r>
      <rPr>
        <u/>
        <sz val="8"/>
        <color rgb="FF0000FF"/>
        <rFont val="Arial"/>
        <family val="2"/>
      </rPr>
      <t>on the future sale of the property</t>
    </r>
    <r>
      <rPr>
        <sz val="8"/>
        <color rgb="FF0000FF"/>
        <rFont val="Arial"/>
        <family val="2"/>
      </rPr>
      <t xml:space="preserve"> by the Department.</t>
    </r>
  </si>
  <si>
    <r>
      <t xml:space="preserve">(Not tracked to ICAO)
Dept of Public Works, Proj Services
Received 4/8/09
</t>
    </r>
    <r>
      <rPr>
        <sz val="8"/>
        <color indexed="10"/>
        <rFont val="Arial"/>
        <family val="2"/>
      </rPr>
      <t xml:space="preserve">State Gov't Entitiy refer IPA 2.6.5A &amp; 2.6.6 = the entity is not required to pay any infrastructure charge under chapter 5, part 1 for the development.
</t>
    </r>
    <r>
      <rPr>
        <sz val="8"/>
        <color rgb="FF0000FF"/>
        <rFont val="Arial"/>
        <family val="2"/>
      </rPr>
      <t xml:space="preserve">However, the above does not prevent the infrastructure charge from being issued and attached to the property and the charge collected/recovered from a new owner </t>
    </r>
    <r>
      <rPr>
        <u/>
        <sz val="8"/>
        <color rgb="FF0000FF"/>
        <rFont val="Arial"/>
        <family val="2"/>
      </rPr>
      <t>on the future sale of the property</t>
    </r>
    <r>
      <rPr>
        <sz val="8"/>
        <color rgb="FF0000FF"/>
        <rFont val="Arial"/>
        <family val="2"/>
      </rPr>
      <t xml:space="preserve"> by the Department.</t>
    </r>
  </si>
  <si>
    <t>Retail Business Type 2 Shop &amp; Salon = 695m2 gfa
+ 1,793 m2 impervious</t>
  </si>
  <si>
    <t>TPC1856
1 x 3 bed Managers permanent residence
6 x motel units
9 x caravan sites (however per CP100009 &amp; VP16/0005 re Operation of Accommodation Parks Registration = 10 sites)
1 x office = 45m2 gfa &amp; (45m2+50m2 carport &amp; drive through via nearmaps) = 95m2 impervious area</t>
  </si>
  <si>
    <r>
      <rPr>
        <sz val="8"/>
        <rFont val="Arial"/>
        <family val="2"/>
      </rPr>
      <t xml:space="preserve">ALSO Refer to Preliminary approval 23537 DA 
</t>
    </r>
    <r>
      <rPr>
        <sz val="8"/>
        <color rgb="FF0000FF"/>
        <rFont val="Arial"/>
        <family val="2"/>
      </rPr>
      <t>IA 9 triggered by next stage of development</t>
    </r>
    <r>
      <rPr>
        <sz val="8"/>
        <rFont val="Arial"/>
        <family val="2"/>
      </rPr>
      <t xml:space="preserve">
</t>
    </r>
  </si>
  <si>
    <r>
      <t xml:space="preserve">N/A
</t>
    </r>
    <r>
      <rPr>
        <sz val="8"/>
        <color rgb="FF0000FF"/>
        <rFont val="Arial"/>
        <family val="2"/>
      </rPr>
      <t>refer also to IA No.4 re effluent systems</t>
    </r>
    <r>
      <rPr>
        <b/>
        <sz val="8"/>
        <rFont val="Arial"/>
        <family val="2"/>
      </rPr>
      <t xml:space="preserve">
</t>
    </r>
    <r>
      <rPr>
        <b/>
        <sz val="10"/>
        <color rgb="FF0000FF"/>
        <rFont val="Arial"/>
        <family val="2"/>
      </rPr>
      <t xml:space="preserve">+
</t>
    </r>
    <r>
      <rPr>
        <b/>
        <sz val="8"/>
        <color rgb="FFFF0000"/>
        <rFont val="Arial"/>
        <family val="2"/>
      </rPr>
      <t>N1793</t>
    </r>
    <r>
      <rPr>
        <b/>
        <sz val="10"/>
        <color rgb="FFFF0000"/>
        <rFont val="Arial"/>
        <family val="2"/>
      </rPr>
      <t xml:space="preserve"> 
</t>
    </r>
    <r>
      <rPr>
        <sz val="8"/>
        <color rgb="FFFF0000"/>
        <rFont val="Arial"/>
        <family val="2"/>
      </rPr>
      <t>re: 51987.2966.05 (Minor Change to Lot 2)</t>
    </r>
  </si>
  <si>
    <r>
      <t xml:space="preserve">IC 925 </t>
    </r>
    <r>
      <rPr>
        <b/>
        <sz val="8"/>
        <color rgb="FF0000FF"/>
        <rFont val="Arial"/>
        <family val="2"/>
      </rPr>
      <t>(Rev 1)</t>
    </r>
    <r>
      <rPr>
        <b/>
        <sz val="8"/>
        <rFont val="Arial"/>
        <family val="2"/>
      </rPr>
      <t xml:space="preserve">
</t>
    </r>
    <r>
      <rPr>
        <b/>
        <sz val="8"/>
        <color rgb="FF0000FF"/>
        <rFont val="Arial"/>
        <family val="2"/>
      </rPr>
      <t xml:space="preserve">&amp;
ICAN Rev 1 </t>
    </r>
    <r>
      <rPr>
        <sz val="8"/>
        <color rgb="FF0000FF"/>
        <rFont val="Arial"/>
        <family val="2"/>
      </rPr>
      <t>(Contributions)</t>
    </r>
    <r>
      <rPr>
        <b/>
        <sz val="8"/>
        <color rgb="FF0000FF"/>
        <rFont val="Arial"/>
        <family val="2"/>
      </rPr>
      <t xml:space="preserve">
</t>
    </r>
    <r>
      <rPr>
        <sz val="8"/>
        <color rgb="FFFF0000"/>
        <rFont val="Arial"/>
        <family val="2"/>
      </rPr>
      <t>+</t>
    </r>
    <r>
      <rPr>
        <sz val="8"/>
        <color rgb="FF0000FF"/>
        <rFont val="Arial"/>
        <family val="2"/>
      </rPr>
      <t xml:space="preserve">
</t>
    </r>
    <r>
      <rPr>
        <b/>
        <sz val="8"/>
        <color rgb="FFFF0000"/>
        <rFont val="Arial"/>
        <family val="2"/>
      </rPr>
      <t>ICN.N1178</t>
    </r>
    <r>
      <rPr>
        <sz val="8"/>
        <color rgb="FF0000FF"/>
        <rFont val="Arial"/>
        <family val="2"/>
      </rPr>
      <t xml:space="preserve">
</t>
    </r>
  </si>
  <si>
    <r>
      <t xml:space="preserve">IA 87
</t>
    </r>
    <r>
      <rPr>
        <sz val="8"/>
        <color rgb="FFFF0000"/>
        <rFont val="Arial"/>
        <family val="2"/>
      </rPr>
      <t xml:space="preserve">+
</t>
    </r>
    <r>
      <rPr>
        <b/>
        <sz val="8"/>
        <color rgb="FFFF0000"/>
        <rFont val="Arial"/>
        <family val="2"/>
      </rPr>
      <t>ICN.N1470</t>
    </r>
  </si>
  <si>
    <t>Capital Prudential</t>
  </si>
  <si>
    <t xml:space="preserve">3 Delorme St 
Noosa Heads Qld 4567 </t>
  </si>
  <si>
    <t xml:space="preserve">Lot 148 RP 160425 </t>
  </si>
  <si>
    <t>D000484275</t>
  </si>
  <si>
    <t>D000484277</t>
  </si>
  <si>
    <t>IC payable on sale of property.</t>
  </si>
  <si>
    <t>D000486633</t>
  </si>
  <si>
    <t>Building Approvals United QLD</t>
  </si>
  <si>
    <t xml:space="preserve">Lot 10 SP 105631 </t>
  </si>
  <si>
    <t xml:space="preserve">39 Lake Ridge Ct 
Lake Macdonald Qld 4563 </t>
  </si>
  <si>
    <t>D000489480</t>
  </si>
  <si>
    <r>
      <rPr>
        <b/>
        <sz val="10"/>
        <color rgb="FF0000FF"/>
        <rFont val="Arial"/>
        <family val="2"/>
      </rPr>
      <t xml:space="preserve">N </t>
    </r>
    <r>
      <rPr>
        <b/>
        <sz val="10"/>
        <rFont val="Arial"/>
        <family val="2"/>
      </rPr>
      <t>1105</t>
    </r>
  </si>
  <si>
    <r>
      <t xml:space="preserve">132000.200328.1 
</t>
    </r>
    <r>
      <rPr>
        <sz val="10"/>
        <color rgb="FF0000FF"/>
        <rFont val="Arial"/>
        <family val="2"/>
      </rPr>
      <t>132000.200328.2</t>
    </r>
  </si>
  <si>
    <r>
      <rPr>
        <b/>
        <sz val="10"/>
        <color rgb="FF0000FF"/>
        <rFont val="Arial"/>
        <family val="2"/>
      </rPr>
      <t xml:space="preserve">Amended N </t>
    </r>
    <r>
      <rPr>
        <b/>
        <sz val="10"/>
        <rFont val="Arial"/>
        <family val="2"/>
      </rPr>
      <t>1488</t>
    </r>
  </si>
  <si>
    <t>AG22 Pty Ltd ATF Peregian Beach Shopping Centre Discretionary Trust</t>
  </si>
  <si>
    <t>C/- NorthGroup Consulting
Unit 3/32 Billabong Street
STAFFORD QLD 4053</t>
  </si>
  <si>
    <t>214 David Low Way
Peregian Beach QLD 4573</t>
  </si>
  <si>
    <t>Lot 74 P 9313</t>
  </si>
  <si>
    <t>Ground Floor = Retail (shops) 92m2 + Food &amp; Drink Outlet 112m2 = 204m2 gfa
First Floor = Office 89m2 + Food &amp; Drink Outlet 111m2 = 200m2 gfa
impervious area = 100% of lot area = 271m2</t>
  </si>
  <si>
    <t>Restaurant and takeaway (TPC 1780) = (currently 5 shops) over 100% lot area = 271 m2 gfa
Existing impervious area = 100% of lot area = 271m2</t>
  </si>
  <si>
    <t>MCU22/0154</t>
  </si>
  <si>
    <r>
      <t xml:space="preserve">IA 126
</t>
    </r>
    <r>
      <rPr>
        <sz val="8"/>
        <color rgb="FFFF0000"/>
        <rFont val="Arial"/>
        <family val="2"/>
      </rPr>
      <t xml:space="preserve">+
</t>
    </r>
    <r>
      <rPr>
        <b/>
        <sz val="8"/>
        <color rgb="FFFF0000"/>
        <rFont val="Arial"/>
        <family val="2"/>
      </rPr>
      <t>ICN.N1852</t>
    </r>
  </si>
  <si>
    <r>
      <rPr>
        <b/>
        <sz val="10"/>
        <color rgb="FF0000FF"/>
        <rFont val="Arial"/>
        <family val="2"/>
      </rPr>
      <t xml:space="preserve">N </t>
    </r>
    <r>
      <rPr>
        <b/>
        <sz val="10"/>
        <rFont val="Arial"/>
        <family val="2"/>
      </rPr>
      <t xml:space="preserve">1852
</t>
    </r>
    <r>
      <rPr>
        <b/>
        <sz val="10"/>
        <color rgb="FF0000FF"/>
        <rFont val="Arial"/>
        <family val="2"/>
      </rPr>
      <t>+
IA 126 carparking</t>
    </r>
  </si>
  <si>
    <t xml:space="preserve">214 David Low Way
Peregian Beach QLD 4573
</t>
  </si>
  <si>
    <t>4 carparking spaces in Lieu
2022-2023 financial year
@ CPI March 2022</t>
  </si>
  <si>
    <r>
      <t xml:space="preserve">Delayed Staged Payment Agreement approved 21/04/2022 incl 5% admin fee
Stg Pmt 1 = $6,916.00 Paid 23/05/2022
</t>
    </r>
    <r>
      <rPr>
        <b/>
        <sz val="10"/>
        <color rgb="FFFF0000"/>
        <rFont val="Arial"/>
        <family val="2"/>
      </rPr>
      <t>Bal Pmt = $20,747.00 due by 23 May 2023</t>
    </r>
    <r>
      <rPr>
        <sz val="10"/>
        <color rgb="FF0000FF"/>
        <rFont val="Arial"/>
        <family val="2"/>
      </rPr>
      <t xml:space="preserve">
</t>
    </r>
    <r>
      <rPr>
        <sz val="8"/>
        <color rgb="FF0000FF"/>
        <rFont val="Arial"/>
        <family val="2"/>
      </rPr>
      <t>Pt Pmt 4/07/2022 = $1,728.89 Rec D000402791
Pt Pmt 22/07/2022 = $1,728.89  Rec D000408544 
Pt Pmt 25/08/2022 = $1,728.89  Rec D000433948
Pt Pmt 28/09/2022 = $1,728.89  Rec D000443787
Pt Pmt 7/11/2022 = $1,728.89  Rec D000452927
Pt Pmt 19/12/2022 = $1,728.89  Rec D000460611
Pt Pmt 9/01/2023 = $1,728.89  Rec D000463001
Pt Pmt 7/02/2023 = $1,728.89  Rec D000477068</t>
    </r>
  </si>
  <si>
    <t xml:space="preserve">Other Development </t>
  </si>
  <si>
    <t>On sale of the property by the Department to a new owner</t>
  </si>
  <si>
    <t>Department Of Communities Housing and Digital Economy - Housing</t>
  </si>
  <si>
    <t>Level 7, 41 George St
BRISBANE QLD 4001</t>
  </si>
  <si>
    <t>Lot 3 RP 54219</t>
  </si>
  <si>
    <t>8 Moorindil St 
TEWANTIN QLD 4565</t>
  </si>
  <si>
    <t>Vacant lot but previously 1 x Dwelling house</t>
  </si>
  <si>
    <r>
      <rPr>
        <b/>
        <sz val="10"/>
        <color rgb="FF0000FF"/>
        <rFont val="Arial"/>
        <family val="2"/>
      </rPr>
      <t xml:space="preserve">N </t>
    </r>
    <r>
      <rPr>
        <b/>
        <sz val="10"/>
        <rFont val="Arial"/>
        <family val="2"/>
      </rPr>
      <t xml:space="preserve">1853
</t>
    </r>
    <r>
      <rPr>
        <b/>
        <sz val="10"/>
        <color rgb="FFFF0000"/>
        <rFont val="Arial"/>
        <family val="2"/>
      </rPr>
      <t>Payable only on sale of property by Department to a new owner</t>
    </r>
  </si>
  <si>
    <t>D000493748</t>
  </si>
  <si>
    <t>Paid Stg Pmt 4</t>
  </si>
  <si>
    <r>
      <rPr>
        <b/>
        <sz val="10"/>
        <color rgb="FF0000FF"/>
        <rFont val="Arial"/>
        <family val="2"/>
      </rPr>
      <t xml:space="preserve">N </t>
    </r>
    <r>
      <rPr>
        <b/>
        <sz val="10"/>
        <rFont val="Arial"/>
        <family val="2"/>
      </rPr>
      <t xml:space="preserve">1397
</t>
    </r>
    <r>
      <rPr>
        <b/>
        <sz val="10"/>
        <color rgb="FFFF0000"/>
        <rFont val="Arial"/>
        <family val="2"/>
      </rPr>
      <t xml:space="preserve">Stg Pmt 4= $40,000.00 DUE 1 APR 2023
</t>
    </r>
    <r>
      <rPr>
        <sz val="10"/>
        <color rgb="FFFF0000"/>
        <rFont val="Arial"/>
        <family val="2"/>
      </rPr>
      <t>Pmt 5= $40,000. 1 OCT 2023
but prior to any sale of property</t>
    </r>
    <r>
      <rPr>
        <b/>
        <sz val="10"/>
        <rFont val="Arial"/>
        <family val="2"/>
      </rPr>
      <t xml:space="preserve">
</t>
    </r>
  </si>
  <si>
    <t>Special consideration for Delayed Staged Payments approved 26/08/2021 to current index plus 5% Admin fee
Paid StgPmt 1 - 29/09/2021
Paid StgPmt 2 - 28/03/2022
Paid StgPmt 3 - 16/09/2022
Paid Stg Pmt 4 - 23/02/2023</t>
  </si>
  <si>
    <t>Other Development (undertaken during 2018-2019)</t>
  </si>
  <si>
    <t>D000494390</t>
  </si>
  <si>
    <t>Multiple Dwelling (Social housing) = 9 x 1 bed units</t>
  </si>
  <si>
    <r>
      <t xml:space="preserve">IC assessed &amp; issued under a Development Audit Review on approval of "Other Development" 
Non-compliance with Planning Act clause 320 due to 1 month delay/oversight in Department's timing of notification of development to Council.
Special consideration of DUE DATE for payment = </t>
    </r>
    <r>
      <rPr>
        <i/>
        <sz val="10"/>
        <color rgb="FF0000FF"/>
        <rFont val="Arial"/>
        <family val="2"/>
      </rPr>
      <t>On Sale of Property by Department to a new owner.</t>
    </r>
  </si>
  <si>
    <t>KM Harris &amp; Mr TR Harris</t>
  </si>
  <si>
    <t xml:space="preserve">Lot 4 RP 810777 </t>
  </si>
  <si>
    <t xml:space="preserve">16 Campbells Rd 
Cootharaba Qld 4565 </t>
  </si>
  <si>
    <t>Planning Reg 2019-2020
with Compound Interest from 16/12/2019</t>
  </si>
  <si>
    <t>Paid Stg Pmt 2</t>
  </si>
  <si>
    <t>March 2023
Total =</t>
  </si>
  <si>
    <t>D000496467</t>
  </si>
  <si>
    <r>
      <rPr>
        <b/>
        <sz val="10"/>
        <color rgb="FF0000FF"/>
        <rFont val="Arial"/>
        <family val="2"/>
      </rPr>
      <t xml:space="preserve">N </t>
    </r>
    <r>
      <rPr>
        <b/>
        <sz val="10"/>
        <rFont val="Arial"/>
        <family val="2"/>
      </rPr>
      <t xml:space="preserve">1624
</t>
    </r>
    <r>
      <rPr>
        <i/>
        <sz val="10"/>
        <rFont val="Arial"/>
        <family val="2"/>
      </rPr>
      <t>Requested payment details 6/03/2023</t>
    </r>
  </si>
  <si>
    <t>D000497220</t>
  </si>
  <si>
    <r>
      <rPr>
        <b/>
        <sz val="10"/>
        <color rgb="FF0000FF"/>
        <rFont val="Arial"/>
        <family val="2"/>
      </rPr>
      <t xml:space="preserve">N </t>
    </r>
    <r>
      <rPr>
        <b/>
        <sz val="10"/>
        <rFont val="Arial"/>
        <family val="2"/>
      </rPr>
      <t xml:space="preserve">1442
</t>
    </r>
    <r>
      <rPr>
        <b/>
        <sz val="10"/>
        <color rgb="FF0000FF"/>
        <rFont val="Arial"/>
        <family val="2"/>
      </rPr>
      <t xml:space="preserve">Amended 
</t>
    </r>
    <r>
      <rPr>
        <sz val="10"/>
        <color rgb="FFFF0000"/>
        <rFont val="Arial"/>
        <family val="2"/>
      </rPr>
      <t xml:space="preserve">Final inpection Certificate issued 30/09/2021 </t>
    </r>
    <r>
      <rPr>
        <b/>
        <sz val="10"/>
        <color rgb="FF0000FF"/>
        <rFont val="Arial"/>
        <family val="2"/>
      </rPr>
      <t xml:space="preserve">
</t>
    </r>
    <r>
      <rPr>
        <b/>
        <u/>
        <sz val="10"/>
        <color rgb="FF0000FF"/>
        <rFont val="Arial"/>
        <family val="2"/>
      </rPr>
      <t>ONLY</t>
    </r>
    <r>
      <rPr>
        <sz val="10"/>
        <color rgb="FF0000FF"/>
        <rFont val="Arial"/>
        <family val="2"/>
      </rPr>
      <t xml:space="preserve"> becomes payable following completion of future primary Detached House</t>
    </r>
  </si>
  <si>
    <r>
      <t xml:space="preserve">08/0175
132008.175
(Extn: 132008.175.01)
</t>
    </r>
    <r>
      <rPr>
        <sz val="10"/>
        <color rgb="FFFF0000"/>
        <rFont val="Arial"/>
        <family val="2"/>
      </rPr>
      <t>PC23/0076 issued 5/01/2023</t>
    </r>
  </si>
  <si>
    <r>
      <t xml:space="preserve">08/0175
132008.175
(Extn: 132008.175.02)
</t>
    </r>
    <r>
      <rPr>
        <sz val="10"/>
        <color rgb="FFFF0000"/>
        <rFont val="Arial"/>
        <family val="2"/>
      </rPr>
      <t>PC23/0076 issued 5/01/2023</t>
    </r>
  </si>
  <si>
    <r>
      <t xml:space="preserve">08/0175
132008.175
(Extn: 132008.175.03)
</t>
    </r>
    <r>
      <rPr>
        <sz val="10"/>
        <color rgb="FFFF0000"/>
        <rFont val="Arial"/>
        <family val="2"/>
      </rPr>
      <t>PC23/0076 issued 5/01/2023</t>
    </r>
  </si>
  <si>
    <r>
      <t xml:space="preserve">132008.175.04 
(minor change to 08/0175)
Approved: 5/11/2021
Issued: 10/11/2021
</t>
    </r>
    <r>
      <rPr>
        <sz val="10"/>
        <color rgb="FFFF0000"/>
        <rFont val="Arial"/>
        <family val="2"/>
      </rPr>
      <t>PC23/0076 issued 5/01/2023</t>
    </r>
  </si>
  <si>
    <r>
      <rPr>
        <b/>
        <sz val="10"/>
        <color rgb="FF0000FF"/>
        <rFont val="Arial"/>
        <family val="2"/>
      </rPr>
      <t xml:space="preserve">N </t>
    </r>
    <r>
      <rPr>
        <b/>
        <sz val="10"/>
        <rFont val="Arial"/>
        <family val="2"/>
      </rPr>
      <t xml:space="preserve">1473
</t>
    </r>
    <r>
      <rPr>
        <sz val="10"/>
        <color rgb="FFFF0000"/>
        <rFont val="Arial"/>
        <family val="2"/>
      </rPr>
      <t>10/03/2023 Aerials appear as constructed requ site check</t>
    </r>
  </si>
  <si>
    <t xml:space="preserve">Vacant Lot = 1 x Dwelling House </t>
  </si>
  <si>
    <t>Vacant lot = 1 x Dwelling House</t>
  </si>
  <si>
    <r>
      <t xml:space="preserve">Detached House = 1 Dwelling House + </t>
    </r>
    <r>
      <rPr>
        <strike/>
        <sz val="10"/>
        <rFont val="Arial"/>
        <family val="2"/>
      </rPr>
      <t>1 x Secondary Dwelling</t>
    </r>
  </si>
  <si>
    <r>
      <rPr>
        <b/>
        <sz val="10"/>
        <color rgb="FF0000FF"/>
        <rFont val="Arial"/>
        <family val="2"/>
      </rPr>
      <t xml:space="preserve">N </t>
    </r>
    <r>
      <rPr>
        <b/>
        <sz val="10"/>
        <rFont val="Arial"/>
        <family val="2"/>
      </rPr>
      <t xml:space="preserve">1515
</t>
    </r>
    <r>
      <rPr>
        <sz val="10"/>
        <color rgb="FFFF0000"/>
        <rFont val="Arial"/>
        <family val="2"/>
      </rPr>
      <t>10/03/2023 Aerials appear  construction in progress</t>
    </r>
  </si>
  <si>
    <r>
      <rPr>
        <b/>
        <sz val="10"/>
        <color rgb="FF0000FF"/>
        <rFont val="Arial"/>
        <family val="2"/>
      </rPr>
      <t xml:space="preserve">N </t>
    </r>
    <r>
      <rPr>
        <b/>
        <sz val="10"/>
        <rFont val="Arial"/>
        <family val="2"/>
      </rPr>
      <t xml:space="preserve">1576
</t>
    </r>
    <r>
      <rPr>
        <sz val="10"/>
        <color rgb="FFFF0000"/>
        <rFont val="Arial"/>
        <family val="2"/>
      </rPr>
      <t>10/03/2023 Aerials appear as constructed requ site check</t>
    </r>
  </si>
  <si>
    <r>
      <rPr>
        <b/>
        <sz val="10"/>
        <color rgb="FF0000FF"/>
        <rFont val="Arial"/>
        <family val="2"/>
      </rPr>
      <t xml:space="preserve">N </t>
    </r>
    <r>
      <rPr>
        <b/>
        <sz val="10"/>
        <rFont val="Arial"/>
        <family val="2"/>
      </rPr>
      <t xml:space="preserve">1512
</t>
    </r>
    <r>
      <rPr>
        <sz val="10"/>
        <color rgb="FFFF0000"/>
        <rFont val="Arial"/>
        <family val="2"/>
      </rPr>
      <t>Final Inspection Cert issued 25/01/2022
DUE 7 APRIL 2023</t>
    </r>
  </si>
  <si>
    <t>D000497842</t>
  </si>
  <si>
    <t>PC21/0683
Approved: 2/07/2021
Issued 15/07/2021</t>
  </si>
  <si>
    <t>PC22/1152
Approved: 21/12/2022
Received &amp; Registered: 21/12/2022</t>
  </si>
  <si>
    <t>Building Work
Axis Building Certification - Permit Number: 142526</t>
  </si>
  <si>
    <t>2/55 Clarence Street
COORAROO QLD 4151</t>
  </si>
  <si>
    <t>Brisbane Construction Group</t>
  </si>
  <si>
    <t>Lot 35 RP 203515</t>
  </si>
  <si>
    <t>285 David Low Way
PEREGIAN BEACH QLD 4573</t>
  </si>
  <si>
    <r>
      <rPr>
        <b/>
        <sz val="10"/>
        <color rgb="FF0000FF"/>
        <rFont val="Arial"/>
        <family val="2"/>
      </rPr>
      <t xml:space="preserve">N </t>
    </r>
    <r>
      <rPr>
        <b/>
        <sz val="10"/>
        <rFont val="Arial"/>
        <family val="2"/>
      </rPr>
      <t xml:space="preserve">1585
</t>
    </r>
    <r>
      <rPr>
        <sz val="10"/>
        <color rgb="FFFF0000"/>
        <rFont val="Arial"/>
        <family val="2"/>
      </rPr>
      <t>Final Inspection Cert issued 26/08/2021 
DUE 7 APRIL 2023</t>
    </r>
  </si>
  <si>
    <t>D000498566</t>
  </si>
  <si>
    <t>PC22/1336
Approved: 31/10/2022
Received &amp; Registered by NSC:1/12/2022</t>
  </si>
  <si>
    <r>
      <t xml:space="preserve">Delayed Staged Payment Agreement approved 21/04/2022 incl 5% admin fee
Stg Pmt 1 = $6,916.00 Paid 23/05/2022
</t>
    </r>
    <r>
      <rPr>
        <b/>
        <sz val="10"/>
        <color rgb="FFFF0000"/>
        <rFont val="Arial"/>
        <family val="2"/>
      </rPr>
      <t>Bal Pmt = $20,747.00 due by 23 May 2023</t>
    </r>
    <r>
      <rPr>
        <sz val="10"/>
        <color rgb="FF0000FF"/>
        <rFont val="Arial"/>
        <family val="2"/>
      </rPr>
      <t xml:space="preserve">
</t>
    </r>
    <r>
      <rPr>
        <sz val="8"/>
        <color rgb="FF0000FF"/>
        <rFont val="Arial"/>
        <family val="2"/>
      </rPr>
      <t>Pt Pmt 4/07/2022 = $1,728.89 Rec D000402791
Pt Pmt 22/07/2022 = $1,728.89 Rec D000408544 
Pt Pmt 25/08/2022 = $1,728.89 Rec D000433948
Pt Pmt 28/09/2022 = $1,728.89 Rec D000443787
Pt Pmt 7/11/2022 = $1,728.89 Rec D000452927
Pt Pmt 19/12/2022 = $1,728.89 Rec D000460611
Pt Pmt 9/01/2023 = $1,728.89 Rec D000463001
Pt Pmt 7/02/2023 = $1,728.89 Rec D000477068</t>
    </r>
    <r>
      <rPr>
        <sz val="10"/>
        <color rgb="FF0000FF"/>
        <rFont val="Arial"/>
        <family val="2"/>
      </rPr>
      <t xml:space="preserve">
</t>
    </r>
    <r>
      <rPr>
        <sz val="8"/>
        <color rgb="FF0000FF"/>
        <rFont val="Arial"/>
        <family val="2"/>
      </rPr>
      <t>Pt Pmt 20/03/2023 = $3,458.00 Rec D000498868</t>
    </r>
  </si>
  <si>
    <t>D000498868</t>
  </si>
  <si>
    <t>Part Stg Pmt 2</t>
  </si>
  <si>
    <t>D000499195</t>
  </si>
  <si>
    <r>
      <rPr>
        <b/>
        <sz val="10"/>
        <color rgb="FF0000FF"/>
        <rFont val="Arial"/>
        <family val="2"/>
      </rPr>
      <t xml:space="preserve">N </t>
    </r>
    <r>
      <rPr>
        <b/>
        <sz val="10"/>
        <rFont val="Arial"/>
        <family val="2"/>
      </rPr>
      <t xml:space="preserve">1732
</t>
    </r>
    <r>
      <rPr>
        <sz val="10"/>
        <color rgb="FF0000FF"/>
        <rFont val="Arial"/>
        <family val="2"/>
      </rPr>
      <t xml:space="preserve">PC22/0883 issued 5/09/2022
</t>
    </r>
    <r>
      <rPr>
        <sz val="10"/>
        <color rgb="FFFF0000"/>
        <rFont val="Arial"/>
        <family val="2"/>
      </rPr>
      <t>Final Inspection Cert issued 
16/12/2022
DUE 14 APRIL 2023</t>
    </r>
  </si>
  <si>
    <r>
      <rPr>
        <b/>
        <sz val="10"/>
        <color rgb="FF0000FF"/>
        <rFont val="Arial"/>
        <family val="2"/>
      </rPr>
      <t xml:space="preserve">N </t>
    </r>
    <r>
      <rPr>
        <b/>
        <sz val="10"/>
        <rFont val="Arial"/>
        <family val="2"/>
      </rPr>
      <t xml:space="preserve">1721
</t>
    </r>
    <r>
      <rPr>
        <sz val="10"/>
        <color rgb="FFFF0000"/>
        <rFont val="Arial"/>
        <family val="2"/>
      </rPr>
      <t>Final Inspection Cert issued 
27/09/2022
DUE 7 APRIL 2023</t>
    </r>
  </si>
  <si>
    <t>D000499204</t>
  </si>
  <si>
    <r>
      <rPr>
        <b/>
        <sz val="10"/>
        <color rgb="FF0000FF"/>
        <rFont val="Arial"/>
        <family val="2"/>
      </rPr>
      <t xml:space="preserve">N </t>
    </r>
    <r>
      <rPr>
        <b/>
        <sz val="10"/>
        <rFont val="Arial"/>
        <family val="2"/>
      </rPr>
      <t xml:space="preserve">1786 
</t>
    </r>
  </si>
  <si>
    <r>
      <rPr>
        <b/>
        <sz val="10"/>
        <color rgb="FF0000FF"/>
        <rFont val="Arial"/>
        <family val="2"/>
      </rPr>
      <t xml:space="preserve">N </t>
    </r>
    <r>
      <rPr>
        <b/>
        <sz val="10"/>
        <rFont val="Arial"/>
        <family val="2"/>
      </rPr>
      <t xml:space="preserve">1786
</t>
    </r>
    <r>
      <rPr>
        <sz val="10"/>
        <color rgb="FFFF0000"/>
        <rFont val="Arial"/>
        <family val="2"/>
      </rPr>
      <t>(DUPLICATE ICN reference issued)
Direct Bank TFR details requested 20/03/2023</t>
    </r>
  </si>
  <si>
    <t>MCU21/0020
Approved: 6/09/2021
Issued: 13/09/2021</t>
  </si>
  <si>
    <r>
      <rPr>
        <b/>
        <sz val="10"/>
        <color rgb="FF0000FF"/>
        <rFont val="Arial"/>
        <family val="2"/>
      </rPr>
      <t xml:space="preserve">N </t>
    </r>
    <r>
      <rPr>
        <b/>
        <sz val="10"/>
        <rFont val="Arial"/>
        <family val="2"/>
      </rPr>
      <t xml:space="preserve">1663
</t>
    </r>
    <r>
      <rPr>
        <sz val="10"/>
        <color rgb="FFFF0000"/>
        <rFont val="Arial"/>
        <family val="2"/>
      </rPr>
      <t>21/03/2023 Requested payment details</t>
    </r>
  </si>
  <si>
    <r>
      <rPr>
        <b/>
        <sz val="10"/>
        <color rgb="FF0000FF"/>
        <rFont val="Arial"/>
        <family val="2"/>
      </rPr>
      <t xml:space="preserve">N </t>
    </r>
    <r>
      <rPr>
        <b/>
        <sz val="10"/>
        <rFont val="Arial"/>
        <family val="2"/>
      </rPr>
      <t xml:space="preserve">1479
</t>
    </r>
    <r>
      <rPr>
        <sz val="10"/>
        <rFont val="Arial"/>
        <family val="2"/>
      </rPr>
      <t xml:space="preserve">
</t>
    </r>
    <r>
      <rPr>
        <sz val="10"/>
        <color rgb="FFFF0000"/>
        <rFont val="Arial"/>
        <family val="2"/>
      </rPr>
      <t>Final Inspection Cert issued 04/12/2020</t>
    </r>
    <r>
      <rPr>
        <sz val="10"/>
        <rFont val="Arial"/>
        <family val="2"/>
      </rPr>
      <t xml:space="preserve">
</t>
    </r>
    <r>
      <rPr>
        <sz val="10"/>
        <color rgb="FFFF0000"/>
        <rFont val="Arial"/>
        <family val="2"/>
      </rPr>
      <t>DUE 7 APRIL 2023</t>
    </r>
  </si>
  <si>
    <r>
      <rPr>
        <b/>
        <sz val="10"/>
        <color rgb="FF0000FF"/>
        <rFont val="Arial"/>
        <family val="2"/>
      </rPr>
      <t xml:space="preserve">N </t>
    </r>
    <r>
      <rPr>
        <b/>
        <sz val="10"/>
        <rFont val="Arial"/>
        <family val="2"/>
      </rPr>
      <t xml:space="preserve">1610
</t>
    </r>
    <r>
      <rPr>
        <sz val="10"/>
        <color rgb="FFFF0000"/>
        <rFont val="Arial"/>
        <family val="2"/>
      </rPr>
      <t>Final Inspection Cert issued 
28/10/2021
DUE 7 APRIL 2023</t>
    </r>
  </si>
  <si>
    <r>
      <rPr>
        <b/>
        <sz val="10"/>
        <color rgb="FF0000FF"/>
        <rFont val="Arial"/>
        <family val="2"/>
      </rPr>
      <t xml:space="preserve">N </t>
    </r>
    <r>
      <rPr>
        <b/>
        <sz val="10"/>
        <rFont val="Arial"/>
        <family val="2"/>
      </rPr>
      <t xml:space="preserve">1641
</t>
    </r>
    <r>
      <rPr>
        <sz val="10"/>
        <rFont val="Arial"/>
        <family val="2"/>
      </rPr>
      <t xml:space="preserve">
</t>
    </r>
    <r>
      <rPr>
        <sz val="10"/>
        <color rgb="FFFF0000"/>
        <rFont val="Arial"/>
        <family val="2"/>
      </rPr>
      <t>22/03/2023 Aerials appear under construction</t>
    </r>
  </si>
  <si>
    <r>
      <rPr>
        <b/>
        <sz val="10"/>
        <color rgb="FF0000FF"/>
        <rFont val="Arial"/>
        <family val="2"/>
      </rPr>
      <t xml:space="preserve">N </t>
    </r>
    <r>
      <rPr>
        <b/>
        <sz val="10"/>
        <rFont val="Arial"/>
        <family val="2"/>
      </rPr>
      <t xml:space="preserve">1642
</t>
    </r>
    <r>
      <rPr>
        <sz val="10"/>
        <color rgb="FFFF0000"/>
        <rFont val="Arial"/>
        <family val="2"/>
      </rPr>
      <t>22/03/2023 Aerials appear under construction</t>
    </r>
  </si>
  <si>
    <r>
      <rPr>
        <b/>
        <sz val="10"/>
        <color rgb="FF0000FF"/>
        <rFont val="Arial"/>
        <family val="2"/>
      </rPr>
      <t xml:space="preserve">N </t>
    </r>
    <r>
      <rPr>
        <b/>
        <sz val="10"/>
        <rFont val="Arial"/>
        <family val="2"/>
      </rPr>
      <t xml:space="preserve">1644
</t>
    </r>
    <r>
      <rPr>
        <sz val="10"/>
        <color rgb="FFFF0000"/>
        <rFont val="Arial"/>
        <family val="2"/>
      </rPr>
      <t>Certifier disengaged 27/08/2021</t>
    </r>
  </si>
  <si>
    <r>
      <rPr>
        <b/>
        <sz val="10"/>
        <color rgb="FF0000FF"/>
        <rFont val="Arial"/>
        <family val="2"/>
      </rPr>
      <t xml:space="preserve">N </t>
    </r>
    <r>
      <rPr>
        <b/>
        <sz val="10"/>
        <rFont val="Arial"/>
        <family val="2"/>
      </rPr>
      <t xml:space="preserve">1371
</t>
    </r>
    <r>
      <rPr>
        <b/>
        <sz val="10"/>
        <color rgb="FFFF0000"/>
        <rFont val="Arial"/>
        <family val="2"/>
      </rPr>
      <t xml:space="preserve">Cancelled 4/09/2018 </t>
    </r>
  </si>
  <si>
    <t>Cancelled due to Amended plans 5/12/2017 removing the kitchenette &amp; secondary dwelling from the ground floor.</t>
  </si>
  <si>
    <r>
      <rPr>
        <b/>
        <sz val="10"/>
        <color rgb="FF0000FF"/>
        <rFont val="Arial"/>
        <family val="2"/>
      </rPr>
      <t xml:space="preserve">N </t>
    </r>
    <r>
      <rPr>
        <b/>
        <sz val="10"/>
        <rFont val="Arial"/>
        <family val="2"/>
      </rPr>
      <t xml:space="preserve">1292
</t>
    </r>
    <r>
      <rPr>
        <b/>
        <sz val="10"/>
        <color rgb="FFFF0000"/>
        <rFont val="Arial"/>
        <family val="2"/>
      </rPr>
      <t xml:space="preserve">Cancelled 5/12/2017 </t>
    </r>
  </si>
  <si>
    <r>
      <rPr>
        <b/>
        <sz val="10"/>
        <color rgb="FF0000FF"/>
        <rFont val="Arial"/>
        <family val="2"/>
      </rPr>
      <t xml:space="preserve">N </t>
    </r>
    <r>
      <rPr>
        <b/>
        <sz val="10"/>
        <rFont val="Arial"/>
        <family val="2"/>
      </rPr>
      <t xml:space="preserve">1370
</t>
    </r>
    <r>
      <rPr>
        <sz val="10"/>
        <rFont val="Arial"/>
        <family val="2"/>
      </rPr>
      <t xml:space="preserve">
</t>
    </r>
    <r>
      <rPr>
        <b/>
        <sz val="10"/>
        <color rgb="FFFF0000"/>
        <rFont val="Arial"/>
        <family val="2"/>
      </rPr>
      <t>Cancelled 21/03/2019</t>
    </r>
  </si>
  <si>
    <t>Cancelled due to reps &amp; Amended plans 5/9/2018 removing the kitchen from the ground floor.
Final Inspection Cert issued 19/02/2019</t>
  </si>
  <si>
    <t>Cancelled due to Amended plans 23/07/2019 removing the food preparation facilities area from the lower floor</t>
  </si>
  <si>
    <r>
      <rPr>
        <b/>
        <sz val="10"/>
        <color rgb="FF0000FF"/>
        <rFont val="Arial"/>
        <family val="2"/>
      </rPr>
      <t xml:space="preserve">N </t>
    </r>
    <r>
      <rPr>
        <b/>
        <sz val="10"/>
        <rFont val="Arial"/>
        <family val="2"/>
      </rPr>
      <t xml:space="preserve">1449
</t>
    </r>
    <r>
      <rPr>
        <b/>
        <sz val="10"/>
        <color rgb="FFFF0000"/>
        <rFont val="Arial"/>
        <family val="2"/>
      </rPr>
      <t xml:space="preserve">
Cancelled 23/07/2019</t>
    </r>
  </si>
  <si>
    <r>
      <t xml:space="preserve">Stormwater Reduction - Outside PIA Area
</t>
    </r>
    <r>
      <rPr>
        <sz val="10"/>
        <color rgb="FFFF0000"/>
        <rFont val="Arial"/>
        <family val="2"/>
      </rPr>
      <t>CANCELLED due to approval originally issued in 2016 prior to when "Residents Apartments" were not charged. This Amended approval only relates to inclusion of Gazebo.</t>
    </r>
  </si>
  <si>
    <t>Cancelled 6/03/2020
on Negotiated Decision with Amended Plans dated 02/03/2020 removing the kitchen "Food preparation facilities" from the lower floor.</t>
  </si>
  <si>
    <r>
      <rPr>
        <b/>
        <sz val="10"/>
        <color rgb="FF0000FF"/>
        <rFont val="Arial"/>
        <family val="2"/>
      </rPr>
      <t xml:space="preserve">N </t>
    </r>
    <r>
      <rPr>
        <b/>
        <sz val="10"/>
        <rFont val="Arial"/>
        <family val="2"/>
      </rPr>
      <t xml:space="preserve">1505
</t>
    </r>
    <r>
      <rPr>
        <b/>
        <sz val="10"/>
        <color rgb="FFFF0000"/>
        <rFont val="Arial"/>
        <family val="2"/>
      </rPr>
      <t>Cancelled 6/03/2020</t>
    </r>
  </si>
  <si>
    <r>
      <rPr>
        <b/>
        <sz val="10"/>
        <color rgb="FF0000FF"/>
        <rFont val="Arial"/>
        <family val="2"/>
      </rPr>
      <t xml:space="preserve">N </t>
    </r>
    <r>
      <rPr>
        <b/>
        <sz val="10"/>
        <rFont val="Arial"/>
        <family val="2"/>
      </rPr>
      <t xml:space="preserve">1526
</t>
    </r>
    <r>
      <rPr>
        <b/>
        <sz val="10"/>
        <color rgb="FFFF0000"/>
        <rFont val="Arial"/>
        <family val="2"/>
      </rPr>
      <t xml:space="preserve">
Cancelled 2/03/2020</t>
    </r>
  </si>
  <si>
    <t>Cancelled 1/07/2020
on Negotiated Decision with Amended Plans dated 30/06/2020
removing the kitchen "Food preparation facilities" from the lower floor.</t>
  </si>
  <si>
    <r>
      <rPr>
        <b/>
        <sz val="10"/>
        <color rgb="FF0000FF"/>
        <rFont val="Arial"/>
        <family val="2"/>
      </rPr>
      <t xml:space="preserve">N </t>
    </r>
    <r>
      <rPr>
        <b/>
        <sz val="10"/>
        <rFont val="Arial"/>
        <family val="2"/>
      </rPr>
      <t xml:space="preserve">1536
</t>
    </r>
    <r>
      <rPr>
        <b/>
        <sz val="10"/>
        <color rgb="FFFF0000"/>
        <rFont val="Arial"/>
        <family val="2"/>
      </rPr>
      <t xml:space="preserve">
Cancelled 1/07/2020</t>
    </r>
  </si>
  <si>
    <r>
      <rPr>
        <b/>
        <sz val="10"/>
        <color rgb="FF0000FF"/>
        <rFont val="Arial"/>
        <family val="2"/>
      </rPr>
      <t xml:space="preserve">N </t>
    </r>
    <r>
      <rPr>
        <b/>
        <sz val="10"/>
        <rFont val="Arial"/>
        <family val="2"/>
      </rPr>
      <t xml:space="preserve">1597
</t>
    </r>
    <r>
      <rPr>
        <b/>
        <sz val="10"/>
        <color rgb="FFFF0000"/>
        <rFont val="Arial"/>
        <family val="2"/>
      </rPr>
      <t>CANCELLED 23/02/2021</t>
    </r>
  </si>
  <si>
    <r>
      <rPr>
        <b/>
        <sz val="10"/>
        <color rgb="FF0000FF"/>
        <rFont val="Arial"/>
        <family val="2"/>
      </rPr>
      <t xml:space="preserve">N </t>
    </r>
    <r>
      <rPr>
        <b/>
        <sz val="10"/>
        <rFont val="Arial"/>
        <family val="2"/>
      </rPr>
      <t xml:space="preserve">1424
</t>
    </r>
    <r>
      <rPr>
        <sz val="10"/>
        <color rgb="FFFF0000"/>
        <rFont val="Arial"/>
        <family val="2"/>
      </rPr>
      <t xml:space="preserve">MC site inspection 27/09/2019 = works not commenced
</t>
    </r>
    <r>
      <rPr>
        <b/>
        <sz val="10"/>
        <color rgb="FFFF0000"/>
        <rFont val="Arial"/>
        <family val="2"/>
      </rPr>
      <t>LAPSED NOTIFICATION 26/05/2021</t>
    </r>
  </si>
  <si>
    <r>
      <rPr>
        <b/>
        <sz val="10"/>
        <color rgb="FF0000FF"/>
        <rFont val="Arial"/>
        <family val="2"/>
      </rPr>
      <t xml:space="preserve">N </t>
    </r>
    <r>
      <rPr>
        <b/>
        <sz val="10"/>
        <rFont val="Arial"/>
        <family val="2"/>
      </rPr>
      <t xml:space="preserve">1734
</t>
    </r>
    <r>
      <rPr>
        <b/>
        <sz val="10"/>
        <color rgb="FFFF0000"/>
        <rFont val="Arial"/>
        <family val="2"/>
      </rPr>
      <t xml:space="preserve">
Cancelled 19/04/2022 </t>
    </r>
  </si>
  <si>
    <r>
      <rPr>
        <b/>
        <sz val="10"/>
        <color rgb="FF0000FF"/>
        <rFont val="Arial"/>
        <family val="2"/>
      </rPr>
      <t xml:space="preserve">N </t>
    </r>
    <r>
      <rPr>
        <b/>
        <sz val="10"/>
        <rFont val="Arial"/>
        <family val="2"/>
      </rPr>
      <t xml:space="preserve">1390
</t>
    </r>
    <r>
      <rPr>
        <sz val="10"/>
        <color rgb="FF0000FF"/>
        <rFont val="Arial"/>
        <family val="2"/>
      </rPr>
      <t xml:space="preserve">Certifier Disengaged 14/07/2000
</t>
    </r>
    <r>
      <rPr>
        <b/>
        <sz val="10"/>
        <color rgb="FFFF0000"/>
        <rFont val="Arial"/>
        <family val="2"/>
      </rPr>
      <t>Replaced by new PC21/0073 for std house</t>
    </r>
  </si>
  <si>
    <r>
      <rPr>
        <u/>
        <sz val="10"/>
        <color rgb="FFFF0000"/>
        <rFont val="Arial"/>
        <family val="2"/>
      </rPr>
      <t>NOTE:</t>
    </r>
    <r>
      <rPr>
        <sz val="10"/>
        <color rgb="FFFF0000"/>
        <rFont val="Arial"/>
        <family val="2"/>
      </rPr>
      <t xml:space="preserve"> Development may not proceed as new  RAB20/0091 issued for a standard house to new owners. A new PC may therfore replace the development of the property. </t>
    </r>
  </si>
  <si>
    <r>
      <rPr>
        <b/>
        <sz val="10"/>
        <color rgb="FF0000FF"/>
        <rFont val="Arial"/>
        <family val="2"/>
      </rPr>
      <t xml:space="preserve">N </t>
    </r>
    <r>
      <rPr>
        <b/>
        <sz val="10"/>
        <rFont val="Arial"/>
        <family val="2"/>
      </rPr>
      <t xml:space="preserve">1771
</t>
    </r>
    <r>
      <rPr>
        <sz val="10"/>
        <color rgb="FFFF0000"/>
        <rFont val="Arial"/>
        <family val="2"/>
      </rPr>
      <t xml:space="preserve">
</t>
    </r>
    <r>
      <rPr>
        <b/>
        <sz val="10"/>
        <color rgb="FFFF0000"/>
        <rFont val="Arial"/>
        <family val="2"/>
      </rPr>
      <t>Cancelled 19/07/2022</t>
    </r>
  </si>
  <si>
    <r>
      <rPr>
        <b/>
        <sz val="10"/>
        <color rgb="FF0000FF"/>
        <rFont val="Arial"/>
        <family val="2"/>
      </rPr>
      <t xml:space="preserve">N </t>
    </r>
    <r>
      <rPr>
        <b/>
        <sz val="10"/>
        <rFont val="Arial"/>
        <family val="2"/>
      </rPr>
      <t xml:space="preserve">1783
</t>
    </r>
    <r>
      <rPr>
        <b/>
        <sz val="10"/>
        <color rgb="FFFF0000"/>
        <rFont val="Arial"/>
        <family val="2"/>
      </rPr>
      <t xml:space="preserve">Cancelled 12/09/2022 </t>
    </r>
  </si>
  <si>
    <r>
      <rPr>
        <b/>
        <sz val="10"/>
        <color rgb="FF0000FF"/>
        <rFont val="Arial"/>
        <family val="2"/>
      </rPr>
      <t xml:space="preserve">N </t>
    </r>
    <r>
      <rPr>
        <b/>
        <sz val="10"/>
        <rFont val="Arial"/>
        <family val="2"/>
      </rPr>
      <t xml:space="preserve">1717
</t>
    </r>
    <r>
      <rPr>
        <b/>
        <sz val="10"/>
        <color rgb="FFFF0000"/>
        <rFont val="Arial"/>
        <family val="2"/>
      </rPr>
      <t>Replaced by N1747 on 18/05/2022 re DBW22/0026 for same development</t>
    </r>
  </si>
  <si>
    <r>
      <t xml:space="preserve">Stormwater Reduction - Outside PIA Area
</t>
    </r>
    <r>
      <rPr>
        <sz val="10"/>
        <color rgb="FFFF0000"/>
        <rFont val="Arial"/>
        <family val="2"/>
      </rPr>
      <t>Building Approval amended 18/03/2020 changed the secondary dwelling to a shed only with Final Inspection Cert issued 18/08/2021</t>
    </r>
  </si>
  <si>
    <r>
      <rPr>
        <b/>
        <sz val="10"/>
        <color rgb="FF0000FF"/>
        <rFont val="Arial"/>
        <family val="2"/>
      </rPr>
      <t xml:space="preserve">N </t>
    </r>
    <r>
      <rPr>
        <b/>
        <sz val="10"/>
        <rFont val="Arial"/>
        <family val="2"/>
      </rPr>
      <t xml:space="preserve">1530
</t>
    </r>
    <r>
      <rPr>
        <b/>
        <sz val="10"/>
        <color rgb="FFFF0000"/>
        <rFont val="Arial"/>
        <family val="2"/>
      </rPr>
      <t>Cancelled 10/03/2023</t>
    </r>
    <r>
      <rPr>
        <sz val="10"/>
        <color rgb="FFFF0000"/>
        <rFont val="Arial"/>
        <family val="2"/>
      </rPr>
      <t xml:space="preserve">
</t>
    </r>
  </si>
  <si>
    <t>Cancelled 22/03/2023 on amended plans removing the food preparation faclity on the ground floor</t>
  </si>
  <si>
    <r>
      <rPr>
        <b/>
        <sz val="10"/>
        <color rgb="FF0000FF"/>
        <rFont val="Arial"/>
        <family val="2"/>
      </rPr>
      <t xml:space="preserve">N </t>
    </r>
    <r>
      <rPr>
        <b/>
        <sz val="10"/>
        <rFont val="Arial"/>
        <family val="2"/>
      </rPr>
      <t xml:space="preserve">1784
</t>
    </r>
    <r>
      <rPr>
        <b/>
        <sz val="10"/>
        <color rgb="FFFF0000"/>
        <rFont val="Arial"/>
        <family val="2"/>
      </rPr>
      <t xml:space="preserve">
Cancelled 22/03/2023</t>
    </r>
  </si>
  <si>
    <t>CANCELLED as duplicated under PC21/1558 &amp; IC-N1731 paid on 7/10/2022</t>
  </si>
  <si>
    <r>
      <rPr>
        <b/>
        <sz val="10"/>
        <color rgb="FF0000FF"/>
        <rFont val="Arial"/>
        <family val="2"/>
      </rPr>
      <t xml:space="preserve">N </t>
    </r>
    <r>
      <rPr>
        <b/>
        <sz val="10"/>
        <rFont val="Arial"/>
        <family val="2"/>
      </rPr>
      <t xml:space="preserve">1713
</t>
    </r>
    <r>
      <rPr>
        <b/>
        <sz val="10"/>
        <color rgb="FFFF0000"/>
        <rFont val="Arial"/>
        <family val="2"/>
      </rPr>
      <t xml:space="preserve">
Cancelled 7/10/2022</t>
    </r>
  </si>
  <si>
    <r>
      <rPr>
        <b/>
        <sz val="10"/>
        <color rgb="FF0000FF"/>
        <rFont val="Arial"/>
        <family val="2"/>
      </rPr>
      <t xml:space="preserve">N </t>
    </r>
    <r>
      <rPr>
        <b/>
        <sz val="10"/>
        <rFont val="Arial"/>
        <family val="2"/>
      </rPr>
      <t xml:space="preserve">1329
</t>
    </r>
    <r>
      <rPr>
        <sz val="10"/>
        <color rgb="FFFF0000"/>
        <rFont val="Arial"/>
        <family val="2"/>
      </rPr>
      <t>Under construction per MC site inspection 26/08/2019</t>
    </r>
    <r>
      <rPr>
        <b/>
        <sz val="10"/>
        <rFont val="Arial"/>
        <family val="2"/>
      </rPr>
      <t xml:space="preserve">
</t>
    </r>
    <r>
      <rPr>
        <b/>
        <sz val="10"/>
        <color rgb="FFFF0000"/>
        <rFont val="Arial"/>
        <family val="2"/>
      </rPr>
      <t xml:space="preserve"> Lapsed &amp; Replaced by IC-N1692 re PC21/1512</t>
    </r>
  </si>
  <si>
    <t>PC21/1141
Approved: 09/09/2022
Received &amp; Registered: 12/09/2022</t>
  </si>
  <si>
    <t>Building Work
Core Building Certification - Permit Number: 210378</t>
  </si>
  <si>
    <t>BIC Contracting</t>
  </si>
  <si>
    <t>3 Lee Street
BUDERIM QLD 4556</t>
  </si>
  <si>
    <t>60 Johns Road
COOROIBAH QLD 4565</t>
  </si>
  <si>
    <t>D000499851</t>
  </si>
  <si>
    <t>D000499852</t>
  </si>
  <si>
    <t>D000499856</t>
  </si>
  <si>
    <t>D000499857</t>
  </si>
  <si>
    <t>7 Berrima Row 
NOOSA HEADS QLD 4567</t>
  </si>
  <si>
    <r>
      <rPr>
        <b/>
        <sz val="10"/>
        <color rgb="FF0000FF"/>
        <rFont val="Arial"/>
        <family val="2"/>
      </rPr>
      <t xml:space="preserve">N </t>
    </r>
    <r>
      <rPr>
        <b/>
        <sz val="10"/>
        <rFont val="Arial"/>
        <family val="2"/>
      </rPr>
      <t xml:space="preserve">1587
</t>
    </r>
    <r>
      <rPr>
        <sz val="10"/>
        <color rgb="FFFF0000"/>
        <rFont val="Arial"/>
        <family val="2"/>
      </rPr>
      <t>Final Inspection Cert issued 24/03/2021 
DUE 7 APRIL 2023</t>
    </r>
  </si>
  <si>
    <t>D000499887</t>
  </si>
  <si>
    <t>D000500137</t>
  </si>
  <si>
    <t>The “studio” (as stated on the building permit) includes elements that result in the development capable of being a secondary dwelling used in conjunction with, and subordinate to, a dwelling house on the same lot.</t>
  </si>
  <si>
    <t xml:space="preserve">DBW17/0504
</t>
  </si>
  <si>
    <t>PC18/0273</t>
  </si>
  <si>
    <r>
      <t xml:space="preserve">PC17/1293
</t>
    </r>
    <r>
      <rPr>
        <sz val="10"/>
        <color rgb="FF0000FF"/>
        <rFont val="Arial"/>
        <family val="2"/>
      </rPr>
      <t xml:space="preserve">Shed + Secondary dwelling inside
</t>
    </r>
  </si>
  <si>
    <r>
      <rPr>
        <b/>
        <sz val="10"/>
        <color rgb="FF0000FF"/>
        <rFont val="Arial"/>
        <family val="2"/>
      </rPr>
      <t xml:space="preserve">N </t>
    </r>
    <r>
      <rPr>
        <b/>
        <sz val="10"/>
        <rFont val="Arial"/>
        <family val="2"/>
      </rPr>
      <t xml:space="preserve">1628
</t>
    </r>
    <r>
      <rPr>
        <sz val="10"/>
        <color rgb="FFFF0000"/>
        <rFont val="Arial"/>
        <family val="2"/>
      </rPr>
      <t>Final Inspection Cert issued 
27/05/2022
DUE 7 APRIL 2023</t>
    </r>
  </si>
  <si>
    <t>MCU22/0174
Approved 22/03/2023
Issued 27/03/2023</t>
  </si>
  <si>
    <t>Edward Street Development P/L</t>
  </si>
  <si>
    <t xml:space="preserve">Lots 0-2 GTP 492 </t>
  </si>
  <si>
    <t xml:space="preserve">23 Edward St Noosaville
1/23 Edward St Noosaville
2/23 Edward St Noosaville </t>
  </si>
  <si>
    <t>PC22/0248
Approved: 21/11/2022
Received &amp; Registered: 14/03/2023</t>
  </si>
  <si>
    <t>Building Work
Earthcert Building Approvals - Permit Number: 210136.01</t>
  </si>
  <si>
    <t>Lot 79 RP 864881</t>
  </si>
  <si>
    <t>57 Hollis Road POMONA QLD 4568</t>
  </si>
  <si>
    <t>MCU22/0111
Approved 21/03/2023
Issued 28/03/2023</t>
  </si>
  <si>
    <t>HL Nominees P/L TTE &amp; Lomas (SA) Investments P/L</t>
  </si>
  <si>
    <t>Lot 3 RP 112875</t>
  </si>
  <si>
    <t>31 Edward St 
NOOSAVILLE QLD 4566</t>
  </si>
  <si>
    <t xml:space="preserve">Dual Occupancy = 2 x 3 bed units
</t>
  </si>
  <si>
    <t xml:space="preserve">Dual Occupancy = 2 x 2 bed units
</t>
  </si>
  <si>
    <t xml:space="preserve">Dwelling house
</t>
  </si>
  <si>
    <t>D000500719</t>
  </si>
  <si>
    <r>
      <rPr>
        <b/>
        <sz val="10"/>
        <color rgb="FF0000FF"/>
        <rFont val="Arial"/>
        <family val="2"/>
      </rPr>
      <t xml:space="preserve">N </t>
    </r>
    <r>
      <rPr>
        <b/>
        <sz val="10"/>
        <rFont val="Arial"/>
        <family val="2"/>
      </rPr>
      <t xml:space="preserve">1387
</t>
    </r>
    <r>
      <rPr>
        <sz val="10"/>
        <color rgb="FFFF0000"/>
        <rFont val="Arial"/>
        <family val="2"/>
      </rPr>
      <t>Final Inspection Cert issued 4/11/2022
DUE 7 APRIL 2023</t>
    </r>
  </si>
  <si>
    <t>D000500720</t>
  </si>
  <si>
    <t>D000500910</t>
  </si>
  <si>
    <t>Condition 31a - upgrade of existing trunk pathway along the site frontage.</t>
  </si>
  <si>
    <t>AICS
Checked web ok</t>
  </si>
  <si>
    <r>
      <rPr>
        <b/>
        <sz val="10"/>
        <color rgb="FF0000FF"/>
        <rFont val="Arial"/>
        <family val="2"/>
      </rPr>
      <t xml:space="preserve">N </t>
    </r>
    <r>
      <rPr>
        <b/>
        <sz val="10"/>
        <rFont val="Arial"/>
        <family val="2"/>
      </rPr>
      <t xml:space="preserve">1646
</t>
    </r>
    <r>
      <rPr>
        <sz val="10"/>
        <color rgb="FFFF0000"/>
        <rFont val="Arial"/>
        <family val="2"/>
      </rPr>
      <t xml:space="preserve">Final Inspection Cert issued 
17/02/2022 &amp; Stg Pmt Agmt 15/03//2023
STG PMT 1 = $2,979.00 DUE 7 APRIL 2023
</t>
    </r>
  </si>
  <si>
    <r>
      <t xml:space="preserve">Stg Pmt Agmt 15/03//2023
</t>
    </r>
    <r>
      <rPr>
        <sz val="10"/>
        <color rgb="FF0000FF"/>
        <rFont val="Arial"/>
        <family val="2"/>
      </rPr>
      <t>STG PMT 1 = $2,979.00 Paid 4/04/2023 Rec D000502150</t>
    </r>
    <r>
      <rPr>
        <sz val="10"/>
        <color rgb="FFFF0000"/>
        <rFont val="Arial"/>
        <family val="2"/>
      </rPr>
      <t xml:space="preserve">
Stg Pmt 2 Bal $8,938.00 Due 6 APRIL 2024</t>
    </r>
  </si>
  <si>
    <t>April 2023
Total =</t>
  </si>
  <si>
    <t>D000502150</t>
  </si>
  <si>
    <t>D000502151</t>
  </si>
  <si>
    <t>D000502152</t>
  </si>
  <si>
    <r>
      <rPr>
        <b/>
        <sz val="10"/>
        <color rgb="FF0000FF"/>
        <rFont val="Arial"/>
        <family val="2"/>
      </rPr>
      <t xml:space="preserve">N </t>
    </r>
    <r>
      <rPr>
        <b/>
        <sz val="10"/>
        <rFont val="Arial"/>
        <family val="2"/>
      </rPr>
      <t xml:space="preserve">1620
</t>
    </r>
    <r>
      <rPr>
        <sz val="10"/>
        <color rgb="FFFF0000"/>
        <rFont val="Arial"/>
        <family val="2"/>
      </rPr>
      <t>Final Inspection Cert issued 
8/02/2022
DUE 7 APRIL 2023</t>
    </r>
  </si>
  <si>
    <r>
      <rPr>
        <b/>
        <sz val="10"/>
        <color rgb="FF0000FF"/>
        <rFont val="Arial"/>
        <family val="2"/>
      </rPr>
      <t xml:space="preserve">N </t>
    </r>
    <r>
      <rPr>
        <b/>
        <sz val="10"/>
        <rFont val="Arial"/>
        <family val="2"/>
      </rPr>
      <t>1652</t>
    </r>
    <r>
      <rPr>
        <sz val="10"/>
        <rFont val="Arial"/>
        <family val="2"/>
      </rPr>
      <t xml:space="preserve">
</t>
    </r>
    <r>
      <rPr>
        <sz val="10"/>
        <color rgb="FFFF0000"/>
        <rFont val="Arial"/>
        <family val="2"/>
      </rPr>
      <t>Final Inspection Cert issued 
28/02/2023
DUE 7 APRIL 2023</t>
    </r>
  </si>
  <si>
    <t>D000503158</t>
  </si>
  <si>
    <t>D000503166</t>
  </si>
  <si>
    <r>
      <rPr>
        <b/>
        <sz val="10"/>
        <color rgb="FF0000FF"/>
        <rFont val="Arial"/>
        <family val="2"/>
      </rPr>
      <t xml:space="preserve">N </t>
    </r>
    <r>
      <rPr>
        <b/>
        <sz val="10"/>
        <rFont val="Arial"/>
        <family val="2"/>
      </rPr>
      <t xml:space="preserve">1675
</t>
    </r>
    <r>
      <rPr>
        <sz val="10"/>
        <color rgb="FFFF0000"/>
        <rFont val="Arial"/>
        <family val="2"/>
      </rPr>
      <t>Final Inspection Cert issued 
2/08/2022
DUE 7 APRIL 2023</t>
    </r>
  </si>
  <si>
    <r>
      <rPr>
        <b/>
        <sz val="10"/>
        <color rgb="FF0000FF"/>
        <rFont val="Arial"/>
        <family val="2"/>
      </rPr>
      <t xml:space="preserve">N </t>
    </r>
    <r>
      <rPr>
        <b/>
        <sz val="10"/>
        <rFont val="Arial"/>
        <family val="2"/>
      </rPr>
      <t>1719</t>
    </r>
    <r>
      <rPr>
        <sz val="10"/>
        <rFont val="Arial"/>
        <family val="2"/>
      </rPr>
      <t xml:space="preserve">
</t>
    </r>
    <r>
      <rPr>
        <sz val="10"/>
        <color rgb="FFFF0000"/>
        <rFont val="Arial"/>
        <family val="2"/>
      </rPr>
      <t>Final Inspection Cert &amp; Certificate of Occupancy 1/04/2022
StgPmt1=$6,916.00 pd 23/5/2022
Bal Pmt2 = $20,747.00 due 23/05/2023</t>
    </r>
  </si>
  <si>
    <t>D000503178</t>
  </si>
  <si>
    <t>D000503827</t>
  </si>
  <si>
    <t>D000503829</t>
  </si>
  <si>
    <r>
      <rPr>
        <b/>
        <sz val="10"/>
        <color rgb="FF0000FF"/>
        <rFont val="Arial"/>
        <family val="2"/>
      </rPr>
      <t xml:space="preserve">N </t>
    </r>
    <r>
      <rPr>
        <b/>
        <sz val="10"/>
        <rFont val="Arial"/>
        <family val="2"/>
      </rPr>
      <t xml:space="preserve">1616
</t>
    </r>
    <r>
      <rPr>
        <sz val="10"/>
        <color rgb="FFFF0000"/>
        <rFont val="Arial"/>
        <family val="2"/>
      </rPr>
      <t>Final Inspection Cert issued 
23/09/2021
DUE 7 APRIL 2023</t>
    </r>
  </si>
  <si>
    <r>
      <rPr>
        <b/>
        <sz val="10"/>
        <color rgb="FF0000FF"/>
        <rFont val="Arial"/>
        <family val="2"/>
      </rPr>
      <t xml:space="preserve">N </t>
    </r>
    <r>
      <rPr>
        <b/>
        <sz val="10"/>
        <rFont val="Arial"/>
        <family val="2"/>
      </rPr>
      <t xml:space="preserve">1591
</t>
    </r>
    <r>
      <rPr>
        <i/>
        <sz val="10"/>
        <color rgb="FF0000FF"/>
        <rFont val="Arial"/>
        <family val="2"/>
      </rPr>
      <t>PC21/0028
Approved 13/01/2021</t>
    </r>
    <r>
      <rPr>
        <b/>
        <sz val="10"/>
        <rFont val="Arial"/>
        <family val="2"/>
      </rPr>
      <t xml:space="preserve">
</t>
    </r>
    <r>
      <rPr>
        <sz val="10"/>
        <color rgb="FFFF0000"/>
        <rFont val="Arial"/>
        <family val="2"/>
      </rPr>
      <t>Final Inspection Cert issued 23/02/2022</t>
    </r>
    <r>
      <rPr>
        <b/>
        <sz val="10"/>
        <color rgb="FFFF0000"/>
        <rFont val="Arial"/>
        <family val="2"/>
      </rPr>
      <t xml:space="preserve"> 
</t>
    </r>
    <r>
      <rPr>
        <sz val="10"/>
        <color rgb="FFFF0000"/>
        <rFont val="Arial"/>
        <family val="2"/>
      </rPr>
      <t>DUE 21 APRIL 2023</t>
    </r>
  </si>
  <si>
    <r>
      <rPr>
        <b/>
        <sz val="10"/>
        <color rgb="FF0000FF"/>
        <rFont val="Arial"/>
        <family val="2"/>
      </rPr>
      <t xml:space="preserve">N </t>
    </r>
    <r>
      <rPr>
        <b/>
        <sz val="10"/>
        <rFont val="Arial"/>
        <family val="2"/>
      </rPr>
      <t xml:space="preserve">1791
</t>
    </r>
    <r>
      <rPr>
        <sz val="10"/>
        <color rgb="FFFF0000"/>
        <rFont val="Arial"/>
        <family val="2"/>
      </rPr>
      <t>Final Inspection Cert issued 
16/12/2022
DUE 14 APRIL 2023</t>
    </r>
  </si>
  <si>
    <t>AICS Checked web ok</t>
  </si>
  <si>
    <t>AICS
Web n/a</t>
  </si>
  <si>
    <t>AICS 
Web n/a</t>
  </si>
  <si>
    <t xml:space="preserve">AICS 
Checked web ok </t>
  </si>
  <si>
    <r>
      <rPr>
        <b/>
        <sz val="10"/>
        <color rgb="FF0000FF"/>
        <rFont val="Arial"/>
        <family val="2"/>
      </rPr>
      <t xml:space="preserve">N </t>
    </r>
    <r>
      <rPr>
        <b/>
        <sz val="10"/>
        <rFont val="Arial"/>
        <family val="2"/>
      </rPr>
      <t>1617</t>
    </r>
  </si>
  <si>
    <r>
      <t xml:space="preserve">Approval &amp; Infrastructure charge $15,296.00 applies to units 11,12 &amp; 13 / 219 Weyba Rd Noosaville = Unit 13 = $6,477.00
</t>
    </r>
    <r>
      <rPr>
        <sz val="10"/>
        <color rgb="FFFF0000"/>
        <rFont val="Arial"/>
        <family val="2"/>
      </rPr>
      <t>Delayed Staged Payment In accordance with Council’s COVID-19 Business Support Initiatives dated 26 March 2020 Amended 30/05/2022
Amended Stg Pmt 3 = $850 paid 7/06/2022
Amended Stg Pmt 4 Bal  = $2,551</t>
    </r>
  </si>
  <si>
    <r>
      <rPr>
        <b/>
        <sz val="10"/>
        <color rgb="FF0000FF"/>
        <rFont val="Arial"/>
        <family val="2"/>
      </rPr>
      <t xml:space="preserve">N </t>
    </r>
    <r>
      <rPr>
        <b/>
        <sz val="10"/>
        <rFont val="Arial"/>
        <family val="2"/>
      </rPr>
      <t xml:space="preserve">1631
</t>
    </r>
    <r>
      <rPr>
        <b/>
        <sz val="10"/>
        <color rgb="FFFF0000"/>
        <rFont val="Arial"/>
        <family val="2"/>
      </rPr>
      <t xml:space="preserve">Amended Stg Pmt 3
</t>
    </r>
    <r>
      <rPr>
        <b/>
        <sz val="12"/>
        <color rgb="FFFF0000"/>
        <rFont val="Arial"/>
        <family val="2"/>
      </rPr>
      <t>DUE 15 DEC 2024</t>
    </r>
    <r>
      <rPr>
        <b/>
        <sz val="10"/>
        <color rgb="FFFF0000"/>
        <rFont val="Arial"/>
        <family val="2"/>
      </rPr>
      <t xml:space="preserve">
</t>
    </r>
    <r>
      <rPr>
        <sz val="10"/>
        <color rgb="FFFF0000"/>
        <rFont val="Arial"/>
        <family val="2"/>
      </rPr>
      <t>But prior to any sale of property</t>
    </r>
  </si>
  <si>
    <r>
      <rPr>
        <sz val="10"/>
        <color rgb="FF0000FF"/>
        <rFont val="Arial"/>
        <family val="2"/>
      </rPr>
      <t>IC issued = $5,484.00</t>
    </r>
    <r>
      <rPr>
        <sz val="10"/>
        <color rgb="FFFF0000"/>
        <rFont val="Arial"/>
        <family val="2"/>
      </rPr>
      <t xml:space="preserve">
Delayed Staged Payment In accordance with Council’s COVID-19 Business Support Initiatives dated 26 March 2020
Amended 15/06/2022 on compassionate grounds</t>
    </r>
  </si>
  <si>
    <r>
      <rPr>
        <b/>
        <sz val="10"/>
        <color rgb="FF0000FF"/>
        <rFont val="Arial"/>
        <family val="2"/>
      </rPr>
      <t xml:space="preserve">N </t>
    </r>
    <r>
      <rPr>
        <b/>
        <sz val="10"/>
        <rFont val="Arial"/>
        <family val="2"/>
      </rPr>
      <t>1634</t>
    </r>
  </si>
  <si>
    <r>
      <rPr>
        <b/>
        <sz val="10"/>
        <color rgb="FF0000FF"/>
        <rFont val="Arial"/>
        <family val="2"/>
      </rPr>
      <t xml:space="preserve">N </t>
    </r>
    <r>
      <rPr>
        <b/>
        <sz val="10"/>
        <rFont val="Arial"/>
        <family val="2"/>
      </rPr>
      <t xml:space="preserve">1840
</t>
    </r>
    <r>
      <rPr>
        <sz val="10"/>
        <color rgb="FFFF0000"/>
        <rFont val="Arial"/>
        <family val="2"/>
      </rPr>
      <t xml:space="preserve">
Payment details requested 13/04/2023</t>
    </r>
  </si>
  <si>
    <t>CPI 
Web n/a</t>
  </si>
  <si>
    <t>MCU20/0008 (re: Court Judgement - P&amp;E Court Appeal No D102 of 2020)
Approved &amp; Issued: 16/07/2021
Received NC: 8/09/2021</t>
  </si>
  <si>
    <r>
      <rPr>
        <b/>
        <sz val="10"/>
        <color rgb="FF0000FF"/>
        <rFont val="Arial"/>
        <family val="2"/>
      </rPr>
      <t xml:space="preserve">N </t>
    </r>
    <r>
      <rPr>
        <b/>
        <sz val="10"/>
        <rFont val="Arial"/>
        <family val="2"/>
      </rPr>
      <t>1661</t>
    </r>
  </si>
  <si>
    <r>
      <rPr>
        <b/>
        <sz val="10"/>
        <color rgb="FF0000FF"/>
        <rFont val="Arial"/>
        <family val="2"/>
      </rPr>
      <t xml:space="preserve">N </t>
    </r>
    <r>
      <rPr>
        <b/>
        <sz val="10"/>
        <rFont val="Arial"/>
        <family val="2"/>
      </rPr>
      <t>1671</t>
    </r>
  </si>
  <si>
    <t>DBW21/0144
Approved: 13/10/2021
Issued: 14/10/2021</t>
  </si>
  <si>
    <r>
      <rPr>
        <b/>
        <sz val="10"/>
        <color rgb="FF0000FF"/>
        <rFont val="Arial"/>
        <family val="2"/>
      </rPr>
      <t xml:space="preserve">N </t>
    </r>
    <r>
      <rPr>
        <b/>
        <sz val="10"/>
        <rFont val="Arial"/>
        <family val="2"/>
      </rPr>
      <t>1699</t>
    </r>
  </si>
  <si>
    <r>
      <rPr>
        <b/>
        <sz val="10"/>
        <color rgb="FF0000FF"/>
        <rFont val="Arial"/>
        <family val="2"/>
      </rPr>
      <t xml:space="preserve">N </t>
    </r>
    <r>
      <rPr>
        <b/>
        <sz val="10"/>
        <rFont val="Arial"/>
        <family val="2"/>
      </rPr>
      <t>1728</t>
    </r>
  </si>
  <si>
    <r>
      <rPr>
        <b/>
        <sz val="10"/>
        <color rgb="FF0000FF"/>
        <rFont val="Arial"/>
        <family val="2"/>
      </rPr>
      <t xml:space="preserve">N </t>
    </r>
    <r>
      <rPr>
        <b/>
        <sz val="10"/>
        <rFont val="Arial"/>
        <family val="2"/>
      </rPr>
      <t xml:space="preserve">1605
</t>
    </r>
    <r>
      <rPr>
        <sz val="10"/>
        <color rgb="FFFF0000"/>
        <rFont val="Arial"/>
        <family val="2"/>
      </rPr>
      <t>Final Inspection Cert issued 23/02/2022 
DUE 7 APRIL 2023</t>
    </r>
  </si>
  <si>
    <t>CPI
Web n/a</t>
  </si>
  <si>
    <t>AICS
Checked Web ok</t>
  </si>
  <si>
    <r>
      <t>7/02/2019</t>
    </r>
    <r>
      <rPr>
        <strike/>
        <sz val="10"/>
        <rFont val="Arial"/>
        <family val="2"/>
      </rPr>
      <t xml:space="preserve">
</t>
    </r>
    <r>
      <rPr>
        <strike/>
        <sz val="10"/>
        <color rgb="FFFF0000"/>
        <rFont val="Arial"/>
        <family val="2"/>
      </rPr>
      <t xml:space="preserve">
</t>
    </r>
    <r>
      <rPr>
        <sz val="10"/>
        <color rgb="FFFF0000"/>
        <rFont val="Arial"/>
        <family val="2"/>
      </rPr>
      <t>Stg Pmts</t>
    </r>
    <r>
      <rPr>
        <strike/>
        <sz val="10"/>
        <color rgb="FFFF0000"/>
        <rFont val="Arial"/>
        <family val="2"/>
      </rPr>
      <t xml:space="preserve"> 2/11/2020</t>
    </r>
    <r>
      <rPr>
        <sz val="10"/>
        <color rgb="FFFF0000"/>
        <rFont val="Arial"/>
        <family val="2"/>
      </rPr>
      <t xml:space="preserve">
29/11/2021</t>
    </r>
  </si>
  <si>
    <r>
      <t>Planning Reg 2018-19</t>
    </r>
    <r>
      <rPr>
        <strike/>
        <sz val="10"/>
        <rFont val="Arial"/>
        <family val="2"/>
      </rPr>
      <t xml:space="preserve">
</t>
    </r>
    <r>
      <rPr>
        <sz val="10"/>
        <color rgb="FFFF0000"/>
        <rFont val="Arial"/>
        <family val="2"/>
      </rPr>
      <t xml:space="preserve">Stg Pmts
</t>
    </r>
    <r>
      <rPr>
        <strike/>
        <sz val="10"/>
        <color rgb="FFFF0000"/>
        <rFont val="Arial"/>
        <family val="2"/>
      </rPr>
      <t xml:space="preserve"> 2020-2021
2021-2022</t>
    </r>
    <r>
      <rPr>
        <sz val="10"/>
        <rFont val="Arial"/>
        <family val="2"/>
      </rPr>
      <t xml:space="preserve">
</t>
    </r>
    <r>
      <rPr>
        <sz val="10"/>
        <color rgb="FFFF0000"/>
        <rFont val="Arial"/>
        <family val="2"/>
      </rPr>
      <t>2022-2023</t>
    </r>
  </si>
  <si>
    <r>
      <t xml:space="preserve">Planning Reg 2018-19
</t>
    </r>
    <r>
      <rPr>
        <sz val="10"/>
        <color rgb="FFFF0000"/>
        <rFont val="Arial"/>
        <family val="2"/>
      </rPr>
      <t>Stg Pmts Planning Reg 2021-2022</t>
    </r>
  </si>
  <si>
    <r>
      <t xml:space="preserve">Planning Reg 2018-19
</t>
    </r>
    <r>
      <rPr>
        <sz val="10"/>
        <color rgb="FFFF0000"/>
        <rFont val="Arial"/>
        <family val="2"/>
      </rPr>
      <t>Stg Pmts
 2020-21</t>
    </r>
  </si>
  <si>
    <r>
      <t>24/09/2018</t>
    </r>
    <r>
      <rPr>
        <strike/>
        <sz val="10"/>
        <rFont val="Arial"/>
        <family val="2"/>
      </rPr>
      <t xml:space="preserve">
</t>
    </r>
    <r>
      <rPr>
        <sz val="10"/>
        <color rgb="FFFF0000"/>
        <rFont val="Arial"/>
        <family val="2"/>
      </rPr>
      <t>Stg Pmts</t>
    </r>
    <r>
      <rPr>
        <strike/>
        <sz val="10"/>
        <color rgb="FFFF0000"/>
        <rFont val="Arial"/>
        <family val="2"/>
      </rPr>
      <t xml:space="preserve"> 4/02/2021</t>
    </r>
    <r>
      <rPr>
        <sz val="10"/>
        <color rgb="FFFF0000"/>
        <rFont val="Arial"/>
        <family val="2"/>
      </rPr>
      <t xml:space="preserve">
</t>
    </r>
    <r>
      <rPr>
        <strike/>
        <sz val="10"/>
        <color rgb="FFFF0000"/>
        <rFont val="Arial"/>
        <family val="2"/>
      </rPr>
      <t>8/06/2021</t>
    </r>
    <r>
      <rPr>
        <sz val="10"/>
        <rFont val="Arial"/>
        <family val="2"/>
      </rPr>
      <t xml:space="preserve">
</t>
    </r>
    <r>
      <rPr>
        <sz val="10"/>
        <color rgb="FFFF0000"/>
        <rFont val="Arial"/>
        <family val="2"/>
      </rPr>
      <t>28/04/2022</t>
    </r>
  </si>
  <si>
    <r>
      <t xml:space="preserve">REC14/0005
</t>
    </r>
    <r>
      <rPr>
        <sz val="10"/>
        <color rgb="FF0000FF"/>
        <rFont val="Arial"/>
        <family val="2"/>
      </rPr>
      <t>REC14/0005.01 - Extn
REC14/0005.02 - Extn REC14/0005.03 - Extn</t>
    </r>
  </si>
  <si>
    <r>
      <rPr>
        <strike/>
        <sz val="10"/>
        <rFont val="Arial"/>
        <family val="2"/>
      </rPr>
      <t xml:space="preserve"> 9/07/2014</t>
    </r>
    <r>
      <rPr>
        <sz val="10"/>
        <rFont val="Arial"/>
        <family val="2"/>
      </rPr>
      <t xml:space="preserve">
</t>
    </r>
    <r>
      <rPr>
        <sz val="10"/>
        <color rgb="FF0000FF"/>
        <rFont val="Arial"/>
        <family val="2"/>
      </rPr>
      <t>25/09/2014</t>
    </r>
    <r>
      <rPr>
        <sz val="10"/>
        <rFont val="Arial"/>
        <family val="2"/>
      </rPr>
      <t xml:space="preserve">
</t>
    </r>
  </si>
  <si>
    <t xml:space="preserve">AICS
Checked web ok  </t>
  </si>
  <si>
    <t>Additional stormwater reduction for dedicated footpath easement = 97m2</t>
  </si>
  <si>
    <t>50% Rebate per Community Organisation policy</t>
  </si>
  <si>
    <r>
      <rPr>
        <b/>
        <sz val="10"/>
        <color rgb="FF0000FF"/>
        <rFont val="Arial"/>
        <family val="2"/>
      </rPr>
      <t xml:space="preserve">N </t>
    </r>
    <r>
      <rPr>
        <b/>
        <sz val="10"/>
        <rFont val="Arial"/>
        <family val="2"/>
      </rPr>
      <t xml:space="preserve">1665
</t>
    </r>
    <r>
      <rPr>
        <i/>
        <sz val="10"/>
        <color rgb="FF0000FF"/>
        <rFont val="Arial"/>
        <family val="2"/>
      </rPr>
      <t>(duplicated IC ref)</t>
    </r>
    <r>
      <rPr>
        <b/>
        <sz val="10"/>
        <rFont val="Arial"/>
        <family val="2"/>
      </rPr>
      <t xml:space="preserve">
+
IA#125 Carparking
</t>
    </r>
    <r>
      <rPr>
        <i/>
        <sz val="10"/>
        <color rgb="FF0000FF"/>
        <rFont val="Arial"/>
        <family val="2"/>
      </rPr>
      <t xml:space="preserve">
PC21/0823</t>
    </r>
  </si>
  <si>
    <t xml:space="preserve">ACIS
Checked web ok  </t>
  </si>
  <si>
    <r>
      <rPr>
        <strike/>
        <sz val="10"/>
        <color rgb="FFFF0000"/>
        <rFont val="Arial"/>
        <family val="2"/>
      </rPr>
      <t>CPI</t>
    </r>
    <r>
      <rPr>
        <sz val="10"/>
        <color rgb="FFFF0000"/>
        <rFont val="Arial"/>
        <family val="2"/>
      </rPr>
      <t xml:space="preserve">
</t>
    </r>
    <r>
      <rPr>
        <sz val="10"/>
        <color rgb="FF0000FF"/>
        <rFont val="Arial"/>
        <family val="2"/>
      </rPr>
      <t>OM 20/09/2018 = AICS
Web n/a</t>
    </r>
  </si>
  <si>
    <r>
      <rPr>
        <strike/>
        <sz val="10"/>
        <color rgb="FFFF0000"/>
        <rFont val="Arial"/>
        <family val="2"/>
      </rPr>
      <t>CPI</t>
    </r>
    <r>
      <rPr>
        <sz val="10"/>
        <color rgb="FFFF0000"/>
        <rFont val="Arial"/>
        <family val="2"/>
      </rPr>
      <t xml:space="preserve">
</t>
    </r>
    <r>
      <rPr>
        <sz val="10"/>
        <color rgb="FF0000FF"/>
        <rFont val="Arial"/>
        <family val="2"/>
      </rPr>
      <t>OM 20/09/2018 = AICS</t>
    </r>
    <r>
      <rPr>
        <sz val="10"/>
        <color rgb="FFFF0000"/>
        <rFont val="Arial"/>
        <family val="2"/>
      </rPr>
      <t xml:space="preserve">
</t>
    </r>
    <r>
      <rPr>
        <sz val="10"/>
        <color rgb="FF0000FF"/>
        <rFont val="Arial"/>
        <family val="2"/>
      </rPr>
      <t>Web n/a</t>
    </r>
  </si>
  <si>
    <r>
      <t xml:space="preserve">CPI
</t>
    </r>
    <r>
      <rPr>
        <sz val="10"/>
        <color rgb="FF0000FF"/>
        <rFont val="Arial"/>
        <family val="2"/>
      </rPr>
      <t>Web n/a</t>
    </r>
  </si>
  <si>
    <r>
      <rPr>
        <strike/>
        <sz val="10"/>
        <color rgb="FFFF0000"/>
        <rFont val="Arial"/>
        <family val="2"/>
      </rPr>
      <t>CPI</t>
    </r>
    <r>
      <rPr>
        <sz val="10"/>
        <color rgb="FFFF0000"/>
        <rFont val="Arial"/>
        <family val="2"/>
      </rPr>
      <t xml:space="preserve">
</t>
    </r>
    <r>
      <rPr>
        <sz val="10"/>
        <color rgb="FF0000FF"/>
        <rFont val="Arial"/>
        <family val="2"/>
      </rPr>
      <t>OM 20/09/2018 = AICS</t>
    </r>
    <r>
      <rPr>
        <sz val="10"/>
        <color rgb="FFFF0000"/>
        <rFont val="Arial"/>
        <family val="2"/>
      </rPr>
      <t xml:space="preserve">
</t>
    </r>
    <r>
      <rPr>
        <sz val="10"/>
        <color rgb="FF0000FF"/>
        <rFont val="Arial"/>
        <family val="2"/>
      </rPr>
      <t>Checked Web ok</t>
    </r>
  </si>
  <si>
    <r>
      <rPr>
        <strike/>
        <sz val="10"/>
        <color rgb="FFFF0000"/>
        <rFont val="Arial"/>
        <family val="2"/>
      </rPr>
      <t>CPI</t>
    </r>
    <r>
      <rPr>
        <sz val="10"/>
        <color rgb="FFFF0000"/>
        <rFont val="Arial"/>
        <family val="2"/>
      </rPr>
      <t xml:space="preserve">
</t>
    </r>
    <r>
      <rPr>
        <sz val="10"/>
        <color rgb="FF0000FF"/>
        <rFont val="Arial"/>
        <family val="2"/>
      </rPr>
      <t>OM 20/09/2018 = AICS
Web n/a</t>
    </r>
    <r>
      <rPr>
        <sz val="10"/>
        <color rgb="FFFF0000"/>
        <rFont val="Arial"/>
        <family val="2"/>
      </rPr>
      <t xml:space="preserve"> </t>
    </r>
  </si>
  <si>
    <r>
      <t xml:space="preserve">AICS
</t>
    </r>
    <r>
      <rPr>
        <sz val="10"/>
        <color rgb="FFFF0000"/>
        <rFont val="Arial"/>
        <family val="2"/>
      </rPr>
      <t>Web Not shown as no app ref</t>
    </r>
  </si>
  <si>
    <r>
      <t xml:space="preserve">CPI INDEX
</t>
    </r>
    <r>
      <rPr>
        <sz val="8"/>
        <color rgb="FF0000FF"/>
        <rFont val="Arial"/>
        <family val="2"/>
      </rPr>
      <t xml:space="preserve">Y </t>
    </r>
    <r>
      <rPr>
        <sz val="8"/>
        <rFont val="Arial"/>
        <family val="2"/>
      </rPr>
      <t xml:space="preserve">or </t>
    </r>
    <r>
      <rPr>
        <sz val="8"/>
        <color rgb="FFFF0000"/>
        <rFont val="Arial"/>
        <family val="2"/>
      </rPr>
      <t>N</t>
    </r>
  </si>
  <si>
    <t>D000504783</t>
  </si>
  <si>
    <t>NA Godwin &amp; S Godwin</t>
  </si>
  <si>
    <t>C/- Property Projects Australia Pty Ltd
PO Box 1264
NEW FARM QLD 4005</t>
  </si>
  <si>
    <t xml:space="preserve">Lot 3 SP 186019 </t>
  </si>
  <si>
    <t>43 Summit Rd 
POMONA QLD 4568</t>
  </si>
  <si>
    <r>
      <rPr>
        <b/>
        <sz val="10"/>
        <color rgb="FF0000FF"/>
        <rFont val="Arial"/>
        <family val="2"/>
      </rPr>
      <t xml:space="preserve">N </t>
    </r>
    <r>
      <rPr>
        <b/>
        <sz val="10"/>
        <rFont val="Arial"/>
        <family val="2"/>
      </rPr>
      <t xml:space="preserve">1381
</t>
    </r>
    <r>
      <rPr>
        <i/>
        <sz val="10"/>
        <color rgb="FFFF0000"/>
        <rFont val="Arial"/>
        <family val="2"/>
      </rPr>
      <t xml:space="preserve">
</t>
    </r>
    <r>
      <rPr>
        <b/>
        <i/>
        <sz val="10"/>
        <color rgb="FFFF0000"/>
        <rFont val="Arial"/>
        <family val="2"/>
      </rPr>
      <t>Stg Pmt1 $4,362.00</t>
    </r>
    <r>
      <rPr>
        <i/>
        <sz val="10"/>
        <color rgb="FFFF0000"/>
        <rFont val="Arial"/>
        <family val="2"/>
      </rPr>
      <t xml:space="preserve"> 
Due 15/12/2022</t>
    </r>
  </si>
  <si>
    <r>
      <rPr>
        <sz val="10"/>
        <color rgb="FFFF0000"/>
        <rFont val="Arial"/>
        <family val="2"/>
      </rPr>
      <t>PC19/1069 Final Inspection Certificate 19/06/2020</t>
    </r>
    <r>
      <rPr>
        <sz val="10"/>
        <color rgb="FF0000FF"/>
        <rFont val="Arial"/>
        <family val="2"/>
      </rPr>
      <t xml:space="preserve">
</t>
    </r>
    <r>
      <rPr>
        <sz val="10"/>
        <color rgb="FFFF0000"/>
        <rFont val="Arial"/>
        <family val="2"/>
      </rPr>
      <t xml:space="preserve">Staged Payment Agreement approved 4/02/2021 in accordance with COVID-19 Business Support Initiatives dated 26 March 2020
IA Amended 8/06/2021 re special circumstances
IA Amended 28/04/2022 re special circumstances
</t>
    </r>
    <r>
      <rPr>
        <sz val="10"/>
        <color rgb="FF0000FF"/>
        <rFont val="Arial"/>
        <family val="2"/>
      </rPr>
      <t>Stg Pmt1 $4,362.00 Receipted 19/12/2022</t>
    </r>
  </si>
  <si>
    <t>MCU22/0171
Approved 14/04/2023
Issued 19/04/2023</t>
  </si>
  <si>
    <t>CE Cullen &amp; M Cullen</t>
  </si>
  <si>
    <t>C/- Mallee Group Pty Ltd
4 Lalwinya Street
BUDDINA QLD 4575</t>
  </si>
  <si>
    <t xml:space="preserve">Lot 1 MCH 3881 </t>
  </si>
  <si>
    <t>128 Gympie Tce 
NOOSAVILLE QLD 4566</t>
  </si>
  <si>
    <t>previous lawful use = Motel (12 x 1-bed units + 2 x 2-bed units + 1 x 3-bed managers unit) over 3 lots and applied according to the lot areas as follows: 
• 128 Gympie Tce = 556 m2 lot area = 26% credit allocation
• 130 Gympie Tce = 542 m2 lot area = 25% credit allocation
• 132 Gympie Tce = 1,040 m2 lot area = 49% credit allocation</t>
  </si>
  <si>
    <t>Note: Replaces N 1004 (Stage 2) MCU13/0211</t>
  </si>
  <si>
    <r>
      <rPr>
        <b/>
        <sz val="10"/>
        <color rgb="FF0000FF"/>
        <rFont val="Arial"/>
        <family val="2"/>
      </rPr>
      <t xml:space="preserve">N </t>
    </r>
    <r>
      <rPr>
        <b/>
        <sz val="10"/>
        <rFont val="Arial"/>
        <family val="2"/>
      </rPr>
      <t xml:space="preserve">1004
</t>
    </r>
    <r>
      <rPr>
        <b/>
        <sz val="10"/>
        <color rgb="FF0000FF"/>
        <rFont val="Arial"/>
        <family val="2"/>
      </rPr>
      <t>(Stage 2)</t>
    </r>
    <r>
      <rPr>
        <b/>
        <sz val="10"/>
        <rFont val="Arial"/>
        <family val="2"/>
      </rPr>
      <t xml:space="preserve">
</t>
    </r>
    <r>
      <rPr>
        <sz val="10"/>
        <color rgb="FF0000FF"/>
        <rFont val="Arial"/>
        <family val="2"/>
      </rPr>
      <t>Replaced by N 1861 
MCU22/0171</t>
    </r>
  </si>
  <si>
    <r>
      <rPr>
        <b/>
        <sz val="10"/>
        <color rgb="FF0000FF"/>
        <rFont val="Arial"/>
        <family val="2"/>
      </rPr>
      <t xml:space="preserve">N </t>
    </r>
    <r>
      <rPr>
        <b/>
        <sz val="10"/>
        <rFont val="Arial"/>
        <family val="2"/>
      </rPr>
      <t xml:space="preserve">1861
</t>
    </r>
    <r>
      <rPr>
        <sz val="10"/>
        <color rgb="FF0000FF"/>
        <rFont val="Arial"/>
        <family val="2"/>
      </rPr>
      <t>Note: 
Replaces N 1004 (Stage 2)</t>
    </r>
  </si>
  <si>
    <t>PC23/0257
Approved 24/02/2023
Received &amp; Registered 14/04/2023</t>
  </si>
  <si>
    <t>Building Work 
Earthcert Building Approvals - Permit Number 220450</t>
  </si>
  <si>
    <t>Lot 17 SP 143411</t>
  </si>
  <si>
    <t>79 Coolah Place
Cooroibah QLD 4565</t>
  </si>
  <si>
    <t>Building Work 
Core Building Certification - Permit 231413</t>
  </si>
  <si>
    <t>Craig &amp; Aleksandra Brook</t>
  </si>
  <si>
    <t>4 Sugar Glider Lane
TINBEERWAH QLD 4563</t>
  </si>
  <si>
    <t>Lot 20 RP 195985</t>
  </si>
  <si>
    <t>PC23/0368
Approved 21/03/2023
Received &amp; Registered 14/04/2023</t>
  </si>
  <si>
    <t>PC23/0317
Approved 24/03/2023
Received &amp; Registered 14/04/2023</t>
  </si>
  <si>
    <t>Building Work 
Trident Building Surveyig &amp; Certification - Permit Q20230113</t>
  </si>
  <si>
    <t>Toby Johns
Saltair Modular 
COOLUM QLD 4573</t>
  </si>
  <si>
    <t>24 Livistona Drive 
DOONAN QLD 4562</t>
  </si>
  <si>
    <t>41 Quanda Road
COOLUM QLD 4573</t>
  </si>
  <si>
    <t>Lot 20 RP 836922</t>
  </si>
  <si>
    <r>
      <t xml:space="preserve">MCU16/0135
</t>
    </r>
    <r>
      <rPr>
        <sz val="10"/>
        <color rgb="FF0000FF"/>
        <rFont val="Arial"/>
        <family val="2"/>
      </rPr>
      <t>STAGE 2</t>
    </r>
  </si>
  <si>
    <r>
      <rPr>
        <strike/>
        <sz val="10"/>
        <rFont val="Arial"/>
        <family val="2"/>
      </rPr>
      <t xml:space="preserve">132008.1128.01 </t>
    </r>
    <r>
      <rPr>
        <sz val="10"/>
        <rFont val="Arial"/>
        <family val="2"/>
      </rPr>
      <t xml:space="preserve">
</t>
    </r>
    <r>
      <rPr>
        <strike/>
        <sz val="10"/>
        <color rgb="FF0000FF"/>
        <rFont val="Arial"/>
        <family val="2"/>
      </rPr>
      <t>132008.1128.02</t>
    </r>
    <r>
      <rPr>
        <sz val="10"/>
        <color rgb="FF0000FF"/>
        <rFont val="Arial"/>
        <family val="2"/>
      </rPr>
      <t xml:space="preserve">
132008.1128.04
STAGE 1</t>
    </r>
  </si>
  <si>
    <r>
      <rPr>
        <strike/>
        <sz val="10"/>
        <rFont val="Arial"/>
        <family val="2"/>
      </rPr>
      <t xml:space="preserve">132008.1128.01 </t>
    </r>
    <r>
      <rPr>
        <sz val="10"/>
        <rFont val="Arial"/>
        <family val="2"/>
      </rPr>
      <t xml:space="preserve">
</t>
    </r>
    <r>
      <rPr>
        <strike/>
        <sz val="10"/>
        <color rgb="FF0000FF"/>
        <rFont val="Arial"/>
        <family val="2"/>
      </rPr>
      <t>132008.1128.02</t>
    </r>
    <r>
      <rPr>
        <sz val="10"/>
        <color rgb="FF0000FF"/>
        <rFont val="Arial"/>
        <family val="2"/>
      </rPr>
      <t xml:space="preserve">
132008.1128.04
STAGE 2</t>
    </r>
  </si>
  <si>
    <r>
      <rPr>
        <strike/>
        <sz val="10"/>
        <rFont val="Arial"/>
        <family val="2"/>
      </rPr>
      <t xml:space="preserve">132008.1128.01 </t>
    </r>
    <r>
      <rPr>
        <sz val="10"/>
        <rFont val="Arial"/>
        <family val="2"/>
      </rPr>
      <t xml:space="preserve">
</t>
    </r>
    <r>
      <rPr>
        <strike/>
        <sz val="10"/>
        <color rgb="FF0000FF"/>
        <rFont val="Arial"/>
        <family val="2"/>
      </rPr>
      <t>132008.1128.02</t>
    </r>
    <r>
      <rPr>
        <sz val="10"/>
        <color rgb="FF0000FF"/>
        <rFont val="Arial"/>
        <family val="2"/>
      </rPr>
      <t xml:space="preserve">
132008.1128.04
STAGE 3</t>
    </r>
  </si>
  <si>
    <r>
      <rPr>
        <strike/>
        <sz val="10"/>
        <rFont val="Arial"/>
        <family val="2"/>
      </rPr>
      <t xml:space="preserve">132008.1128.01 </t>
    </r>
    <r>
      <rPr>
        <sz val="10"/>
        <rFont val="Arial"/>
        <family val="2"/>
      </rPr>
      <t xml:space="preserve">
</t>
    </r>
    <r>
      <rPr>
        <strike/>
        <sz val="10"/>
        <color rgb="FF0000FF"/>
        <rFont val="Arial"/>
        <family val="2"/>
      </rPr>
      <t>132008.1128.02</t>
    </r>
    <r>
      <rPr>
        <sz val="10"/>
        <color rgb="FF0000FF"/>
        <rFont val="Arial"/>
        <family val="2"/>
      </rPr>
      <t xml:space="preserve">
132008.1128.04
STAGE 4</t>
    </r>
  </si>
  <si>
    <r>
      <t xml:space="preserve">MCU18/0084
</t>
    </r>
    <r>
      <rPr>
        <sz val="11"/>
        <color rgb="FF0000FF"/>
        <rFont val="Arial"/>
        <family val="2"/>
      </rPr>
      <t>(STAGE 1)</t>
    </r>
  </si>
  <si>
    <r>
      <t>MCU18/0084</t>
    </r>
    <r>
      <rPr>
        <sz val="10"/>
        <color rgb="FF0000FF"/>
        <rFont val="Arial"/>
        <family val="2"/>
      </rPr>
      <t>.01</t>
    </r>
    <r>
      <rPr>
        <sz val="10"/>
        <rFont val="Arial"/>
        <family val="2"/>
      </rPr>
      <t xml:space="preserve">
</t>
    </r>
    <r>
      <rPr>
        <sz val="10"/>
        <color rgb="FF0000FF"/>
        <rFont val="Arial"/>
        <family val="2"/>
      </rPr>
      <t>(STAGE 2)</t>
    </r>
    <r>
      <rPr>
        <sz val="10"/>
        <rFont val="Arial"/>
        <family val="2"/>
      </rPr>
      <t xml:space="preserve">
</t>
    </r>
    <r>
      <rPr>
        <sz val="10"/>
        <color rgb="FF0000FF"/>
        <rFont val="Arial"/>
        <family val="2"/>
      </rPr>
      <t>Approved 2/03/2022
Issued 4/03/2022</t>
    </r>
  </si>
  <si>
    <t>51987.2966.05 
(Minor Change TPC1903)
Approved:30/08/2022
Issued: 1/09/2022</t>
  </si>
  <si>
    <t>MCU21/0231
Approved:30/08/2022
Issued: 5/09/2022</t>
  </si>
  <si>
    <t>MCU22/0054
Approved:2/09/2022
Issued: 7/09/2022</t>
  </si>
  <si>
    <t>51989.338.01 &amp; 51995.1473.01
Approved:6/09/2022
Issued: 14/09/2022</t>
  </si>
  <si>
    <t>DBW22/0048
Approved: 15/09/2022
Issued: 19/09/2022</t>
  </si>
  <si>
    <t>MCU22/0101
Approved: 13/09/2022
Issued: 20/09/2022</t>
  </si>
  <si>
    <t>MCU22/0058
Approved:04/09/2022
Issued: 21/09/2022</t>
  </si>
  <si>
    <t>MCU22/0062
Approved: 15/09/2022
Issued: 21/09/2022</t>
  </si>
  <si>
    <t>MCU18/0189.02
Approved: 4/10/2022
Issued: 7/10/2022</t>
  </si>
  <si>
    <t>MCU22/0135
Approved: 7/10/2022
Issued: 11/10/2022</t>
  </si>
  <si>
    <t>RAL22/0006
Approved: 11/10/2022
Issued: 13/10/2022</t>
  </si>
  <si>
    <t>DBW22/0150
Approved: 13/10/2022
Issued: 18/10/2022</t>
  </si>
  <si>
    <t>MCU22/0104
Approved: 27/10/2022
Issued: 31/10/2022</t>
  </si>
  <si>
    <t>RAL22/0017
Approved: 1/11/2022
Issued: 2/11/2022</t>
  </si>
  <si>
    <t>MCU22/0099
Approved: 3/11/2022
Issued: 3/11/2022</t>
  </si>
  <si>
    <t>MCU22/0096
Approved: 2/11/2022
Issued: 4/11/2022</t>
  </si>
  <si>
    <t>MCU22/0168
Approved: 16/11/2022
Issued: 18/11/2022</t>
  </si>
  <si>
    <t>MCU21/0190
Approved: 28/11/2022
Issued: 30/11/2022</t>
  </si>
  <si>
    <t>DBW22/0130
Approved: 8/12/2022
Issued: 12/12/2022</t>
  </si>
  <si>
    <t>MCU22/0082
Approved: 08/12/2022
Issued:15/12/2022</t>
  </si>
  <si>
    <t>MCU22/0140
Approved: 14/12/2022
Issued: 19/12/2022</t>
  </si>
  <si>
    <t>MCU22/0146
Approved: 9/12/2022
Issued: 19/12/2022</t>
  </si>
  <si>
    <t>MCU22/0149
Approved: 16/12/2022
Issued: 20/12/2022</t>
  </si>
  <si>
    <t>MCU17/0510.01
Approved: 19/12/2022
Issued: 21/12/2022</t>
  </si>
  <si>
    <t>MCU22/0173
Approved: 19/12/2022
Issued: 21/12/2022</t>
  </si>
  <si>
    <t>MCU22/0169
Approved: 19/12/2022
Issued: 22/12/2022</t>
  </si>
  <si>
    <t>MCU22/0084
Approved: 22/12/2022
Issued: 22/12/2022</t>
  </si>
  <si>
    <t>MCU22/0097
Approved: 03/01/2023
Issued: 10/01/2023</t>
  </si>
  <si>
    <t>RAL22/0026
Approved: 12/01/2023
Issued: 18/01/2023</t>
  </si>
  <si>
    <t>MCU22/0180
Approved: 12/01/2023
Issued: 19/01/2023</t>
  </si>
  <si>
    <t>MCU22/0032.01
Approved: 11/01/2023
Issued: 16/01/2023</t>
  </si>
  <si>
    <t>DBW22/0165
Approved: 27/01/2023
Issued: 30/01/2022</t>
  </si>
  <si>
    <t>MCU22/0172
Approved: 25/01/2023
Issued: 31/01/2023</t>
  </si>
  <si>
    <t>MCU22/0144
Approved: 7/02/2023
Issued: 13/02/2023</t>
  </si>
  <si>
    <t>MCU22/0158
Approved: 8/02/2023
Issued: 15/02/2023</t>
  </si>
  <si>
    <t>DBW22/0175
Approved: 13/02/2023
Issued: 16/02/2022</t>
  </si>
  <si>
    <t>MCU22/0154
Approved: 16/02/2023
Issued: 21/02/2023</t>
  </si>
  <si>
    <t>DBW22/0166
Approved: 21/02/2023
Issued: 24/02/2023</t>
  </si>
  <si>
    <t>RAL22/0018
Approved: 13/04/2023
Issued: 18/04/2023</t>
  </si>
  <si>
    <t xml:space="preserve">AICS
Web n/a </t>
  </si>
  <si>
    <r>
      <t xml:space="preserve">Planning Reg 2017-2018
</t>
    </r>
    <r>
      <rPr>
        <sz val="10"/>
        <color rgb="FF0000FF"/>
        <rFont val="Arial"/>
        <family val="2"/>
      </rPr>
      <t>2020-2021</t>
    </r>
  </si>
  <si>
    <r>
      <rPr>
        <strike/>
        <sz val="10"/>
        <rFont val="Arial"/>
        <family val="2"/>
      </rPr>
      <t>5/03/2018</t>
    </r>
    <r>
      <rPr>
        <sz val="10"/>
        <rFont val="Arial"/>
        <family val="2"/>
      </rPr>
      <t xml:space="preserve">
19/04/2018
</t>
    </r>
    <r>
      <rPr>
        <sz val="10"/>
        <color rgb="FF0000FF"/>
        <rFont val="Arial"/>
        <family val="2"/>
      </rPr>
      <t>28/06/2021</t>
    </r>
  </si>
  <si>
    <r>
      <t xml:space="preserve">Planning Reg 2018-19
</t>
    </r>
    <r>
      <rPr>
        <sz val="10"/>
        <color rgb="FFFF0000"/>
        <rFont val="Arial"/>
        <family val="2"/>
      </rPr>
      <t xml:space="preserve"> 2019-20
</t>
    </r>
  </si>
  <si>
    <r>
      <t xml:space="preserve">24/06/2019
</t>
    </r>
    <r>
      <rPr>
        <sz val="10"/>
        <color rgb="FFFF0000"/>
        <rFont val="Arial"/>
        <family val="2"/>
      </rPr>
      <t>27/03/2020</t>
    </r>
  </si>
  <si>
    <r>
      <t xml:space="preserve">11/02/2019
</t>
    </r>
    <r>
      <rPr>
        <sz val="10"/>
        <color rgb="FF0000FF"/>
        <rFont val="Arial"/>
        <family val="2"/>
      </rPr>
      <t>26/05/2021</t>
    </r>
  </si>
  <si>
    <r>
      <t xml:space="preserve">Planning Reg 2018-19
</t>
    </r>
    <r>
      <rPr>
        <sz val="10"/>
        <color rgb="FF0000FF"/>
        <rFont val="Arial"/>
        <family val="2"/>
      </rPr>
      <t>2019-2020</t>
    </r>
  </si>
  <si>
    <r>
      <t xml:space="preserve">18/10/2017
</t>
    </r>
    <r>
      <rPr>
        <sz val="10"/>
        <color rgb="FFFF0000"/>
        <rFont val="Arial"/>
        <family val="2"/>
      </rPr>
      <t>27/03/2020</t>
    </r>
  </si>
  <si>
    <r>
      <t xml:space="preserve">Planning Reg 2017-2018
</t>
    </r>
    <r>
      <rPr>
        <sz val="10"/>
        <color rgb="FFFF0000"/>
        <rFont val="Arial"/>
        <family val="2"/>
      </rPr>
      <t xml:space="preserve"> 2019-2020</t>
    </r>
  </si>
  <si>
    <r>
      <rPr>
        <b/>
        <sz val="10"/>
        <color rgb="FF0000FF"/>
        <rFont val="Arial"/>
        <family val="2"/>
      </rPr>
      <t xml:space="preserve">N </t>
    </r>
    <r>
      <rPr>
        <b/>
        <sz val="10"/>
        <rFont val="Arial"/>
        <family val="2"/>
      </rPr>
      <t xml:space="preserve">1629 
</t>
    </r>
    <r>
      <rPr>
        <b/>
        <sz val="10"/>
        <color rgb="FF0000FF"/>
        <rFont val="Arial"/>
        <family val="2"/>
      </rPr>
      <t xml:space="preserve">Applicable to Unit 13
</t>
    </r>
    <r>
      <rPr>
        <sz val="10"/>
        <color rgb="FFFF0000"/>
        <rFont val="Arial"/>
        <family val="2"/>
      </rPr>
      <t>Amended Stg Pmt 3</t>
    </r>
    <r>
      <rPr>
        <sz val="10"/>
        <rFont val="Arial"/>
        <family val="2"/>
      </rPr>
      <t xml:space="preserve">
</t>
    </r>
    <r>
      <rPr>
        <sz val="10"/>
        <color rgb="FFFF0000"/>
        <rFont val="Arial"/>
        <family val="2"/>
      </rPr>
      <t xml:space="preserve">DUE 15 JUNE 2022
</t>
    </r>
    <r>
      <rPr>
        <i/>
        <sz val="10"/>
        <color rgb="FFFF0000"/>
        <rFont val="Arial"/>
        <family val="2"/>
      </rPr>
      <t>But prior to any sale of property</t>
    </r>
  </si>
  <si>
    <t xml:space="preserve">20/05/2021
</t>
  </si>
  <si>
    <r>
      <t xml:space="preserve">18/09/2017
</t>
    </r>
    <r>
      <rPr>
        <sz val="10"/>
        <color rgb="FFFF0000"/>
        <rFont val="Arial"/>
        <family val="2"/>
      </rPr>
      <t>27/03/2020</t>
    </r>
  </si>
  <si>
    <r>
      <rPr>
        <b/>
        <sz val="10"/>
        <color rgb="FF0000FF"/>
        <rFont val="Arial"/>
        <family val="2"/>
      </rPr>
      <t xml:space="preserve">N </t>
    </r>
    <r>
      <rPr>
        <b/>
        <sz val="10"/>
        <rFont val="Arial"/>
        <family val="2"/>
      </rPr>
      <t xml:space="preserve">1255
</t>
    </r>
    <r>
      <rPr>
        <sz val="10"/>
        <color rgb="FFFF0000"/>
        <rFont val="Arial"/>
        <family val="2"/>
      </rPr>
      <t xml:space="preserve">
Staged Payment 3
DUE 15 JUNE 2022 
but prior to any sale of property</t>
    </r>
  </si>
  <si>
    <r>
      <rPr>
        <b/>
        <sz val="10"/>
        <color rgb="FF0000FF"/>
        <rFont val="Arial"/>
        <family val="2"/>
      </rPr>
      <t xml:space="preserve">N </t>
    </r>
    <r>
      <rPr>
        <b/>
        <sz val="10"/>
        <rFont val="Arial"/>
        <family val="2"/>
      </rPr>
      <t xml:space="preserve">1502
</t>
    </r>
    <r>
      <rPr>
        <sz val="10"/>
        <color rgb="FFFF0000"/>
        <rFont val="Arial"/>
        <family val="2"/>
      </rPr>
      <t xml:space="preserve">Final Staged Payment 3
DUE 15 JUNE 2022
but prior to any sale of property </t>
    </r>
  </si>
  <si>
    <r>
      <rPr>
        <b/>
        <sz val="10"/>
        <color rgb="FF0000FF"/>
        <rFont val="Arial"/>
        <family val="2"/>
      </rPr>
      <t xml:space="preserve">N </t>
    </r>
    <r>
      <rPr>
        <b/>
        <sz val="10"/>
        <rFont val="Arial"/>
        <family val="2"/>
      </rPr>
      <t xml:space="preserve">1458
</t>
    </r>
    <r>
      <rPr>
        <sz val="10"/>
        <color rgb="FFFF0000"/>
        <rFont val="Arial"/>
        <family val="2"/>
      </rPr>
      <t xml:space="preserve">Final Inspection Certificate issued 27/04/2020
Staged Payment 3
DUE 15 JUNE 2022
</t>
    </r>
    <r>
      <rPr>
        <u/>
        <sz val="10"/>
        <color rgb="FFFF0000"/>
        <rFont val="Arial"/>
        <family val="2"/>
      </rPr>
      <t>but</t>
    </r>
    <r>
      <rPr>
        <sz val="10"/>
        <color rgb="FFFF0000"/>
        <rFont val="Arial"/>
        <family val="2"/>
      </rPr>
      <t xml:space="preserve"> prior to any sale of property </t>
    </r>
  </si>
  <si>
    <r>
      <rPr>
        <b/>
        <sz val="10"/>
        <color rgb="FF0000FF"/>
        <rFont val="Arial"/>
        <family val="2"/>
      </rPr>
      <t xml:space="preserve">N </t>
    </r>
    <r>
      <rPr>
        <b/>
        <sz val="10"/>
        <rFont val="Arial"/>
        <family val="2"/>
      </rPr>
      <t xml:space="preserve">1535
</t>
    </r>
    <r>
      <rPr>
        <sz val="9"/>
        <color rgb="FFFF0000"/>
        <rFont val="Arial"/>
        <family val="2"/>
      </rPr>
      <t xml:space="preserve">
Staged Payment 3
DUE 15 JUNE 2022
but prior to any sale of</t>
    </r>
    <r>
      <rPr>
        <sz val="10"/>
        <color rgb="FFFF0000"/>
        <rFont val="Arial"/>
        <family val="2"/>
      </rPr>
      <t xml:space="preserve"> property </t>
    </r>
  </si>
  <si>
    <t>AICS Web n/a</t>
  </si>
  <si>
    <t>AICS Web n/a
Compound Interest applies from 21/11/2016</t>
  </si>
  <si>
    <t>CPI
OM 20/09/2018 = AICS Web n/a</t>
  </si>
  <si>
    <t>Y Web n/a</t>
  </si>
  <si>
    <t>N Web n/a</t>
  </si>
  <si>
    <t>CPI Web n/a</t>
  </si>
  <si>
    <t>CPI Web n/a
OM 20/09/2018 = AICS Web n/a</t>
  </si>
  <si>
    <t xml:space="preserve">CPI Web n/a
</t>
  </si>
  <si>
    <t>Compound Interest 
Web n/a</t>
  </si>
  <si>
    <t>Nil
Web n/a</t>
  </si>
  <si>
    <r>
      <rPr>
        <strike/>
        <sz val="10"/>
        <color rgb="FFFF0000"/>
        <rFont val="Arial"/>
        <family val="2"/>
      </rPr>
      <t>CPI</t>
    </r>
    <r>
      <rPr>
        <sz val="10"/>
        <color rgb="FFFF0000"/>
        <rFont val="Arial"/>
        <family val="2"/>
      </rPr>
      <t xml:space="preserve">
</t>
    </r>
    <r>
      <rPr>
        <sz val="10"/>
        <color rgb="FF0000FF"/>
        <rFont val="Arial"/>
        <family val="2"/>
      </rPr>
      <t>OM 20/09/2018 = AICS Web n/a</t>
    </r>
  </si>
  <si>
    <r>
      <rPr>
        <b/>
        <sz val="10"/>
        <color rgb="FF0000FF"/>
        <rFont val="Arial"/>
        <family val="2"/>
      </rPr>
      <t xml:space="preserve">N </t>
    </r>
    <r>
      <rPr>
        <b/>
        <sz val="10"/>
        <rFont val="Arial"/>
        <family val="2"/>
      </rPr>
      <t>1511</t>
    </r>
  </si>
  <si>
    <t>AICS web n/a</t>
  </si>
  <si>
    <r>
      <rPr>
        <strike/>
        <sz val="10"/>
        <color rgb="FFFF0000"/>
        <rFont val="Arial"/>
        <family val="2"/>
      </rPr>
      <t>CPI</t>
    </r>
    <r>
      <rPr>
        <sz val="10"/>
        <color rgb="FFFF0000"/>
        <rFont val="Arial"/>
        <family val="2"/>
      </rPr>
      <t xml:space="preserve">
</t>
    </r>
    <r>
      <rPr>
        <sz val="10"/>
        <color rgb="FF0000FF"/>
        <rFont val="Arial"/>
        <family val="2"/>
      </rPr>
      <t>OM 20/09/2018 = AICS</t>
    </r>
    <r>
      <rPr>
        <sz val="10"/>
        <color rgb="FFFF0000"/>
        <rFont val="Arial"/>
        <family val="2"/>
      </rPr>
      <t xml:space="preserve"> </t>
    </r>
    <r>
      <rPr>
        <sz val="10"/>
        <color rgb="FF0000FF"/>
        <rFont val="Arial"/>
        <family val="2"/>
      </rPr>
      <t>Web n/a</t>
    </r>
  </si>
  <si>
    <t>CPI web n/a</t>
  </si>
  <si>
    <r>
      <rPr>
        <strike/>
        <sz val="10"/>
        <color rgb="FFFF0000"/>
        <rFont val="Arial"/>
        <family val="2"/>
      </rPr>
      <t>CPI</t>
    </r>
    <r>
      <rPr>
        <sz val="10"/>
        <color rgb="FFFF0000"/>
        <rFont val="Arial"/>
        <family val="2"/>
      </rPr>
      <t xml:space="preserve">
</t>
    </r>
    <r>
      <rPr>
        <sz val="10"/>
        <color rgb="FF0000FF"/>
        <rFont val="Arial"/>
        <family val="2"/>
      </rPr>
      <t>OM 20/09/2018 = AICS web n/a</t>
    </r>
  </si>
  <si>
    <t xml:space="preserve">CPI web n/a
</t>
  </si>
  <si>
    <r>
      <rPr>
        <b/>
        <sz val="10"/>
        <color rgb="FF0000FF"/>
        <rFont val="Arial"/>
        <family val="2"/>
      </rPr>
      <t xml:space="preserve">N </t>
    </r>
    <r>
      <rPr>
        <b/>
        <sz val="10"/>
        <rFont val="Arial"/>
        <family val="2"/>
      </rPr>
      <t xml:space="preserve">1238
</t>
    </r>
    <r>
      <rPr>
        <sz val="10"/>
        <color rgb="FFFF0000"/>
        <rFont val="Arial"/>
        <family val="2"/>
      </rPr>
      <t xml:space="preserve">
</t>
    </r>
    <r>
      <rPr>
        <b/>
        <sz val="10"/>
        <color rgb="FFFF0000"/>
        <rFont val="Arial"/>
        <family val="2"/>
      </rPr>
      <t xml:space="preserve">Staged Pmt No 4
</t>
    </r>
    <r>
      <rPr>
        <sz val="10"/>
        <color rgb="FFFF0000"/>
        <rFont val="Arial"/>
        <family val="2"/>
      </rPr>
      <t>Part payment</t>
    </r>
  </si>
  <si>
    <t xml:space="preserve">CPI 
Web n/a
</t>
  </si>
  <si>
    <t xml:space="preserve">CPI
Web n/a
</t>
  </si>
  <si>
    <r>
      <rPr>
        <b/>
        <sz val="10"/>
        <color rgb="FF0000FF"/>
        <rFont val="Arial"/>
        <family val="2"/>
      </rPr>
      <t xml:space="preserve">N </t>
    </r>
    <r>
      <rPr>
        <b/>
        <sz val="10"/>
        <rFont val="Arial"/>
        <family val="2"/>
      </rPr>
      <t>1574</t>
    </r>
  </si>
  <si>
    <r>
      <rPr>
        <b/>
        <sz val="10"/>
        <color rgb="FF0000FF"/>
        <rFont val="Arial"/>
        <family val="2"/>
      </rPr>
      <t xml:space="preserve">N </t>
    </r>
    <r>
      <rPr>
        <b/>
        <sz val="10"/>
        <rFont val="Arial"/>
        <family val="2"/>
      </rPr>
      <t xml:space="preserve">1450
</t>
    </r>
    <r>
      <rPr>
        <sz val="10"/>
        <color rgb="FFFF0000"/>
        <rFont val="Arial"/>
        <family val="2"/>
      </rPr>
      <t>Final Inspection Certificate issued 16/12/2019</t>
    </r>
    <r>
      <rPr>
        <sz val="10"/>
        <color rgb="FFFF5050"/>
        <rFont val="Arial"/>
        <family val="2"/>
      </rPr>
      <t xml:space="preserve">
Staged Payment 1
DUE 15 JUNE 2021
but prior to any sale of property </t>
    </r>
  </si>
  <si>
    <r>
      <t xml:space="preserve">24/06/2019
</t>
    </r>
    <r>
      <rPr>
        <sz val="10"/>
        <color rgb="FFFF5050"/>
        <rFont val="Arial"/>
        <family val="2"/>
      </rPr>
      <t>27/03/2020</t>
    </r>
  </si>
  <si>
    <r>
      <t xml:space="preserve">Planning Reg 2018-19
</t>
    </r>
    <r>
      <rPr>
        <sz val="10"/>
        <color rgb="FFFF5050"/>
        <rFont val="Arial"/>
        <family val="2"/>
      </rPr>
      <t xml:space="preserve"> 2019-20</t>
    </r>
    <r>
      <rPr>
        <sz val="10"/>
        <rFont val="Arial"/>
        <family val="2"/>
      </rPr>
      <t xml:space="preserve">
</t>
    </r>
  </si>
  <si>
    <r>
      <rPr>
        <b/>
        <sz val="10"/>
        <color rgb="FF0000FF"/>
        <rFont val="Arial"/>
        <family val="2"/>
      </rPr>
      <t xml:space="preserve">N </t>
    </r>
    <r>
      <rPr>
        <b/>
        <sz val="10"/>
        <rFont val="Arial"/>
        <family val="2"/>
      </rPr>
      <t>1502</t>
    </r>
    <r>
      <rPr>
        <sz val="10"/>
        <color rgb="FFFF0000"/>
        <rFont val="Arial"/>
        <family val="2"/>
      </rPr>
      <t xml:space="preserve">
Staged Payment 1
DUE 15 JUNE 2021
but prior to any sale of property </t>
    </r>
  </si>
  <si>
    <r>
      <rPr>
        <sz val="10"/>
        <color rgb="FF0000FF"/>
        <rFont val="Arial"/>
        <family val="2"/>
      </rPr>
      <t xml:space="preserve">N </t>
    </r>
    <r>
      <rPr>
        <sz val="10"/>
        <rFont val="Arial"/>
        <family val="2"/>
      </rPr>
      <t xml:space="preserve">1436
</t>
    </r>
    <r>
      <rPr>
        <sz val="10"/>
        <color rgb="FFFF0000"/>
        <rFont val="Arial"/>
        <family val="2"/>
      </rPr>
      <t xml:space="preserve">Final Inspection Certificate 11/08/2020
Staged Payment 1
DUE 15 JUNE 2021
but prior to any sale of property </t>
    </r>
  </si>
  <si>
    <r>
      <rPr>
        <b/>
        <sz val="10"/>
        <color rgb="FF0000FF"/>
        <rFont val="Arial"/>
        <family val="2"/>
      </rPr>
      <t xml:space="preserve">N </t>
    </r>
    <r>
      <rPr>
        <b/>
        <sz val="10"/>
        <rFont val="Arial"/>
        <family val="2"/>
      </rPr>
      <t xml:space="preserve">1594
</t>
    </r>
    <r>
      <rPr>
        <sz val="10"/>
        <color rgb="FFFF0000"/>
        <rFont val="Arial"/>
        <family val="2"/>
      </rPr>
      <t xml:space="preserve">Final Insp Cert 13/04/2021
Staged Payment 1,2&amp;3
DUE 15 JUNE 2021
but prior to any sale of property </t>
    </r>
  </si>
  <si>
    <r>
      <rPr>
        <b/>
        <sz val="10"/>
        <color rgb="FF0000FF"/>
        <rFont val="Arial"/>
        <family val="2"/>
      </rPr>
      <t xml:space="preserve">N </t>
    </r>
    <r>
      <rPr>
        <b/>
        <sz val="10"/>
        <rFont val="Arial"/>
        <family val="2"/>
      </rPr>
      <t xml:space="preserve">1608
</t>
    </r>
    <r>
      <rPr>
        <sz val="10"/>
        <color rgb="FFFF0000"/>
        <rFont val="Arial"/>
        <family val="2"/>
      </rPr>
      <t>CoC 22/03/2021</t>
    </r>
    <r>
      <rPr>
        <b/>
        <sz val="10"/>
        <rFont val="Arial"/>
        <family val="2"/>
      </rPr>
      <t xml:space="preserve">
</t>
    </r>
    <r>
      <rPr>
        <sz val="10"/>
        <color rgb="FFFF0000"/>
        <rFont val="Arial"/>
        <family val="2"/>
      </rPr>
      <t>DUE 1 JULY 2021 
but prior to any sale of property</t>
    </r>
  </si>
  <si>
    <r>
      <rPr>
        <b/>
        <sz val="10"/>
        <color rgb="FF0000FF"/>
        <rFont val="Arial"/>
        <family val="2"/>
      </rPr>
      <t xml:space="preserve">N </t>
    </r>
    <r>
      <rPr>
        <b/>
        <sz val="10"/>
        <rFont val="Arial"/>
        <family val="2"/>
      </rPr>
      <t xml:space="preserve">1468
</t>
    </r>
    <r>
      <rPr>
        <sz val="10"/>
        <color rgb="FFFF0000"/>
        <rFont val="Arial"/>
        <family val="2"/>
      </rPr>
      <t>CoC issued 16/03/2020</t>
    </r>
    <r>
      <rPr>
        <b/>
        <sz val="10"/>
        <rFont val="Arial"/>
        <family val="2"/>
      </rPr>
      <t xml:space="preserve">
</t>
    </r>
    <r>
      <rPr>
        <sz val="10"/>
        <color rgb="FFFF0000"/>
        <rFont val="Arial"/>
        <family val="2"/>
      </rPr>
      <t xml:space="preserve">PS/0012
DUE 1 July 2021 </t>
    </r>
    <r>
      <rPr>
        <b/>
        <sz val="11"/>
        <color rgb="FFFF0000"/>
        <rFont val="Arial"/>
        <family val="2"/>
      </rPr>
      <t xml:space="preserve">
</t>
    </r>
    <r>
      <rPr>
        <u/>
        <sz val="10"/>
        <color rgb="FFFF0000"/>
        <rFont val="Arial"/>
        <family val="2"/>
      </rPr>
      <t xml:space="preserve">but </t>
    </r>
    <r>
      <rPr>
        <sz val="10"/>
        <color rgb="FFFF0000"/>
        <rFont val="Arial"/>
        <family val="2"/>
      </rPr>
      <t>prior to any sale of property</t>
    </r>
    <r>
      <rPr>
        <b/>
        <sz val="10"/>
        <color rgb="FFFF0000"/>
        <rFont val="Arial"/>
        <family val="2"/>
      </rPr>
      <t xml:space="preserve"> </t>
    </r>
  </si>
  <si>
    <r>
      <rPr>
        <b/>
        <sz val="10"/>
        <color rgb="FF0000FF"/>
        <rFont val="Arial"/>
        <family val="2"/>
      </rPr>
      <t xml:space="preserve">N </t>
    </r>
    <r>
      <rPr>
        <b/>
        <sz val="10"/>
        <rFont val="Arial"/>
        <family val="2"/>
      </rPr>
      <t xml:space="preserve">1535
</t>
    </r>
    <r>
      <rPr>
        <b/>
        <sz val="10"/>
        <color rgb="FFFF0000"/>
        <rFont val="Arial"/>
        <family val="2"/>
      </rPr>
      <t xml:space="preserve">
</t>
    </r>
    <r>
      <rPr>
        <sz val="10"/>
        <color rgb="FFFF0000"/>
        <rFont val="Arial"/>
        <family val="2"/>
      </rPr>
      <t>Staged Payment 1
DUE 15 JUNE 2021</t>
    </r>
    <r>
      <rPr>
        <b/>
        <sz val="10"/>
        <color rgb="FFFF0000"/>
        <rFont val="Arial"/>
        <family val="2"/>
      </rPr>
      <t xml:space="preserve">
</t>
    </r>
    <r>
      <rPr>
        <sz val="10"/>
        <color rgb="FFFF0000"/>
        <rFont val="Arial"/>
        <family val="2"/>
      </rPr>
      <t xml:space="preserve">but prior to any sale of property </t>
    </r>
  </si>
  <si>
    <r>
      <rPr>
        <b/>
        <sz val="10"/>
        <color rgb="FF0000FF"/>
        <rFont val="Arial"/>
        <family val="2"/>
      </rPr>
      <t xml:space="preserve">N </t>
    </r>
    <r>
      <rPr>
        <b/>
        <sz val="10"/>
        <rFont val="Arial"/>
        <family val="2"/>
      </rPr>
      <t xml:space="preserve">1300
</t>
    </r>
    <r>
      <rPr>
        <sz val="10"/>
        <color rgb="FFFF0000"/>
        <rFont val="Arial"/>
        <family val="2"/>
      </rPr>
      <t>STAGED PAYMENT 4
 DUE 15 JUNE 2021
but prior to any sale of property</t>
    </r>
  </si>
  <si>
    <r>
      <rPr>
        <b/>
        <sz val="10"/>
        <color rgb="FF0000FF"/>
        <rFont val="Arial"/>
        <family val="2"/>
      </rPr>
      <t xml:space="preserve">N </t>
    </r>
    <r>
      <rPr>
        <b/>
        <sz val="10"/>
        <rFont val="Arial"/>
        <family val="2"/>
      </rPr>
      <t xml:space="preserve">1238
</t>
    </r>
    <r>
      <rPr>
        <sz val="10"/>
        <color rgb="FFFF0000"/>
        <rFont val="Arial"/>
        <family val="2"/>
      </rPr>
      <t xml:space="preserve">
Part Staged Pmt No 5</t>
    </r>
  </si>
  <si>
    <r>
      <rPr>
        <b/>
        <sz val="10"/>
        <color rgb="FF0000FF"/>
        <rFont val="Arial"/>
        <family val="2"/>
      </rPr>
      <t xml:space="preserve">N </t>
    </r>
    <r>
      <rPr>
        <b/>
        <sz val="10"/>
        <rFont val="Arial"/>
        <family val="2"/>
      </rPr>
      <t xml:space="preserve">1238
</t>
    </r>
    <r>
      <rPr>
        <sz val="10"/>
        <color rgb="FFFF0000"/>
        <rFont val="Arial"/>
        <family val="2"/>
      </rPr>
      <t xml:space="preserve">
</t>
    </r>
    <r>
      <rPr>
        <b/>
        <sz val="10"/>
        <color rgb="FFFF0000"/>
        <rFont val="Arial"/>
        <family val="2"/>
      </rPr>
      <t xml:space="preserve">Final Staged Pmt No 5
</t>
    </r>
    <r>
      <rPr>
        <sz val="10"/>
        <color rgb="FFFF0000"/>
        <rFont val="Arial"/>
        <family val="2"/>
      </rPr>
      <t>DUE 15 DEC 2021</t>
    </r>
    <r>
      <rPr>
        <b/>
        <sz val="10"/>
        <color rgb="FFFF0000"/>
        <rFont val="Arial"/>
        <family val="2"/>
      </rPr>
      <t xml:space="preserve">
</t>
    </r>
    <r>
      <rPr>
        <sz val="10"/>
        <color rgb="FFFF0000"/>
        <rFont val="Arial"/>
        <family val="2"/>
      </rPr>
      <t>but prior to any sale of property</t>
    </r>
  </si>
  <si>
    <t xml:space="preserve">AICS
Checked Web ok
</t>
  </si>
  <si>
    <r>
      <rPr>
        <b/>
        <sz val="10"/>
        <color rgb="FF0000FF"/>
        <rFont val="Arial"/>
        <family val="2"/>
      </rPr>
      <t xml:space="preserve">N </t>
    </r>
    <r>
      <rPr>
        <b/>
        <sz val="10"/>
        <rFont val="Arial"/>
        <family val="2"/>
      </rPr>
      <t xml:space="preserve">1265
</t>
    </r>
    <r>
      <rPr>
        <sz val="10"/>
        <color rgb="FFFF0000"/>
        <rFont val="Arial"/>
        <family val="2"/>
      </rPr>
      <t xml:space="preserve"> Final Certificate 25/09/2019
Staged Payment 1
DUE 15 JUNE 2021
but prior to any sale of property</t>
    </r>
  </si>
  <si>
    <r>
      <t xml:space="preserve">18/10/2017
</t>
    </r>
    <r>
      <rPr>
        <sz val="10"/>
        <color rgb="FFFF5050"/>
        <rFont val="Arial"/>
        <family val="2"/>
      </rPr>
      <t>27/03/2020</t>
    </r>
  </si>
  <si>
    <r>
      <t xml:space="preserve">Planning Reg 2017-2018
</t>
    </r>
    <r>
      <rPr>
        <sz val="10"/>
        <color rgb="FFFF5050"/>
        <rFont val="Arial"/>
        <family val="2"/>
      </rPr>
      <t xml:space="preserve"> 2019-2020</t>
    </r>
  </si>
  <si>
    <r>
      <rPr>
        <b/>
        <sz val="10"/>
        <color rgb="FF0000FF"/>
        <rFont val="Arial"/>
        <family val="2"/>
      </rPr>
      <t xml:space="preserve">N </t>
    </r>
    <r>
      <rPr>
        <b/>
        <sz val="10"/>
        <rFont val="Arial"/>
        <family val="2"/>
      </rPr>
      <t xml:space="preserve">1411
</t>
    </r>
    <r>
      <rPr>
        <sz val="10"/>
        <color rgb="FFFF0000"/>
        <rFont val="Arial"/>
        <family val="2"/>
      </rPr>
      <t>MC advice use commenced 28/10/2020</t>
    </r>
    <r>
      <rPr>
        <i/>
        <sz val="10"/>
        <color rgb="FFFF0000"/>
        <rFont val="Arial"/>
        <family val="2"/>
      </rPr>
      <t xml:space="preserve">
Staged Payment 1
DUE 15 JUNE 2021
but prior to any sale of property </t>
    </r>
  </si>
  <si>
    <r>
      <rPr>
        <b/>
        <sz val="10"/>
        <color rgb="FF0000FF"/>
        <rFont val="Arial"/>
        <family val="2"/>
      </rPr>
      <t xml:space="preserve">N </t>
    </r>
    <r>
      <rPr>
        <b/>
        <sz val="10"/>
        <rFont val="Arial"/>
        <family val="2"/>
      </rPr>
      <t xml:space="preserve">1577
</t>
    </r>
    <r>
      <rPr>
        <sz val="10"/>
        <color rgb="FFFF0000"/>
        <rFont val="Arial"/>
        <family val="2"/>
      </rPr>
      <t xml:space="preserve">
Staged Payment 1
DUE 15 JUNE 2021
</t>
    </r>
    <r>
      <rPr>
        <u/>
        <sz val="10"/>
        <color rgb="FFFF0000"/>
        <rFont val="Arial"/>
        <family val="2"/>
      </rPr>
      <t>but</t>
    </r>
    <r>
      <rPr>
        <sz val="10"/>
        <color rgb="FFFF0000"/>
        <rFont val="Arial"/>
        <family val="2"/>
      </rPr>
      <t xml:space="preserve"> prior to any sale of property </t>
    </r>
  </si>
  <si>
    <r>
      <rPr>
        <b/>
        <sz val="10"/>
        <color rgb="FF0000FF"/>
        <rFont val="Arial"/>
        <family val="2"/>
      </rPr>
      <t xml:space="preserve">N </t>
    </r>
    <r>
      <rPr>
        <b/>
        <sz val="10"/>
        <rFont val="Arial"/>
        <family val="2"/>
      </rPr>
      <t>1220</t>
    </r>
    <r>
      <rPr>
        <sz val="10"/>
        <rFont val="Arial"/>
        <family val="2"/>
      </rPr>
      <t xml:space="preserve">
</t>
    </r>
    <r>
      <rPr>
        <sz val="10"/>
        <color rgb="FF0000FF"/>
        <rFont val="Arial"/>
        <family val="2"/>
      </rPr>
      <t xml:space="preserve">
</t>
    </r>
    <r>
      <rPr>
        <sz val="10"/>
        <color rgb="FFFF0000"/>
        <rFont val="Arial"/>
        <family val="2"/>
      </rPr>
      <t>Staged Pmt No 4
DUE 15 JUNE 2021
 but prior to any sale of property</t>
    </r>
  </si>
  <si>
    <r>
      <rPr>
        <b/>
        <sz val="10"/>
        <color rgb="FF0000FF"/>
        <rFont val="Arial"/>
        <family val="2"/>
      </rPr>
      <t xml:space="preserve">N </t>
    </r>
    <r>
      <rPr>
        <b/>
        <sz val="10"/>
        <rFont val="Arial"/>
        <family val="2"/>
      </rPr>
      <t>1458</t>
    </r>
    <r>
      <rPr>
        <sz val="10"/>
        <rFont val="Arial"/>
        <family val="2"/>
      </rPr>
      <t xml:space="preserve">
</t>
    </r>
    <r>
      <rPr>
        <sz val="10"/>
        <color rgb="FFFF0000"/>
        <rFont val="Arial"/>
        <family val="2"/>
      </rPr>
      <t xml:space="preserve">Final Inspection Certificate 27/04/2020
</t>
    </r>
    <r>
      <rPr>
        <sz val="10"/>
        <color rgb="FFFF5050"/>
        <rFont val="Arial"/>
        <family val="2"/>
      </rPr>
      <t xml:space="preserve">
Staged Payment 1
DUE 15 JUNE 2021
</t>
    </r>
    <r>
      <rPr>
        <u/>
        <sz val="10"/>
        <color rgb="FFFF5050"/>
        <rFont val="Arial"/>
        <family val="2"/>
      </rPr>
      <t>but</t>
    </r>
    <r>
      <rPr>
        <sz val="10"/>
        <color rgb="FFFF5050"/>
        <rFont val="Arial"/>
        <family val="2"/>
      </rPr>
      <t xml:space="preserve"> prior to any sale of property </t>
    </r>
  </si>
  <si>
    <r>
      <rPr>
        <b/>
        <sz val="10"/>
        <color rgb="FF0000FF"/>
        <rFont val="Arial"/>
        <family val="2"/>
      </rPr>
      <t xml:space="preserve">N </t>
    </r>
    <r>
      <rPr>
        <b/>
        <sz val="10"/>
        <rFont val="Arial"/>
        <family val="2"/>
      </rPr>
      <t xml:space="preserve">1494
</t>
    </r>
    <r>
      <rPr>
        <sz val="10"/>
        <color rgb="FFFF0000"/>
        <rFont val="Arial"/>
        <family val="2"/>
      </rPr>
      <t xml:space="preserve">
Staged Payment 1
DUE 15 JUN 2021
but prior to any sale of property </t>
    </r>
  </si>
  <si>
    <r>
      <rPr>
        <b/>
        <sz val="10"/>
        <color rgb="FF0000FF"/>
        <rFont val="Arial"/>
        <family val="2"/>
      </rPr>
      <t xml:space="preserve">N </t>
    </r>
    <r>
      <rPr>
        <b/>
        <sz val="10"/>
        <rFont val="Arial"/>
        <family val="2"/>
      </rPr>
      <t>1359</t>
    </r>
    <r>
      <rPr>
        <sz val="10"/>
        <rFont val="Arial"/>
        <family val="2"/>
      </rPr>
      <t xml:space="preserve">
</t>
    </r>
    <r>
      <rPr>
        <sz val="10"/>
        <color rgb="FF0000FF"/>
        <rFont val="Arial"/>
        <family val="2"/>
      </rPr>
      <t xml:space="preserve">
</t>
    </r>
    <r>
      <rPr>
        <sz val="10"/>
        <color rgb="FFFF0000"/>
        <rFont val="Arial"/>
        <family val="2"/>
      </rPr>
      <t>Staged Payment No 2</t>
    </r>
    <r>
      <rPr>
        <sz val="10"/>
        <color rgb="FF0000FF"/>
        <rFont val="Arial"/>
        <family val="2"/>
      </rPr>
      <t xml:space="preserve">
</t>
    </r>
    <r>
      <rPr>
        <sz val="10"/>
        <color rgb="FFFF0000"/>
        <rFont val="Arial"/>
        <family val="2"/>
      </rPr>
      <t>DUE 15 JUNE 2021</t>
    </r>
    <r>
      <rPr>
        <sz val="11"/>
        <color rgb="FFFF0000"/>
        <rFont val="Arial"/>
        <family val="2"/>
      </rPr>
      <t xml:space="preserve"> 
</t>
    </r>
    <r>
      <rPr>
        <sz val="10"/>
        <color rgb="FFFF0000"/>
        <rFont val="Arial"/>
        <family val="2"/>
      </rPr>
      <t xml:space="preserve">but prior to any sale of property </t>
    </r>
  </si>
  <si>
    <r>
      <rPr>
        <strike/>
        <sz val="10"/>
        <rFont val="Arial"/>
        <family val="2"/>
      </rPr>
      <t>Mar-2018</t>
    </r>
    <r>
      <rPr>
        <sz val="10"/>
        <rFont val="Arial"/>
        <family val="2"/>
      </rPr>
      <t xml:space="preserve">
Planning Reg 2018-2019
</t>
    </r>
    <r>
      <rPr>
        <sz val="10"/>
        <color rgb="FFFF0000"/>
        <rFont val="Arial"/>
        <family val="2"/>
      </rPr>
      <t>2019-2020</t>
    </r>
    <r>
      <rPr>
        <sz val="10"/>
        <rFont val="Arial"/>
        <family val="2"/>
      </rPr>
      <t xml:space="preserve">
</t>
    </r>
  </si>
  <si>
    <r>
      <t xml:space="preserve">Planning Reg 2018-19
</t>
    </r>
    <r>
      <rPr>
        <sz val="10"/>
        <color rgb="FFFF0000"/>
        <rFont val="Arial"/>
        <family val="2"/>
      </rPr>
      <t>2020-2021</t>
    </r>
  </si>
  <si>
    <r>
      <t xml:space="preserve">7/02/2019
</t>
    </r>
    <r>
      <rPr>
        <sz val="10"/>
        <color rgb="FFFF0000"/>
        <rFont val="Arial"/>
        <family val="2"/>
      </rPr>
      <t>2/11/2020</t>
    </r>
  </si>
  <si>
    <r>
      <t xml:space="preserve">18/09/2017
</t>
    </r>
    <r>
      <rPr>
        <sz val="10"/>
        <color rgb="FFFF5050"/>
        <rFont val="Arial"/>
        <family val="2"/>
      </rPr>
      <t>27/03/2020</t>
    </r>
  </si>
  <si>
    <r>
      <t xml:space="preserve">Planning Reg 2017-2018
</t>
    </r>
    <r>
      <rPr>
        <sz val="10"/>
        <color rgb="FFFF5050"/>
        <rFont val="Arial"/>
        <family val="2"/>
      </rPr>
      <t>2019-2020</t>
    </r>
  </si>
  <si>
    <r>
      <rPr>
        <b/>
        <sz val="10"/>
        <color rgb="FF0000FF"/>
        <rFont val="Arial"/>
        <family val="2"/>
      </rPr>
      <t xml:space="preserve">N </t>
    </r>
    <r>
      <rPr>
        <b/>
        <sz val="10"/>
        <rFont val="Arial"/>
        <family val="2"/>
      </rPr>
      <t>1255</t>
    </r>
    <r>
      <rPr>
        <sz val="10"/>
        <rFont val="Arial"/>
        <family val="2"/>
      </rPr>
      <t xml:space="preserve">
</t>
    </r>
    <r>
      <rPr>
        <sz val="10"/>
        <color rgb="FFFF0000"/>
        <rFont val="Arial"/>
        <family val="2"/>
      </rPr>
      <t>Final Certificate 4/03/2020
Staged Payment 1
DUE 15 JUNE 2021 
but prior to any sale of property</t>
    </r>
  </si>
  <si>
    <r>
      <rPr>
        <b/>
        <sz val="10"/>
        <color rgb="FF0000FF"/>
        <rFont val="Arial"/>
        <family val="2"/>
      </rPr>
      <t xml:space="preserve">N </t>
    </r>
    <r>
      <rPr>
        <b/>
        <sz val="10"/>
        <rFont val="Arial"/>
        <family val="2"/>
      </rPr>
      <t xml:space="preserve">1489
</t>
    </r>
    <r>
      <rPr>
        <sz val="9"/>
        <color rgb="FFFF0000"/>
        <rFont val="Arial"/>
        <family val="2"/>
      </rPr>
      <t>PS21/0003 approved 17/03/2021</t>
    </r>
    <r>
      <rPr>
        <b/>
        <sz val="10"/>
        <rFont val="Arial"/>
        <family val="2"/>
      </rPr>
      <t xml:space="preserve">
</t>
    </r>
    <r>
      <rPr>
        <sz val="10"/>
        <color rgb="FFFF0000"/>
        <rFont val="Arial"/>
        <family val="2"/>
      </rPr>
      <t>DUE 1 July 2021</t>
    </r>
    <r>
      <rPr>
        <b/>
        <sz val="12"/>
        <color rgb="FFFF0000"/>
        <rFont val="Arial"/>
        <family val="2"/>
      </rPr>
      <t xml:space="preserve"> </t>
    </r>
    <r>
      <rPr>
        <b/>
        <sz val="10"/>
        <color rgb="FFFF0000"/>
        <rFont val="Arial"/>
        <family val="2"/>
      </rPr>
      <t xml:space="preserve">
</t>
    </r>
    <r>
      <rPr>
        <sz val="10"/>
        <color rgb="FFFF0000"/>
        <rFont val="Arial"/>
        <family val="2"/>
      </rPr>
      <t xml:space="preserve">but prior to any sale of property </t>
    </r>
  </si>
  <si>
    <r>
      <rPr>
        <b/>
        <sz val="10"/>
        <color rgb="FF0000FF"/>
        <rFont val="Arial"/>
        <family val="2"/>
      </rPr>
      <t xml:space="preserve">N </t>
    </r>
    <r>
      <rPr>
        <b/>
        <sz val="10"/>
        <rFont val="Arial"/>
        <family val="2"/>
      </rPr>
      <t xml:space="preserve">1288
</t>
    </r>
    <r>
      <rPr>
        <sz val="10"/>
        <color rgb="FFFF0000"/>
        <rFont val="Arial"/>
        <family val="2"/>
      </rPr>
      <t xml:space="preserve">STAGED PAYMENT 4
DUE 15 JUNE 2021 </t>
    </r>
    <r>
      <rPr>
        <b/>
        <sz val="10"/>
        <color rgb="FFFF0000"/>
        <rFont val="Arial"/>
        <family val="2"/>
      </rPr>
      <t xml:space="preserve">
</t>
    </r>
    <r>
      <rPr>
        <sz val="10"/>
        <color rgb="FFFF0000"/>
        <rFont val="Arial"/>
        <family val="2"/>
      </rPr>
      <t>but prior to any sale of property</t>
    </r>
  </si>
  <si>
    <r>
      <t xml:space="preserve">13/05/2019
</t>
    </r>
    <r>
      <rPr>
        <sz val="10"/>
        <color rgb="FFFF0000"/>
        <rFont val="Arial"/>
        <family val="2"/>
      </rPr>
      <t>27/03/2020</t>
    </r>
  </si>
  <si>
    <r>
      <t>Planning Reg 2018-19</t>
    </r>
    <r>
      <rPr>
        <sz val="10"/>
        <color rgb="FFFF5050"/>
        <rFont val="Arial"/>
        <family val="2"/>
      </rPr>
      <t xml:space="preserve"> 2019-20</t>
    </r>
    <r>
      <rPr>
        <sz val="10"/>
        <rFont val="Arial"/>
        <family val="2"/>
      </rPr>
      <t xml:space="preserve">
</t>
    </r>
  </si>
  <si>
    <r>
      <rPr>
        <b/>
        <sz val="10"/>
        <color rgb="FF0000FF"/>
        <rFont val="Arial"/>
        <family val="2"/>
      </rPr>
      <t xml:space="preserve">N </t>
    </r>
    <r>
      <rPr>
        <b/>
        <sz val="10"/>
        <rFont val="Arial"/>
        <family val="2"/>
      </rPr>
      <t xml:space="preserve">1438
</t>
    </r>
    <r>
      <rPr>
        <sz val="10"/>
        <color rgb="FFFF0000"/>
        <rFont val="Arial"/>
        <family val="2"/>
      </rPr>
      <t xml:space="preserve">Final Inspeciton Certificate issued 13/02/2020
Staged Payment 1
DUE 15 JUNE 2021
but prior to any sale of property </t>
    </r>
  </si>
  <si>
    <r>
      <rPr>
        <b/>
        <sz val="10"/>
        <color rgb="FF0000FF"/>
        <rFont val="Arial"/>
        <family val="2"/>
      </rPr>
      <t xml:space="preserve">N </t>
    </r>
    <r>
      <rPr>
        <b/>
        <sz val="10"/>
        <rFont val="Arial"/>
        <family val="2"/>
      </rPr>
      <t xml:space="preserve">1308
</t>
    </r>
    <r>
      <rPr>
        <sz val="8"/>
        <color rgb="FF0000FF"/>
        <rFont val="Arial"/>
        <family val="2"/>
      </rPr>
      <t xml:space="preserve">Negotiated
</t>
    </r>
    <r>
      <rPr>
        <sz val="8"/>
        <color rgb="FFFF0000"/>
        <rFont val="Arial"/>
        <family val="2"/>
      </rPr>
      <t>PC18/0729 CoC 18/09/2020
STAGED PAYMENT 1
 DUE 1 JULY 2021
but prior to any sale of property</t>
    </r>
  </si>
  <si>
    <r>
      <rPr>
        <strike/>
        <sz val="10"/>
        <rFont val="Arial"/>
        <family val="2"/>
      </rPr>
      <t>5/03/2018</t>
    </r>
    <r>
      <rPr>
        <sz val="10"/>
        <rFont val="Arial"/>
        <family val="2"/>
      </rPr>
      <t xml:space="preserve">
19/04/2018
</t>
    </r>
    <r>
      <rPr>
        <sz val="10"/>
        <color rgb="FFFF0000"/>
        <rFont val="Arial"/>
        <family val="2"/>
      </rPr>
      <t>28/06/2021</t>
    </r>
  </si>
  <si>
    <r>
      <t xml:space="preserve">Planning Reg 2017-2018
</t>
    </r>
    <r>
      <rPr>
        <sz val="10"/>
        <color rgb="FFFF0000"/>
        <rFont val="Arial"/>
        <family val="2"/>
      </rPr>
      <t>2020-2021</t>
    </r>
  </si>
  <si>
    <r>
      <t xml:space="preserve">Planning Reg 2019-20
</t>
    </r>
    <r>
      <rPr>
        <sz val="10"/>
        <color rgb="FFFF0000"/>
        <rFont val="Arial"/>
        <family val="2"/>
      </rPr>
      <t xml:space="preserve"> 2020-21</t>
    </r>
  </si>
  <si>
    <r>
      <rPr>
        <b/>
        <sz val="10"/>
        <color rgb="FF0000FF"/>
        <rFont val="Arial"/>
        <family val="2"/>
      </rPr>
      <t xml:space="preserve">N </t>
    </r>
    <r>
      <rPr>
        <b/>
        <sz val="10"/>
        <rFont val="Arial"/>
        <family val="2"/>
      </rPr>
      <t>1507</t>
    </r>
    <r>
      <rPr>
        <sz val="10"/>
        <color rgb="FFFF0000"/>
        <rFont val="Arial"/>
        <family val="2"/>
      </rPr>
      <t xml:space="preserve">
Staged Payment 1
DUE 15 JUN 2021
but prior to any sale of property 
</t>
    </r>
  </si>
  <si>
    <r>
      <rPr>
        <b/>
        <sz val="10"/>
        <color rgb="FF0000FF"/>
        <rFont val="Arial"/>
        <family val="2"/>
      </rPr>
      <t xml:space="preserve">N </t>
    </r>
    <r>
      <rPr>
        <b/>
        <sz val="10"/>
        <rFont val="Arial"/>
        <family val="2"/>
      </rPr>
      <t xml:space="preserve">1629 
</t>
    </r>
    <r>
      <rPr>
        <b/>
        <sz val="10"/>
        <color rgb="FF0000FF"/>
        <rFont val="Arial"/>
        <family val="2"/>
      </rPr>
      <t xml:space="preserve">Applicable to Unit 13
</t>
    </r>
    <r>
      <rPr>
        <sz val="10"/>
        <color rgb="FFFF0000"/>
        <rFont val="Arial"/>
        <family val="2"/>
      </rPr>
      <t>Stage Payment 1</t>
    </r>
    <r>
      <rPr>
        <sz val="10"/>
        <rFont val="Arial"/>
        <family val="2"/>
      </rPr>
      <t xml:space="preserve">
</t>
    </r>
    <r>
      <rPr>
        <sz val="10"/>
        <color rgb="FFFF0000"/>
        <rFont val="Arial"/>
        <family val="2"/>
      </rPr>
      <t xml:space="preserve">DUE 1 JULY 2021
</t>
    </r>
    <r>
      <rPr>
        <i/>
        <sz val="10"/>
        <color rgb="FFFF0000"/>
        <rFont val="Arial"/>
        <family val="2"/>
      </rPr>
      <t>But prior to any sale of property</t>
    </r>
  </si>
  <si>
    <r>
      <rPr>
        <b/>
        <sz val="10"/>
        <color rgb="FF0000FF"/>
        <rFont val="Arial"/>
        <family val="2"/>
      </rPr>
      <t xml:space="preserve">N </t>
    </r>
    <r>
      <rPr>
        <b/>
        <sz val="10"/>
        <rFont val="Arial"/>
        <family val="2"/>
      </rPr>
      <t xml:space="preserve">1629 
</t>
    </r>
    <r>
      <rPr>
        <b/>
        <sz val="10"/>
        <color rgb="FF0000FF"/>
        <rFont val="Arial"/>
        <family val="2"/>
      </rPr>
      <t>Applicable to Unit 12</t>
    </r>
    <r>
      <rPr>
        <b/>
        <sz val="10"/>
        <rFont val="Arial"/>
        <family val="2"/>
      </rPr>
      <t xml:space="preserve">
</t>
    </r>
    <r>
      <rPr>
        <sz val="10"/>
        <color rgb="FFFF0000"/>
        <rFont val="Arial"/>
        <family val="2"/>
      </rPr>
      <t>DUE 1 JULY 2021</t>
    </r>
  </si>
  <si>
    <r>
      <rPr>
        <b/>
        <sz val="10"/>
        <color rgb="FF0000FF"/>
        <rFont val="Arial"/>
        <family val="2"/>
      </rPr>
      <t xml:space="preserve">N </t>
    </r>
    <r>
      <rPr>
        <b/>
        <sz val="10"/>
        <rFont val="Arial"/>
        <family val="2"/>
      </rPr>
      <t xml:space="preserve">1345
</t>
    </r>
    <r>
      <rPr>
        <sz val="10"/>
        <color rgb="FFFF0000"/>
        <rFont val="Arial"/>
        <family val="2"/>
      </rPr>
      <t xml:space="preserve">
FINAL Stage Pmt 5 (Amended COVID-19)
DUE: 30 JUNE 2021
but prior to any sale of property </t>
    </r>
  </si>
  <si>
    <r>
      <rPr>
        <b/>
        <sz val="10"/>
        <color rgb="FF0000FF"/>
        <rFont val="Arial"/>
        <family val="2"/>
      </rPr>
      <t xml:space="preserve">N </t>
    </r>
    <r>
      <rPr>
        <b/>
        <sz val="10"/>
        <rFont val="Arial"/>
        <family val="2"/>
      </rPr>
      <t>1188</t>
    </r>
    <r>
      <rPr>
        <sz val="10"/>
        <color rgb="FFFF0000"/>
        <rFont val="Arial"/>
        <family val="2"/>
      </rPr>
      <t xml:space="preserve">
</t>
    </r>
    <r>
      <rPr>
        <sz val="8"/>
        <color rgb="FFFF0000"/>
        <rFont val="Arial"/>
        <family val="2"/>
      </rPr>
      <t xml:space="preserve">
Staged PAYMENT No.3 
DUE 15 JUNE 2021 </t>
    </r>
    <r>
      <rPr>
        <sz val="10"/>
        <color rgb="FFFF0000"/>
        <rFont val="Arial"/>
        <family val="2"/>
      </rPr>
      <t xml:space="preserve">
but prior to any sale of property</t>
    </r>
  </si>
  <si>
    <r>
      <t xml:space="preserve">11/02/2019
</t>
    </r>
    <r>
      <rPr>
        <sz val="10"/>
        <color rgb="FFFF0000"/>
        <rFont val="Arial"/>
        <family val="2"/>
      </rPr>
      <t>26/05/2021</t>
    </r>
  </si>
  <si>
    <r>
      <t xml:space="preserve">Planning Reg 2018-19
</t>
    </r>
    <r>
      <rPr>
        <sz val="10"/>
        <color rgb="FFFF0000"/>
        <rFont val="Arial"/>
        <family val="2"/>
      </rPr>
      <t>2019-2020</t>
    </r>
  </si>
  <si>
    <r>
      <rPr>
        <b/>
        <sz val="10"/>
        <color rgb="FF0000FF"/>
        <rFont val="Arial"/>
        <family val="2"/>
      </rPr>
      <t xml:space="preserve">N </t>
    </r>
    <r>
      <rPr>
        <b/>
        <sz val="10"/>
        <rFont val="Arial"/>
        <family val="2"/>
      </rPr>
      <t xml:space="preserve">1413
</t>
    </r>
    <r>
      <rPr>
        <sz val="10"/>
        <color rgb="FFFF0000"/>
        <rFont val="Arial"/>
        <family val="2"/>
      </rPr>
      <t>Final Inspection Certificate issued 18/03/2020</t>
    </r>
    <r>
      <rPr>
        <i/>
        <sz val="10"/>
        <color rgb="FFFF0000"/>
        <rFont val="Arial"/>
        <family val="2"/>
      </rPr>
      <t xml:space="preserve">
Staged Payment 1
DUE 1 JULY 2021
but prior to any sale of property </t>
    </r>
  </si>
  <si>
    <r>
      <rPr>
        <b/>
        <sz val="10"/>
        <color rgb="FF0000FF"/>
        <rFont val="Arial"/>
        <family val="2"/>
      </rPr>
      <t xml:space="preserve">N </t>
    </r>
    <r>
      <rPr>
        <b/>
        <sz val="10"/>
        <rFont val="Arial"/>
        <family val="2"/>
      </rPr>
      <t>1631</t>
    </r>
    <r>
      <rPr>
        <sz val="10"/>
        <rFont val="Arial"/>
        <family val="2"/>
      </rPr>
      <t xml:space="preserve">
</t>
    </r>
    <r>
      <rPr>
        <sz val="10"/>
        <color rgb="FFFF0000"/>
        <rFont val="Arial"/>
        <family val="2"/>
      </rPr>
      <t>Stage Payment 1
DUE 1 JULY 2021
But prior to any sale of property</t>
    </r>
  </si>
  <si>
    <r>
      <rPr>
        <b/>
        <sz val="10"/>
        <color rgb="FF0000FF"/>
        <rFont val="Arial"/>
        <family val="2"/>
      </rPr>
      <t xml:space="preserve">N </t>
    </r>
    <r>
      <rPr>
        <b/>
        <sz val="10"/>
        <rFont val="Arial"/>
        <family val="2"/>
      </rPr>
      <t xml:space="preserve">1554
</t>
    </r>
    <r>
      <rPr>
        <sz val="10"/>
        <color rgb="FFFF0000"/>
        <rFont val="Arial"/>
        <family val="2"/>
      </rPr>
      <t>RAP20/0024 MC Use commenced 12/07/2021
Final Inspect Cert 15/01/2021
DUE 6 AUGUST 2021</t>
    </r>
  </si>
  <si>
    <r>
      <rPr>
        <b/>
        <sz val="10"/>
        <color rgb="FF0000FF"/>
        <rFont val="Arial"/>
        <family val="2"/>
      </rPr>
      <t xml:space="preserve">N </t>
    </r>
    <r>
      <rPr>
        <b/>
        <sz val="10"/>
        <rFont val="Arial"/>
        <family val="2"/>
      </rPr>
      <t xml:space="preserve">1632
</t>
    </r>
    <r>
      <rPr>
        <sz val="10"/>
        <color rgb="FFFF0000"/>
        <rFont val="Arial"/>
        <family val="2"/>
      </rPr>
      <t>Stage Payment 1
DUE 6 AUG 2021</t>
    </r>
    <r>
      <rPr>
        <sz val="12"/>
        <color rgb="FFFF0000"/>
        <rFont val="Arial"/>
        <family val="2"/>
      </rPr>
      <t xml:space="preserve">
</t>
    </r>
    <r>
      <rPr>
        <sz val="10"/>
        <color rgb="FFFF0000"/>
        <rFont val="Arial"/>
        <family val="2"/>
      </rPr>
      <t>Stage Payment 2
DUE 15 DEC 2021
FINALStage Payment 3
DUE 15 JUNE 2022
But prior to any sale of property</t>
    </r>
  </si>
  <si>
    <r>
      <t xml:space="preserve">Planning Reg 2018-19
</t>
    </r>
    <r>
      <rPr>
        <sz val="10"/>
        <color rgb="FF0000FF"/>
        <rFont val="Arial"/>
        <family val="2"/>
      </rPr>
      <t>2019-20</t>
    </r>
  </si>
  <si>
    <t xml:space="preserve"> 30/08/2019</t>
  </si>
  <si>
    <r>
      <rPr>
        <b/>
        <sz val="10"/>
        <color rgb="FF0000FF"/>
        <rFont val="Arial"/>
        <family val="2"/>
      </rPr>
      <t xml:space="preserve">N </t>
    </r>
    <r>
      <rPr>
        <b/>
        <sz val="10"/>
        <rFont val="Arial"/>
        <family val="2"/>
      </rPr>
      <t>1399</t>
    </r>
    <r>
      <rPr>
        <sz val="10"/>
        <rFont val="Arial"/>
        <family val="2"/>
      </rPr>
      <t xml:space="preserve">
</t>
    </r>
    <r>
      <rPr>
        <sz val="10"/>
        <color rgb="FFFF0000"/>
        <rFont val="Arial"/>
        <family val="2"/>
      </rPr>
      <t>COMPLETED  - Final Inspection Cetificate 30/07/2019</t>
    </r>
    <r>
      <rPr>
        <sz val="10"/>
        <color rgb="FF0000FF"/>
        <rFont val="Arial"/>
        <family val="2"/>
      </rPr>
      <t xml:space="preserve">
</t>
    </r>
    <r>
      <rPr>
        <sz val="10"/>
        <color rgb="FFFF0000"/>
        <rFont val="Arial"/>
        <family val="2"/>
      </rPr>
      <t xml:space="preserve">FINAL STAGED PAYMENT 3
DUE 15 DEC 2021
</t>
    </r>
    <r>
      <rPr>
        <u/>
        <sz val="10"/>
        <color rgb="FFFF0000"/>
        <rFont val="Arial"/>
        <family val="2"/>
      </rPr>
      <t>but</t>
    </r>
    <r>
      <rPr>
        <sz val="10"/>
        <color rgb="FFFF0000"/>
        <rFont val="Arial"/>
        <family val="2"/>
      </rPr>
      <t xml:space="preserve"> prior to any sale of property </t>
    </r>
  </si>
  <si>
    <r>
      <rPr>
        <b/>
        <sz val="10"/>
        <color rgb="FF0000FF"/>
        <rFont val="Arial"/>
        <family val="2"/>
      </rPr>
      <t xml:space="preserve">N </t>
    </r>
    <r>
      <rPr>
        <b/>
        <sz val="10"/>
        <rFont val="Arial"/>
        <family val="2"/>
      </rPr>
      <t xml:space="preserve">1298
</t>
    </r>
    <r>
      <rPr>
        <sz val="10"/>
        <color rgb="FFFF0000"/>
        <rFont val="Arial"/>
        <family val="2"/>
      </rPr>
      <t>Balance indexation
 2017-18 to 2021-2022</t>
    </r>
  </si>
  <si>
    <t>Planning Reg 2022-2023
With compound interest from 7/01/2023</t>
  </si>
  <si>
    <r>
      <rPr>
        <b/>
        <sz val="10"/>
        <color rgb="FF0000FF"/>
        <rFont val="Arial"/>
        <family val="2"/>
      </rPr>
      <t xml:space="preserve">N </t>
    </r>
    <r>
      <rPr>
        <b/>
        <sz val="10"/>
        <rFont val="Arial"/>
        <family val="2"/>
      </rPr>
      <t xml:space="preserve">1606
</t>
    </r>
    <r>
      <rPr>
        <sz val="10"/>
        <color rgb="FFFF0000"/>
        <rFont val="Arial"/>
        <family val="2"/>
      </rPr>
      <t>Final Inspection Cert issued 28/03/2022
DUE 7 APRIL 2023 
Not paid &amp; Transferred to Rates for recovery</t>
    </r>
  </si>
  <si>
    <r>
      <rPr>
        <b/>
        <sz val="10"/>
        <color rgb="FF0000FF"/>
        <rFont val="Arial"/>
        <family val="2"/>
      </rPr>
      <t xml:space="preserve">N </t>
    </r>
    <r>
      <rPr>
        <b/>
        <sz val="10"/>
        <rFont val="Arial"/>
        <family val="2"/>
      </rPr>
      <t xml:space="preserve">1490
</t>
    </r>
    <r>
      <rPr>
        <sz val="10"/>
        <color rgb="FFFF0000"/>
        <rFont val="Arial"/>
        <family val="2"/>
      </rPr>
      <t>Final Inspection Cert issued 07/01/2021
DUE 7 APRIL 2023</t>
    </r>
    <r>
      <rPr>
        <b/>
        <sz val="10"/>
        <rFont val="Arial"/>
        <family val="2"/>
      </rPr>
      <t xml:space="preserve"> 
</t>
    </r>
    <r>
      <rPr>
        <sz val="10"/>
        <color rgb="FFFF0000"/>
        <rFont val="Arial"/>
        <family val="2"/>
      </rPr>
      <t>Not paid &amp; Transferred to Rates for recovery</t>
    </r>
  </si>
  <si>
    <r>
      <rPr>
        <b/>
        <sz val="10"/>
        <color rgb="FF0000FF"/>
        <rFont val="Arial"/>
        <family val="2"/>
      </rPr>
      <t xml:space="preserve">N </t>
    </r>
    <r>
      <rPr>
        <b/>
        <sz val="10"/>
        <rFont val="Arial"/>
        <family val="2"/>
      </rPr>
      <t xml:space="preserve">1724
</t>
    </r>
    <r>
      <rPr>
        <sz val="10"/>
        <color rgb="FFFF0000"/>
        <rFont val="Arial"/>
        <family val="2"/>
      </rPr>
      <t>Final Inspection Cert issued 
12/12/2022
DUE 7 APRIL 2023 
Not paid &amp; Transferred to Rates for recovery</t>
    </r>
  </si>
  <si>
    <t>Planning Reg 2022-2023
With compound interest from 28/03/2022</t>
  </si>
  <si>
    <t>Planning Reg 2022-2023
With compound interest from 12/12/2022</t>
  </si>
  <si>
    <t>charges update journal 1769849 &amp; GL posting journal 1769850</t>
  </si>
  <si>
    <t>charges update journal 1769851 &amp; GL posting journal 1769852</t>
  </si>
  <si>
    <t>charges update journal  1769853 &amp; GL posting journal 1769854</t>
  </si>
  <si>
    <r>
      <rPr>
        <b/>
        <sz val="10"/>
        <color rgb="FF0000FF"/>
        <rFont val="Arial"/>
        <family val="2"/>
      </rPr>
      <t xml:space="preserve">N </t>
    </r>
    <r>
      <rPr>
        <b/>
        <sz val="10"/>
        <rFont val="Arial"/>
        <family val="2"/>
      </rPr>
      <t xml:space="preserve">1399
</t>
    </r>
    <r>
      <rPr>
        <sz val="10"/>
        <color rgb="FFFF0000"/>
        <rFont val="Arial"/>
        <family val="2"/>
      </rPr>
      <t xml:space="preserve">COMPLETED  - Final Inspection Cetificate 30/07/2019
</t>
    </r>
    <r>
      <rPr>
        <sz val="10"/>
        <color rgb="FF0000FF"/>
        <rFont val="Arial"/>
        <family val="2"/>
      </rPr>
      <t xml:space="preserve">
</t>
    </r>
    <r>
      <rPr>
        <sz val="10"/>
        <color rgb="FFFF0000"/>
        <rFont val="Arial"/>
        <family val="2"/>
      </rPr>
      <t xml:space="preserve">FINAL STAGED PAYMENT 3
DUE 15 DEC 2021
</t>
    </r>
    <r>
      <rPr>
        <u/>
        <sz val="10"/>
        <color rgb="FFFF0000"/>
        <rFont val="Arial"/>
        <family val="2"/>
      </rPr>
      <t>but</t>
    </r>
    <r>
      <rPr>
        <sz val="10"/>
        <color rgb="FFFF0000"/>
        <rFont val="Arial"/>
        <family val="2"/>
      </rPr>
      <t xml:space="preserve"> prior to any sale of property </t>
    </r>
  </si>
  <si>
    <r>
      <rPr>
        <b/>
        <sz val="10"/>
        <color rgb="FF0000FF"/>
        <rFont val="Arial"/>
        <family val="2"/>
      </rPr>
      <t xml:space="preserve">N </t>
    </r>
    <r>
      <rPr>
        <b/>
        <sz val="10"/>
        <rFont val="Arial"/>
        <family val="2"/>
      </rPr>
      <t xml:space="preserve">1438
</t>
    </r>
    <r>
      <rPr>
        <sz val="10"/>
        <color rgb="FFFF0000"/>
        <rFont val="Arial"/>
        <family val="2"/>
      </rPr>
      <t>Final Inspeciton Certificate issued 13/02/2020</t>
    </r>
    <r>
      <rPr>
        <b/>
        <sz val="10"/>
        <color rgb="FFFF0000"/>
        <rFont val="Arial"/>
        <family val="2"/>
      </rPr>
      <t xml:space="preserve">
</t>
    </r>
    <r>
      <rPr>
        <sz val="10"/>
        <color rgb="FFFF0000"/>
        <rFont val="Arial"/>
        <family val="2"/>
      </rPr>
      <t>Staged Payment 2 &amp; 3</t>
    </r>
    <r>
      <rPr>
        <b/>
        <sz val="10"/>
        <color rgb="FFFF0000"/>
        <rFont val="Arial"/>
        <family val="2"/>
      </rPr>
      <t xml:space="preserve">
</t>
    </r>
    <r>
      <rPr>
        <sz val="10"/>
        <color rgb="FFFF0000"/>
        <rFont val="Arial"/>
        <family val="2"/>
      </rPr>
      <t xml:space="preserve">Due prior to any sale of property </t>
    </r>
  </si>
  <si>
    <t>CP
Web n/a</t>
  </si>
  <si>
    <r>
      <rPr>
        <b/>
        <sz val="10"/>
        <color rgb="FF0000FF"/>
        <rFont val="Arial"/>
        <family val="2"/>
      </rPr>
      <t xml:space="preserve">N </t>
    </r>
    <r>
      <rPr>
        <b/>
        <sz val="10"/>
        <rFont val="Arial"/>
        <family val="2"/>
      </rPr>
      <t xml:space="preserve">1440
</t>
    </r>
    <r>
      <rPr>
        <sz val="10"/>
        <color rgb="FFFF0000"/>
        <rFont val="Arial"/>
        <family val="2"/>
      </rPr>
      <t xml:space="preserve">
Stg Pmt 1 - $1,470.00
</t>
    </r>
  </si>
  <si>
    <r>
      <rPr>
        <b/>
        <sz val="10"/>
        <color rgb="FF0000FF"/>
        <rFont val="Arial"/>
        <family val="2"/>
      </rPr>
      <t xml:space="preserve">N </t>
    </r>
    <r>
      <rPr>
        <b/>
        <sz val="10"/>
        <rFont val="Arial"/>
        <family val="2"/>
      </rPr>
      <t xml:space="preserve">1535
</t>
    </r>
    <r>
      <rPr>
        <sz val="10"/>
        <color rgb="FFFF0000"/>
        <rFont val="Arial"/>
        <family val="2"/>
      </rPr>
      <t xml:space="preserve">
Staged Payment 2
DUE 15 DEC 2021
but prior to any sale of property </t>
    </r>
  </si>
  <si>
    <r>
      <rPr>
        <b/>
        <sz val="10"/>
        <color rgb="FF0000FF"/>
        <rFont val="Arial"/>
        <family val="2"/>
      </rPr>
      <t xml:space="preserve">N </t>
    </r>
    <r>
      <rPr>
        <b/>
        <sz val="10"/>
        <rFont val="Arial"/>
        <family val="2"/>
      </rPr>
      <t xml:space="preserve">1494
</t>
    </r>
    <r>
      <rPr>
        <sz val="10"/>
        <color rgb="FFFF0000"/>
        <rFont val="Arial"/>
        <family val="2"/>
      </rPr>
      <t xml:space="preserve">
Staged Payment 2
DUE 15 DEC 2021
but prior to any sale of property </t>
    </r>
  </si>
  <si>
    <r>
      <t xml:space="preserve">Planning Reg 2019-20
</t>
    </r>
    <r>
      <rPr>
        <sz val="10"/>
        <color rgb="FFFF0000"/>
        <rFont val="Arial"/>
        <family val="2"/>
      </rPr>
      <t>2020-21</t>
    </r>
  </si>
  <si>
    <r>
      <rPr>
        <b/>
        <sz val="10"/>
        <color rgb="FF0000FF"/>
        <rFont val="Arial"/>
        <family val="2"/>
      </rPr>
      <t xml:space="preserve">N </t>
    </r>
    <r>
      <rPr>
        <b/>
        <sz val="10"/>
        <rFont val="Arial"/>
        <family val="2"/>
      </rPr>
      <t xml:space="preserve">1507
</t>
    </r>
    <r>
      <rPr>
        <sz val="10"/>
        <color rgb="FFFF0000"/>
        <rFont val="Arial"/>
        <family val="2"/>
      </rPr>
      <t xml:space="preserve">
Staged Payment 2
DUE 15 DEC 2021
but prior to any sale of property</t>
    </r>
  </si>
  <si>
    <r>
      <rPr>
        <b/>
        <sz val="10"/>
        <color rgb="FF0000FF"/>
        <rFont val="Arial"/>
        <family val="2"/>
      </rPr>
      <t xml:space="preserve">N </t>
    </r>
    <r>
      <rPr>
        <b/>
        <sz val="10"/>
        <rFont val="Arial"/>
        <family val="2"/>
      </rPr>
      <t xml:space="preserve">1413
</t>
    </r>
    <r>
      <rPr>
        <sz val="10"/>
        <color rgb="FFFF0000"/>
        <rFont val="Arial"/>
        <family val="2"/>
      </rPr>
      <t xml:space="preserve">Final Inspection Certificate issued 18/03/2020
</t>
    </r>
    <r>
      <rPr>
        <i/>
        <sz val="10"/>
        <color rgb="FFFF0000"/>
        <rFont val="Arial"/>
        <family val="2"/>
      </rPr>
      <t xml:space="preserve">Staged Payment 2
DUE 15 DEC 2021
but prior to any sale of property </t>
    </r>
  </si>
  <si>
    <r>
      <rPr>
        <b/>
        <sz val="10"/>
        <color rgb="FF0000FF"/>
        <rFont val="Arial"/>
        <family val="2"/>
      </rPr>
      <t xml:space="preserve">N </t>
    </r>
    <r>
      <rPr>
        <b/>
        <sz val="10"/>
        <rFont val="Arial"/>
        <family val="2"/>
      </rPr>
      <t xml:space="preserve">1502
</t>
    </r>
    <r>
      <rPr>
        <sz val="10"/>
        <color rgb="FFFF0000"/>
        <rFont val="Arial"/>
        <family val="2"/>
      </rPr>
      <t xml:space="preserve">Staged Payment 2
DUE 15 DEC 2021
but prior to any sale of property </t>
    </r>
  </si>
  <si>
    <r>
      <rPr>
        <b/>
        <sz val="10"/>
        <color rgb="FF0000FF"/>
        <rFont val="Arial"/>
        <family val="2"/>
      </rPr>
      <t xml:space="preserve">N </t>
    </r>
    <r>
      <rPr>
        <b/>
        <sz val="10"/>
        <rFont val="Arial"/>
        <family val="2"/>
      </rPr>
      <t xml:space="preserve">1458
</t>
    </r>
    <r>
      <rPr>
        <sz val="10"/>
        <color rgb="FFFF0000"/>
        <rFont val="Arial"/>
        <family val="2"/>
      </rPr>
      <t xml:space="preserve">Final Inspection Certificate issued 27/04/2020
</t>
    </r>
    <r>
      <rPr>
        <sz val="10"/>
        <color rgb="FFFF5050"/>
        <rFont val="Arial"/>
        <family val="2"/>
      </rPr>
      <t xml:space="preserve">Staged Payment 2
DUE 15 DEC 2021
</t>
    </r>
    <r>
      <rPr>
        <u/>
        <sz val="10"/>
        <color rgb="FFFF5050"/>
        <rFont val="Arial"/>
        <family val="2"/>
      </rPr>
      <t>but</t>
    </r>
    <r>
      <rPr>
        <sz val="10"/>
        <color rgb="FFFF5050"/>
        <rFont val="Arial"/>
        <family val="2"/>
      </rPr>
      <t xml:space="preserve"> prior to any sale of property </t>
    </r>
  </si>
  <si>
    <r>
      <rPr>
        <b/>
        <sz val="10"/>
        <color rgb="FF0000FF"/>
        <rFont val="Arial"/>
        <family val="2"/>
      </rPr>
      <t xml:space="preserve">N </t>
    </r>
    <r>
      <rPr>
        <b/>
        <sz val="10"/>
        <rFont val="Arial"/>
        <family val="2"/>
      </rPr>
      <t xml:space="preserve">1436
</t>
    </r>
    <r>
      <rPr>
        <sz val="10"/>
        <color rgb="FFFF0000"/>
        <rFont val="Arial"/>
        <family val="2"/>
      </rPr>
      <t xml:space="preserve">Final Inspection Certificate 11/08/2020
Staged Payment 2
DUE 15 DEC 2021
but prior to any sale of property </t>
    </r>
  </si>
  <si>
    <r>
      <rPr>
        <b/>
        <sz val="10"/>
        <color rgb="FF0000FF"/>
        <rFont val="Arial"/>
        <family val="2"/>
      </rPr>
      <t xml:space="preserve">N </t>
    </r>
    <r>
      <rPr>
        <b/>
        <sz val="10"/>
        <rFont val="Arial"/>
        <family val="2"/>
      </rPr>
      <t xml:space="preserve">1399
</t>
    </r>
    <r>
      <rPr>
        <sz val="10"/>
        <color rgb="FFFF0000"/>
        <rFont val="Arial"/>
        <family val="2"/>
      </rPr>
      <t xml:space="preserve">Part STAGED PAYMENT 3
</t>
    </r>
    <r>
      <rPr>
        <u/>
        <sz val="10"/>
        <color rgb="FFFF0000"/>
        <rFont val="Arial"/>
        <family val="2"/>
      </rPr>
      <t>but</t>
    </r>
    <r>
      <rPr>
        <sz val="10"/>
        <color rgb="FFFF0000"/>
        <rFont val="Arial"/>
        <family val="2"/>
      </rPr>
      <t xml:space="preserve"> prior to any sale of property </t>
    </r>
  </si>
  <si>
    <r>
      <rPr>
        <b/>
        <sz val="10"/>
        <color rgb="FF0000FF"/>
        <rFont val="Arial"/>
        <family val="2"/>
      </rPr>
      <t xml:space="preserve">N </t>
    </r>
    <r>
      <rPr>
        <b/>
        <sz val="10"/>
        <rFont val="Arial"/>
        <family val="2"/>
      </rPr>
      <t xml:space="preserve">1255
</t>
    </r>
    <r>
      <rPr>
        <sz val="10"/>
        <color rgb="FFFF0000"/>
        <rFont val="Arial"/>
        <family val="2"/>
      </rPr>
      <t xml:space="preserve">
Final Inspection Certificate issued 4/03/2020</t>
    </r>
    <r>
      <rPr>
        <b/>
        <sz val="10"/>
        <color rgb="FFFF0000"/>
        <rFont val="Arial"/>
        <family val="2"/>
      </rPr>
      <t xml:space="preserve">
</t>
    </r>
    <r>
      <rPr>
        <sz val="10"/>
        <color rgb="FFFF0000"/>
        <rFont val="Arial"/>
        <family val="2"/>
      </rPr>
      <t>Staged Payment 2
DUE 15 DEC 2021
 but prior to any sale of property</t>
    </r>
  </si>
  <si>
    <r>
      <rPr>
        <b/>
        <sz val="10"/>
        <color rgb="FF0000FF"/>
        <rFont val="Arial"/>
        <family val="2"/>
      </rPr>
      <t xml:space="preserve">N </t>
    </r>
    <r>
      <rPr>
        <b/>
        <sz val="10"/>
        <rFont val="Arial"/>
        <family val="2"/>
      </rPr>
      <t xml:space="preserve">1632
</t>
    </r>
    <r>
      <rPr>
        <sz val="10"/>
        <color rgb="FFFF0000"/>
        <rFont val="Arial"/>
        <family val="2"/>
      </rPr>
      <t>Stage Payment 2 Bal
DUE 15 DEC 2021</t>
    </r>
  </si>
  <si>
    <r>
      <rPr>
        <b/>
        <sz val="10"/>
        <color rgb="FF0000FF"/>
        <rFont val="Arial"/>
        <family val="2"/>
      </rPr>
      <t xml:space="preserve">N </t>
    </r>
    <r>
      <rPr>
        <b/>
        <sz val="10"/>
        <rFont val="Arial"/>
        <family val="2"/>
      </rPr>
      <t xml:space="preserve">1629 
</t>
    </r>
    <r>
      <rPr>
        <sz val="10"/>
        <rFont val="Arial"/>
        <family val="2"/>
      </rPr>
      <t xml:space="preserve">
</t>
    </r>
    <r>
      <rPr>
        <sz val="10"/>
        <color rgb="FF0000FF"/>
        <rFont val="Arial"/>
        <family val="2"/>
      </rPr>
      <t xml:space="preserve">Applicable to Unit 13
</t>
    </r>
    <r>
      <rPr>
        <sz val="10"/>
        <color rgb="FFFF0000"/>
        <rFont val="Arial"/>
        <family val="2"/>
      </rPr>
      <t>Stage Payment 2</t>
    </r>
    <r>
      <rPr>
        <sz val="10"/>
        <rFont val="Arial"/>
        <family val="2"/>
      </rPr>
      <t xml:space="preserve">
</t>
    </r>
    <r>
      <rPr>
        <sz val="10"/>
        <color rgb="FFFF0000"/>
        <rFont val="Arial"/>
        <family val="2"/>
      </rPr>
      <t xml:space="preserve">DUE 15 DEC 2021
</t>
    </r>
    <r>
      <rPr>
        <i/>
        <sz val="10"/>
        <color rgb="FFFF0000"/>
        <rFont val="Arial"/>
        <family val="2"/>
      </rPr>
      <t>But prior to any sale of property</t>
    </r>
  </si>
  <si>
    <r>
      <rPr>
        <b/>
        <sz val="10"/>
        <color rgb="FF0000FF"/>
        <rFont val="Arial"/>
        <family val="2"/>
      </rPr>
      <t xml:space="preserve">N </t>
    </r>
    <r>
      <rPr>
        <b/>
        <sz val="10"/>
        <rFont val="Arial"/>
        <family val="2"/>
      </rPr>
      <t xml:space="preserve">1631
</t>
    </r>
    <r>
      <rPr>
        <sz val="10"/>
        <color rgb="FFFF0000"/>
        <rFont val="Arial"/>
        <family val="2"/>
      </rPr>
      <t>Stage Payment 2
DUE 15 DEC 2021</t>
    </r>
    <r>
      <rPr>
        <b/>
        <sz val="10"/>
        <color rgb="FFFF0000"/>
        <rFont val="Arial"/>
        <family val="2"/>
      </rPr>
      <t xml:space="preserve">
</t>
    </r>
    <r>
      <rPr>
        <sz val="10"/>
        <color rgb="FFFF0000"/>
        <rFont val="Arial"/>
        <family val="2"/>
      </rPr>
      <t>But prior to any sale of property</t>
    </r>
  </si>
  <si>
    <r>
      <rPr>
        <b/>
        <sz val="10"/>
        <color rgb="FF0000FF"/>
        <rFont val="Arial"/>
        <family val="2"/>
      </rPr>
      <t xml:space="preserve">N </t>
    </r>
    <r>
      <rPr>
        <b/>
        <sz val="10"/>
        <rFont val="Arial"/>
        <family val="2"/>
      </rPr>
      <t xml:space="preserve">1450
</t>
    </r>
    <r>
      <rPr>
        <sz val="10"/>
        <color rgb="FFFF0000"/>
        <rFont val="Arial"/>
        <family val="2"/>
      </rPr>
      <t xml:space="preserve">Final Inspection Certificate issued 16/12/2019
Staged Payment 2
DUE 15 DEC 2021
but prior to any sale of property </t>
    </r>
  </si>
  <si>
    <r>
      <rPr>
        <b/>
        <sz val="10"/>
        <color rgb="FF0000FF"/>
        <rFont val="Arial"/>
        <family val="2"/>
      </rPr>
      <t xml:space="preserve">N </t>
    </r>
    <r>
      <rPr>
        <b/>
        <sz val="10"/>
        <rFont val="Arial"/>
        <family val="2"/>
      </rPr>
      <t xml:space="preserve">1265
</t>
    </r>
    <r>
      <rPr>
        <sz val="10"/>
        <color rgb="FFFF0000"/>
        <rFont val="Arial"/>
        <family val="2"/>
      </rPr>
      <t xml:space="preserve"> Final Inspection Certificate issued 25/09/2019
Staged Payment 2
DUE 15 DEC 2021
but prior to any sale of property</t>
    </r>
  </si>
  <si>
    <r>
      <rPr>
        <b/>
        <sz val="10"/>
        <color rgb="FF0000FF"/>
        <rFont val="Arial"/>
        <family val="2"/>
      </rPr>
      <t xml:space="preserve">N </t>
    </r>
    <r>
      <rPr>
        <b/>
        <sz val="10"/>
        <rFont val="Arial"/>
        <family val="2"/>
      </rPr>
      <t xml:space="preserve">1577
</t>
    </r>
    <r>
      <rPr>
        <sz val="10"/>
        <color rgb="FFFF0000"/>
        <rFont val="Arial"/>
        <family val="2"/>
      </rPr>
      <t xml:space="preserve">Staged Payment 2
DUE 15 DEC 2021
</t>
    </r>
    <r>
      <rPr>
        <u/>
        <sz val="10"/>
        <color rgb="FFFF0000"/>
        <rFont val="Arial"/>
        <family val="2"/>
      </rPr>
      <t>but</t>
    </r>
    <r>
      <rPr>
        <sz val="10"/>
        <color rgb="FFFF0000"/>
        <rFont val="Arial"/>
        <family val="2"/>
      </rPr>
      <t xml:space="preserve"> prior to any sale of property </t>
    </r>
  </si>
  <si>
    <r>
      <t xml:space="preserve">N 1557
</t>
    </r>
    <r>
      <rPr>
        <sz val="10"/>
        <color rgb="FF0000FF"/>
        <rFont val="Arial"/>
        <family val="2"/>
      </rPr>
      <t>PC19/1418 Final 22/02/2021</t>
    </r>
    <r>
      <rPr>
        <sz val="10"/>
        <color rgb="FFFF0000"/>
        <rFont val="Arial"/>
        <family val="2"/>
      </rPr>
      <t xml:space="preserve">
MC Use commenced 12/07/2021
Stg Pmt 2
DUE 7 SEPT 2022</t>
    </r>
  </si>
  <si>
    <r>
      <rPr>
        <b/>
        <sz val="10"/>
        <color rgb="FF0000FF"/>
        <rFont val="Arial"/>
        <family val="2"/>
      </rPr>
      <t xml:space="preserve">N </t>
    </r>
    <r>
      <rPr>
        <b/>
        <sz val="10"/>
        <rFont val="Arial"/>
        <family val="2"/>
      </rPr>
      <t xml:space="preserve">1359
</t>
    </r>
    <r>
      <rPr>
        <b/>
        <sz val="10"/>
        <color rgb="FF0000FF"/>
        <rFont val="Arial"/>
        <family val="2"/>
      </rPr>
      <t xml:space="preserve">Amended
</t>
    </r>
    <r>
      <rPr>
        <sz val="10"/>
        <color rgb="FFFF0000"/>
        <rFont val="Arial"/>
        <family val="2"/>
      </rPr>
      <t>Final Staged Pmt 3</t>
    </r>
    <r>
      <rPr>
        <sz val="10"/>
        <color rgb="FF0000FF"/>
        <rFont val="Arial"/>
        <family val="2"/>
      </rPr>
      <t xml:space="preserve">
</t>
    </r>
    <r>
      <rPr>
        <sz val="10"/>
        <color rgb="FFFF0000"/>
        <rFont val="Arial"/>
        <family val="2"/>
      </rPr>
      <t xml:space="preserve">Due 15 DEC 2021 
but prior to any sale of property </t>
    </r>
  </si>
  <si>
    <r>
      <rPr>
        <b/>
        <sz val="10"/>
        <color rgb="FF0000FF"/>
        <rFont val="Arial"/>
        <family val="2"/>
      </rPr>
      <t xml:space="preserve">N </t>
    </r>
    <r>
      <rPr>
        <b/>
        <sz val="10"/>
        <rFont val="Arial"/>
        <family val="2"/>
      </rPr>
      <t xml:space="preserve">1288
</t>
    </r>
    <r>
      <rPr>
        <sz val="10"/>
        <color rgb="FFFF0000"/>
        <rFont val="Arial"/>
        <family val="2"/>
      </rPr>
      <t>FINAL STAGED PAYMENT 5
DUE 15 DEC 2021
but prior to any sale of property</t>
    </r>
  </si>
  <si>
    <r>
      <rPr>
        <b/>
        <sz val="10"/>
        <color rgb="FF0000FF"/>
        <rFont val="Arial"/>
        <family val="2"/>
      </rPr>
      <t xml:space="preserve">N </t>
    </r>
    <r>
      <rPr>
        <b/>
        <sz val="10"/>
        <rFont val="Arial"/>
        <family val="2"/>
      </rPr>
      <t xml:space="preserve">1440
</t>
    </r>
    <r>
      <rPr>
        <b/>
        <sz val="10"/>
        <color rgb="FFFF0000"/>
        <rFont val="Arial"/>
        <family val="2"/>
      </rPr>
      <t xml:space="preserve">
</t>
    </r>
    <r>
      <rPr>
        <sz val="10"/>
        <color rgb="FFFF0000"/>
        <rFont val="Arial"/>
        <family val="2"/>
      </rPr>
      <t>Part Stg Pmt 2</t>
    </r>
  </si>
  <si>
    <r>
      <rPr>
        <b/>
        <sz val="10"/>
        <color rgb="FF0000FF"/>
        <rFont val="Arial"/>
        <family val="2"/>
      </rPr>
      <t xml:space="preserve">N </t>
    </r>
    <r>
      <rPr>
        <b/>
        <sz val="10"/>
        <rFont val="Arial"/>
        <family val="2"/>
      </rPr>
      <t xml:space="preserve">1655
</t>
    </r>
    <r>
      <rPr>
        <sz val="10"/>
        <color rgb="FFFF0000"/>
        <rFont val="Arial"/>
        <family val="2"/>
      </rPr>
      <t>FINAL INSPECTION REQUESTED 13/12/2021 completed 6/01/2022</t>
    </r>
    <r>
      <rPr>
        <b/>
        <sz val="10"/>
        <rFont val="Arial"/>
        <family val="2"/>
      </rPr>
      <t xml:space="preserve">
</t>
    </r>
    <r>
      <rPr>
        <sz val="10"/>
        <color rgb="FFFF0000"/>
        <rFont val="Arial"/>
        <family val="2"/>
      </rPr>
      <t>DUE 3 FEB 2022</t>
    </r>
  </si>
  <si>
    <r>
      <rPr>
        <b/>
        <sz val="10"/>
        <color rgb="FF0000FF"/>
        <rFont val="Arial"/>
        <family val="2"/>
      </rPr>
      <t xml:space="preserve">N </t>
    </r>
    <r>
      <rPr>
        <b/>
        <sz val="10"/>
        <rFont val="Arial"/>
        <family val="2"/>
      </rPr>
      <t xml:space="preserve">1557
</t>
    </r>
    <r>
      <rPr>
        <i/>
        <sz val="10"/>
        <color rgb="FF0000FF"/>
        <rFont val="Arial"/>
        <family val="2"/>
      </rPr>
      <t xml:space="preserve">PC19/1418 Final 22/02/2021
MC Use commenced 12/07/2021
</t>
    </r>
    <r>
      <rPr>
        <i/>
        <sz val="10"/>
        <color rgb="FFFF0000"/>
        <rFont val="Arial"/>
        <family val="2"/>
      </rPr>
      <t>Stg Pmt 2
DUE 7 SEPT 2022</t>
    </r>
  </si>
  <si>
    <r>
      <rPr>
        <b/>
        <sz val="10"/>
        <color rgb="FF0000FF"/>
        <rFont val="Arial"/>
        <family val="2"/>
      </rPr>
      <t xml:space="preserve">N </t>
    </r>
    <r>
      <rPr>
        <b/>
        <sz val="10"/>
        <rFont val="Arial"/>
        <family val="2"/>
      </rPr>
      <t xml:space="preserve">1300
</t>
    </r>
    <r>
      <rPr>
        <b/>
        <sz val="10"/>
        <color rgb="FF0000FF"/>
        <rFont val="Arial"/>
        <family val="2"/>
      </rPr>
      <t xml:space="preserve">
</t>
    </r>
    <r>
      <rPr>
        <sz val="10"/>
        <color rgb="FFFF0000"/>
        <rFont val="Arial"/>
        <family val="2"/>
      </rPr>
      <t>Final Stg Pmt 5</t>
    </r>
    <r>
      <rPr>
        <b/>
        <sz val="10"/>
        <color rgb="FFFF0000"/>
        <rFont val="Arial"/>
        <family val="2"/>
      </rPr>
      <t xml:space="preserve">
</t>
    </r>
    <r>
      <rPr>
        <sz val="10"/>
        <color rgb="FFFF0000"/>
        <rFont val="Arial"/>
        <family val="2"/>
      </rPr>
      <t xml:space="preserve"> DUE 15 DEC 2021
but prior to any sale of property</t>
    </r>
  </si>
  <si>
    <r>
      <t xml:space="preserve">Planning Reg 2018-19
</t>
    </r>
    <r>
      <rPr>
        <sz val="10"/>
        <color rgb="FFFF0000"/>
        <rFont val="Arial"/>
        <family val="2"/>
      </rPr>
      <t>2019-20</t>
    </r>
  </si>
  <si>
    <r>
      <rPr>
        <b/>
        <sz val="10"/>
        <color rgb="FF0000FF"/>
        <rFont val="Arial"/>
        <family val="2"/>
      </rPr>
      <t xml:space="preserve">N </t>
    </r>
    <r>
      <rPr>
        <b/>
        <sz val="10"/>
        <rFont val="Arial"/>
        <family val="2"/>
      </rPr>
      <t xml:space="preserve">1399
</t>
    </r>
    <r>
      <rPr>
        <sz val="8"/>
        <color rgb="FFFF0000"/>
        <rFont val="Arial"/>
        <family val="2"/>
      </rPr>
      <t xml:space="preserve">COMPLETED  - Final Inspection Cetificate 30/07/2019
FINAL STG PAYMENT 3
DUE 30 JAN 2022
</t>
    </r>
    <r>
      <rPr>
        <u/>
        <sz val="8"/>
        <color rgb="FFFF0000"/>
        <rFont val="Arial"/>
        <family val="2"/>
      </rPr>
      <t>but</t>
    </r>
    <r>
      <rPr>
        <sz val="8"/>
        <color rgb="FFFF0000"/>
        <rFont val="Arial"/>
        <family val="2"/>
      </rPr>
      <t xml:space="preserve"> prior to any sale of property </t>
    </r>
  </si>
  <si>
    <r>
      <rPr>
        <b/>
        <sz val="10"/>
        <color rgb="FF0000FF"/>
        <rFont val="Arial"/>
        <family val="2"/>
      </rPr>
      <t xml:space="preserve">N </t>
    </r>
    <r>
      <rPr>
        <b/>
        <sz val="10"/>
        <rFont val="Arial"/>
        <family val="2"/>
      </rPr>
      <t xml:space="preserve">1411
</t>
    </r>
    <r>
      <rPr>
        <sz val="10"/>
        <color rgb="FFFF0000"/>
        <rFont val="Arial"/>
        <family val="2"/>
      </rPr>
      <t>MC advice use commenced 28/10/2020</t>
    </r>
    <r>
      <rPr>
        <i/>
        <sz val="10"/>
        <color rgb="FFFF0000"/>
        <rFont val="Arial"/>
        <family val="2"/>
      </rPr>
      <t xml:space="preserve">
Amended Staged Payment 2
DUE 15 Mar 2022</t>
    </r>
  </si>
  <si>
    <r>
      <t>7/02/2019</t>
    </r>
    <r>
      <rPr>
        <strike/>
        <sz val="10"/>
        <rFont val="Arial"/>
        <family val="2"/>
      </rPr>
      <t xml:space="preserve">
</t>
    </r>
    <r>
      <rPr>
        <strike/>
        <sz val="10"/>
        <color rgb="FFFF0000"/>
        <rFont val="Arial"/>
        <family val="2"/>
      </rPr>
      <t>2/11/2020</t>
    </r>
    <r>
      <rPr>
        <sz val="10"/>
        <color rgb="FFFF0000"/>
        <rFont val="Arial"/>
        <family val="2"/>
      </rPr>
      <t xml:space="preserve">
29/11/2021</t>
    </r>
  </si>
  <si>
    <r>
      <t xml:space="preserve">Planning Reg 2018-19
</t>
    </r>
    <r>
      <rPr>
        <strike/>
        <sz val="10"/>
        <color rgb="FFFF0000"/>
        <rFont val="Arial"/>
        <family val="2"/>
      </rPr>
      <t>2020-202</t>
    </r>
    <r>
      <rPr>
        <sz val="10"/>
        <color rgb="FFFF0000"/>
        <rFont val="Arial"/>
        <family val="2"/>
      </rPr>
      <t>1
2021-2022</t>
    </r>
  </si>
  <si>
    <r>
      <rPr>
        <b/>
        <sz val="10"/>
        <color rgb="FF0000FF"/>
        <rFont val="Arial"/>
        <family val="2"/>
      </rPr>
      <t xml:space="preserve">N </t>
    </r>
    <r>
      <rPr>
        <b/>
        <sz val="10"/>
        <rFont val="Arial"/>
        <family val="2"/>
      </rPr>
      <t xml:space="preserve">1557
</t>
    </r>
    <r>
      <rPr>
        <i/>
        <sz val="10"/>
        <color rgb="FF0000FF"/>
        <rFont val="Arial"/>
        <family val="2"/>
      </rPr>
      <t xml:space="preserve">PC19/1418 Final 22/02/2021
MC Use commenced 12/07/2021
</t>
    </r>
    <r>
      <rPr>
        <sz val="8"/>
        <color rgb="FFFF0000"/>
        <rFont val="Arial"/>
        <family val="2"/>
      </rPr>
      <t>Stg Pmt 2
DUE 7 SEPT 2022</t>
    </r>
  </si>
  <si>
    <r>
      <rPr>
        <b/>
        <sz val="10"/>
        <color rgb="FF0000FF"/>
        <rFont val="Arial"/>
        <family val="2"/>
      </rPr>
      <t xml:space="preserve">N </t>
    </r>
    <r>
      <rPr>
        <b/>
        <sz val="10"/>
        <rFont val="Arial"/>
        <family val="2"/>
      </rPr>
      <t xml:space="preserve">1397
</t>
    </r>
    <r>
      <rPr>
        <b/>
        <sz val="10"/>
        <color rgb="FFFF0000"/>
        <rFont val="Arial"/>
        <family val="2"/>
      </rPr>
      <t xml:space="preserve">
</t>
    </r>
    <r>
      <rPr>
        <sz val="10"/>
        <color rgb="FFFF0000"/>
        <rFont val="Arial"/>
        <family val="2"/>
      </rPr>
      <t>Pmt 2= $40,000. 1 APR 2022</t>
    </r>
    <r>
      <rPr>
        <sz val="10"/>
        <rFont val="Arial"/>
        <family val="2"/>
      </rPr>
      <t xml:space="preserve">
</t>
    </r>
  </si>
  <si>
    <r>
      <rPr>
        <b/>
        <sz val="10"/>
        <color rgb="FF0000FF"/>
        <rFont val="Arial"/>
        <family val="2"/>
      </rPr>
      <t xml:space="preserve">N </t>
    </r>
    <r>
      <rPr>
        <b/>
        <sz val="10"/>
        <rFont val="Arial"/>
        <family val="2"/>
      </rPr>
      <t xml:space="preserve">1461
</t>
    </r>
    <r>
      <rPr>
        <sz val="10"/>
        <color rgb="FFFF0000"/>
        <rFont val="Arial"/>
        <family val="2"/>
      </rPr>
      <t xml:space="preserve">23/10/2020 - Stage C at grade sealed carpark completed 
Stage D building stories 2-3 have not started </t>
    </r>
    <r>
      <rPr>
        <b/>
        <sz val="10"/>
        <rFont val="Arial"/>
        <family val="2"/>
      </rPr>
      <t xml:space="preserve">
</t>
    </r>
  </si>
  <si>
    <r>
      <rPr>
        <b/>
        <sz val="10"/>
        <color rgb="FF0000FF"/>
        <rFont val="Arial"/>
        <family val="2"/>
      </rPr>
      <t xml:space="preserve">N </t>
    </r>
    <r>
      <rPr>
        <b/>
        <sz val="10"/>
        <rFont val="Arial"/>
        <family val="2"/>
      </rPr>
      <t xml:space="preserve">1494
</t>
    </r>
    <r>
      <rPr>
        <sz val="9"/>
        <color rgb="FFFF0000"/>
        <rFont val="Arial"/>
        <family val="2"/>
      </rPr>
      <t xml:space="preserve">Final Staged Payment 3
DUE 15 JUN 2022
but prior to any sale of property </t>
    </r>
  </si>
  <si>
    <r>
      <rPr>
        <strike/>
        <sz val="10"/>
        <color rgb="FFFF0000"/>
        <rFont val="Arial"/>
        <family val="2"/>
      </rPr>
      <t>CPI</t>
    </r>
    <r>
      <rPr>
        <sz val="10"/>
        <color rgb="FFFF0000"/>
        <rFont val="Arial"/>
        <family val="2"/>
      </rPr>
      <t xml:space="preserve">
</t>
    </r>
    <r>
      <rPr>
        <sz val="10"/>
        <color rgb="FF0000FF"/>
        <rFont val="Arial"/>
        <family val="2"/>
      </rPr>
      <t>OM 20/09/2018 = AICS</t>
    </r>
    <r>
      <rPr>
        <sz val="10"/>
        <color rgb="FFFF0000"/>
        <rFont val="Arial"/>
        <family val="2"/>
      </rPr>
      <t xml:space="preserve"> 
</t>
    </r>
    <r>
      <rPr>
        <sz val="10"/>
        <color rgb="FF0000FF"/>
        <rFont val="Arial"/>
        <family val="2"/>
      </rPr>
      <t>Checked Web ok</t>
    </r>
  </si>
  <si>
    <r>
      <rPr>
        <b/>
        <sz val="10"/>
        <color rgb="FF0000FF"/>
        <rFont val="Arial"/>
        <family val="2"/>
      </rPr>
      <t xml:space="preserve">N </t>
    </r>
    <r>
      <rPr>
        <b/>
        <sz val="10"/>
        <rFont val="Arial"/>
        <family val="2"/>
      </rPr>
      <t xml:space="preserve">1557
</t>
    </r>
    <r>
      <rPr>
        <i/>
        <sz val="10"/>
        <color rgb="FF0000FF"/>
        <rFont val="Arial"/>
        <family val="2"/>
      </rPr>
      <t>PC19/1418 Final 22/02/2021
MC Use commenced 12/07/2021</t>
    </r>
    <r>
      <rPr>
        <i/>
        <sz val="10"/>
        <color rgb="FFFF0000"/>
        <rFont val="Arial"/>
        <family val="2"/>
      </rPr>
      <t xml:space="preserve">
</t>
    </r>
    <r>
      <rPr>
        <sz val="10"/>
        <color rgb="FFFF0000"/>
        <rFont val="Arial"/>
        <family val="2"/>
      </rPr>
      <t>Stg Pmt 2
DUE 7 SEPT 2022</t>
    </r>
  </si>
  <si>
    <r>
      <rPr>
        <b/>
        <sz val="10"/>
        <color rgb="FF0000FF"/>
        <rFont val="Arial"/>
        <family val="2"/>
      </rPr>
      <t xml:space="preserve">N </t>
    </r>
    <r>
      <rPr>
        <b/>
        <sz val="10"/>
        <rFont val="Arial"/>
        <family val="2"/>
      </rPr>
      <t xml:space="preserve">1557
</t>
    </r>
    <r>
      <rPr>
        <i/>
        <sz val="10"/>
        <color rgb="FF0000FF"/>
        <rFont val="Arial"/>
        <family val="2"/>
      </rPr>
      <t xml:space="preserve">PC19/1418 Final 22/02/2021
MC Use commenced 12/07/2021
</t>
    </r>
    <r>
      <rPr>
        <sz val="10"/>
        <color rgb="FFFF0000"/>
        <rFont val="Arial"/>
        <family val="2"/>
      </rPr>
      <t>Stg Pmt 2 = $4,384.00 
DUE 7 SEPT 2022</t>
    </r>
  </si>
  <si>
    <r>
      <rPr>
        <b/>
        <sz val="10"/>
        <color rgb="FF0000FF"/>
        <rFont val="Arial"/>
        <family val="2"/>
      </rPr>
      <t xml:space="preserve">N </t>
    </r>
    <r>
      <rPr>
        <b/>
        <sz val="10"/>
        <rFont val="Arial"/>
        <family val="2"/>
      </rPr>
      <t xml:space="preserve">1557
</t>
    </r>
    <r>
      <rPr>
        <i/>
        <sz val="10"/>
        <color rgb="FF0000FF"/>
        <rFont val="Arial"/>
        <family val="2"/>
      </rPr>
      <t xml:space="preserve">PC19/1418 Final 22/02/2021
MC Use commenced 12/07/2021
</t>
    </r>
    <r>
      <rPr>
        <i/>
        <sz val="10"/>
        <color rgb="FFFF0000"/>
        <rFont val="Arial"/>
        <family val="2"/>
      </rPr>
      <t>Stg Pmt 1 = $1,462.00 
DUE 7 SEPT 2021</t>
    </r>
  </si>
  <si>
    <t>D000506472</t>
  </si>
  <si>
    <r>
      <t xml:space="preserve">Paid </t>
    </r>
    <r>
      <rPr>
        <sz val="10"/>
        <color rgb="FF0000FF"/>
        <rFont val="Arial"/>
        <family val="2"/>
      </rPr>
      <t xml:space="preserve">
Stg Pmt 2 Final Balance</t>
    </r>
  </si>
  <si>
    <t>NOTE Minor Change Approval MCU22/0038.01 results in no change in gfa so ICN originally issued remains applicable.</t>
  </si>
  <si>
    <r>
      <rPr>
        <b/>
        <sz val="10"/>
        <color rgb="FF0000FF"/>
        <rFont val="Arial"/>
        <family val="2"/>
      </rPr>
      <t xml:space="preserve">N </t>
    </r>
    <r>
      <rPr>
        <b/>
        <sz val="10"/>
        <rFont val="Arial"/>
        <family val="2"/>
      </rPr>
      <t xml:space="preserve">1622 
</t>
    </r>
    <r>
      <rPr>
        <b/>
        <sz val="10"/>
        <color rgb="FF0000FF"/>
        <rFont val="Arial"/>
        <family val="2"/>
      </rPr>
      <t>Amended STAGE 1</t>
    </r>
  </si>
  <si>
    <r>
      <rPr>
        <b/>
        <sz val="10"/>
        <color rgb="FF0000FF"/>
        <rFont val="Arial"/>
        <family val="2"/>
      </rPr>
      <t xml:space="preserve">N </t>
    </r>
    <r>
      <rPr>
        <b/>
        <sz val="10"/>
        <rFont val="Arial"/>
        <family val="2"/>
      </rPr>
      <t xml:space="preserve">1622 
</t>
    </r>
    <r>
      <rPr>
        <b/>
        <sz val="10"/>
        <color rgb="FF0000FF"/>
        <rFont val="Arial"/>
        <family val="2"/>
      </rPr>
      <t>Amended STAGE 2</t>
    </r>
  </si>
  <si>
    <r>
      <rPr>
        <b/>
        <sz val="10"/>
        <color rgb="FF0000FF"/>
        <rFont val="Arial"/>
        <family val="2"/>
      </rPr>
      <t xml:space="preserve">N </t>
    </r>
    <r>
      <rPr>
        <b/>
        <sz val="10"/>
        <rFont val="Arial"/>
        <family val="2"/>
      </rPr>
      <t xml:space="preserve">1622 
</t>
    </r>
    <r>
      <rPr>
        <b/>
        <sz val="10"/>
        <color rgb="FF0000FF"/>
        <rFont val="Arial"/>
        <family val="2"/>
      </rPr>
      <t>Amended STAGE 3</t>
    </r>
  </si>
  <si>
    <r>
      <t xml:space="preserve">NSC CR </t>
    </r>
    <r>
      <rPr>
        <strike/>
        <sz val="10"/>
        <rFont val="Arial"/>
        <family val="2"/>
      </rPr>
      <t>(No.5.1)</t>
    </r>
    <r>
      <rPr>
        <sz val="10"/>
        <rFont val="Arial"/>
        <family val="2"/>
      </rPr>
      <t xml:space="preserve">
</t>
    </r>
    <r>
      <rPr>
        <strike/>
        <sz val="10"/>
        <color rgb="FF0000FF"/>
        <rFont val="Arial"/>
        <family val="2"/>
      </rPr>
      <t>(No. 6)</t>
    </r>
    <r>
      <rPr>
        <sz val="10"/>
        <rFont val="Arial"/>
        <family val="2"/>
      </rPr>
      <t xml:space="preserve">
</t>
    </r>
    <r>
      <rPr>
        <sz val="10"/>
        <color rgb="FF0000FF"/>
        <rFont val="Arial"/>
        <family val="2"/>
      </rPr>
      <t>(No.7)</t>
    </r>
  </si>
  <si>
    <r>
      <t xml:space="preserve">Planning Reg </t>
    </r>
    <r>
      <rPr>
        <strike/>
        <sz val="10"/>
        <rFont val="Arial"/>
        <family val="2"/>
      </rPr>
      <t>2020-2021</t>
    </r>
    <r>
      <rPr>
        <sz val="10"/>
        <rFont val="Arial"/>
        <family val="2"/>
      </rPr>
      <t xml:space="preserve">
</t>
    </r>
    <r>
      <rPr>
        <strike/>
        <sz val="10"/>
        <color rgb="FF0000FF"/>
        <rFont val="Arial"/>
        <family val="2"/>
      </rPr>
      <t>2021-2022</t>
    </r>
    <r>
      <rPr>
        <sz val="10"/>
        <color rgb="FF0000FF"/>
        <rFont val="Arial"/>
        <family val="2"/>
      </rPr>
      <t xml:space="preserve">
2022-2023</t>
    </r>
  </si>
  <si>
    <r>
      <rPr>
        <strike/>
        <sz val="10"/>
        <rFont val="Arial"/>
        <family val="2"/>
      </rPr>
      <t>6/05/2021</t>
    </r>
    <r>
      <rPr>
        <sz val="10"/>
        <rFont val="Arial"/>
        <family val="2"/>
      </rPr>
      <t xml:space="preserve">
</t>
    </r>
    <r>
      <rPr>
        <strike/>
        <sz val="10"/>
        <color rgb="FF0000FF"/>
        <rFont val="Arial"/>
        <family val="2"/>
      </rPr>
      <t>25/11/2021</t>
    </r>
    <r>
      <rPr>
        <sz val="10"/>
        <color rgb="FF0000FF"/>
        <rFont val="Arial"/>
        <family val="2"/>
      </rPr>
      <t xml:space="preserve">
3/05/2023</t>
    </r>
  </si>
  <si>
    <t>Industry = 280m2 GFA 
+  
Existing Impervious area = 280m2</t>
  </si>
  <si>
    <t>Retail Business Type 6 Hardware = 528m2 GFA 
+  
Existing Impervious area = 808m2 
+
1 x Residential Lot (Dwelling house)</t>
  </si>
  <si>
    <r>
      <rPr>
        <sz val="10"/>
        <color rgb="FF0000FF"/>
        <rFont val="Arial"/>
        <family val="2"/>
      </rPr>
      <t>Stage 3 (Building 01)</t>
    </r>
    <r>
      <rPr>
        <sz val="10"/>
        <rFont val="Arial"/>
        <family val="2"/>
      </rPr>
      <t xml:space="preserve">
Multiple Dwellings = 
</t>
    </r>
    <r>
      <rPr>
        <sz val="10"/>
        <color rgb="FF0000FF"/>
        <rFont val="Arial"/>
        <family val="2"/>
      </rPr>
      <t xml:space="preserve">1 </t>
    </r>
    <r>
      <rPr>
        <sz val="10"/>
        <rFont val="Arial"/>
        <family val="2"/>
      </rPr>
      <t xml:space="preserve">x 3 B/R Dwellings +
</t>
    </r>
    <r>
      <rPr>
        <sz val="10"/>
        <color rgb="FF0000FF"/>
        <rFont val="Arial"/>
        <family val="2"/>
      </rPr>
      <t xml:space="preserve">4 </t>
    </r>
    <r>
      <rPr>
        <sz val="10"/>
        <rFont val="Arial"/>
        <family val="2"/>
      </rPr>
      <t>x 2 B/R Dwelling</t>
    </r>
  </si>
  <si>
    <r>
      <rPr>
        <sz val="10"/>
        <color rgb="FF0000FF"/>
        <rFont val="Arial"/>
        <family val="2"/>
      </rPr>
      <t>Stage 1 (Buildings 02, 03 &amp; 04)</t>
    </r>
    <r>
      <rPr>
        <sz val="10"/>
        <rFont val="Arial"/>
        <family val="2"/>
      </rPr>
      <t xml:space="preserve">
Multiple Dwellings = 
</t>
    </r>
    <r>
      <rPr>
        <sz val="10"/>
        <color rgb="FF0000FF"/>
        <rFont val="Arial"/>
        <family val="2"/>
      </rPr>
      <t xml:space="preserve">7 </t>
    </r>
    <r>
      <rPr>
        <sz val="10"/>
        <rFont val="Arial"/>
        <family val="2"/>
      </rPr>
      <t xml:space="preserve">x 3 B/R Dwellings +
</t>
    </r>
    <r>
      <rPr>
        <sz val="10"/>
        <color rgb="FF0000FF"/>
        <rFont val="Arial"/>
        <family val="2"/>
      </rPr>
      <t xml:space="preserve">15 </t>
    </r>
    <r>
      <rPr>
        <sz val="10"/>
        <rFont val="Arial"/>
        <family val="2"/>
      </rPr>
      <t>x 2 B/R Dwelling</t>
    </r>
  </si>
  <si>
    <r>
      <rPr>
        <sz val="10"/>
        <color rgb="FF0000FF"/>
        <rFont val="Arial"/>
        <family val="2"/>
      </rPr>
      <t>Stage 2 (Buildings 05, 06, 07 &amp; 08)</t>
    </r>
    <r>
      <rPr>
        <sz val="10"/>
        <rFont val="Arial"/>
        <family val="2"/>
      </rPr>
      <t xml:space="preserve">
Multiple Dwellings = 
</t>
    </r>
    <r>
      <rPr>
        <sz val="10"/>
        <color rgb="FF0000FF"/>
        <rFont val="Arial"/>
        <family val="2"/>
      </rPr>
      <t xml:space="preserve">3 </t>
    </r>
    <r>
      <rPr>
        <sz val="10"/>
        <rFont val="Arial"/>
        <family val="2"/>
      </rPr>
      <t xml:space="preserve">x 3 B/R Dwellings +
</t>
    </r>
    <r>
      <rPr>
        <sz val="10"/>
        <color rgb="FF0000FF"/>
        <rFont val="Arial"/>
        <family val="2"/>
      </rPr>
      <t xml:space="preserve">23 </t>
    </r>
    <r>
      <rPr>
        <sz val="10"/>
        <rFont val="Arial"/>
        <family val="2"/>
      </rPr>
      <t>x 2 B/R Dwelling</t>
    </r>
  </si>
  <si>
    <r>
      <rPr>
        <strike/>
        <sz val="10"/>
        <rFont val="Arial"/>
        <family val="2"/>
      </rPr>
      <t>MCU20/0150</t>
    </r>
    <r>
      <rPr>
        <strike/>
        <sz val="10"/>
        <color rgb="FF0000FF"/>
        <rFont val="Arial"/>
        <family val="2"/>
      </rPr>
      <t>.01</t>
    </r>
    <r>
      <rPr>
        <sz val="10"/>
        <rFont val="Arial"/>
        <family val="2"/>
      </rPr>
      <t xml:space="preserve">
</t>
    </r>
    <r>
      <rPr>
        <sz val="10"/>
        <color rgb="FF0000FF"/>
        <rFont val="Arial"/>
        <family val="2"/>
      </rPr>
      <t>MCU20/0150.03</t>
    </r>
    <r>
      <rPr>
        <sz val="10"/>
        <rFont val="Arial"/>
        <family val="2"/>
      </rPr>
      <t xml:space="preserve">
</t>
    </r>
    <r>
      <rPr>
        <sz val="10"/>
        <color rgb="FF0000FF"/>
        <rFont val="Arial"/>
        <family val="2"/>
      </rPr>
      <t xml:space="preserve">
Approved: </t>
    </r>
    <r>
      <rPr>
        <strike/>
        <sz val="10"/>
        <color rgb="FF0000FF"/>
        <rFont val="Arial"/>
        <family val="2"/>
      </rPr>
      <t>19/112021</t>
    </r>
    <r>
      <rPr>
        <sz val="10"/>
        <color rgb="FF0000FF"/>
        <rFont val="Arial"/>
        <family val="2"/>
      </rPr>
      <t xml:space="preserve">
14/04/2023
Issued:</t>
    </r>
    <r>
      <rPr>
        <strike/>
        <sz val="10"/>
        <color rgb="FF0000FF"/>
        <rFont val="Arial"/>
        <family val="2"/>
      </rPr>
      <t xml:space="preserve"> 23/11/2021</t>
    </r>
    <r>
      <rPr>
        <sz val="10"/>
        <color rgb="FF0000FF"/>
        <rFont val="Arial"/>
        <family val="2"/>
      </rPr>
      <t xml:space="preserve"> 18/04/2023</t>
    </r>
  </si>
  <si>
    <r>
      <rPr>
        <strike/>
        <sz val="10"/>
        <rFont val="Arial"/>
        <family val="2"/>
      </rPr>
      <t>MCU20/0150</t>
    </r>
    <r>
      <rPr>
        <strike/>
        <sz val="10"/>
        <color rgb="FF0000FF"/>
        <rFont val="Arial"/>
        <family val="2"/>
      </rPr>
      <t>.01</t>
    </r>
    <r>
      <rPr>
        <sz val="10"/>
        <rFont val="Arial"/>
        <family val="2"/>
      </rPr>
      <t xml:space="preserve">
</t>
    </r>
    <r>
      <rPr>
        <sz val="10"/>
        <color rgb="FF0000FF"/>
        <rFont val="Arial"/>
        <family val="2"/>
      </rPr>
      <t>MCU20/0150.03</t>
    </r>
    <r>
      <rPr>
        <sz val="10"/>
        <rFont val="Arial"/>
        <family val="2"/>
      </rPr>
      <t xml:space="preserve">
</t>
    </r>
    <r>
      <rPr>
        <sz val="10"/>
        <color rgb="FF0000FF"/>
        <rFont val="Arial"/>
        <family val="2"/>
      </rPr>
      <t xml:space="preserve">
Approved: </t>
    </r>
    <r>
      <rPr>
        <strike/>
        <sz val="10"/>
        <color rgb="FF0000FF"/>
        <rFont val="Arial"/>
        <family val="2"/>
      </rPr>
      <t>19/112021</t>
    </r>
    <r>
      <rPr>
        <sz val="10"/>
        <color rgb="FF0000FF"/>
        <rFont val="Arial"/>
        <family val="2"/>
      </rPr>
      <t xml:space="preserve">
14/04/2023
Issued:</t>
    </r>
    <r>
      <rPr>
        <strike/>
        <sz val="10"/>
        <color rgb="FF0000FF"/>
        <rFont val="Arial"/>
        <family val="2"/>
      </rPr>
      <t xml:space="preserve"> 23/11/2021</t>
    </r>
    <r>
      <rPr>
        <sz val="10"/>
        <color rgb="FF0000FF"/>
        <rFont val="Arial"/>
        <family val="2"/>
      </rPr>
      <t xml:space="preserve">
18/04/2023</t>
    </r>
  </si>
  <si>
    <t>Building Work 
MBS John Middlemass Building Surveyor - Decision Notice: 93-23</t>
  </si>
  <si>
    <t>Hotondo Gympie Pty Ltd</t>
  </si>
  <si>
    <t>PO Box 1584
GYMPIE QLD 4570</t>
  </si>
  <si>
    <t>59 Kabi Road 
COOTHARABA QLD 4563</t>
  </si>
  <si>
    <t>Lot 394 M 371117</t>
  </si>
  <si>
    <t>Existing development = 
- 131998.981211 = 12637 DA Orchard &amp; 18 hole golf course
- 111999.1752 = 991752 Clubhouse &amp; C/takers Residence
- 132006.630 = 06/0630 Club House Alterations – Caretaker’s residence to kitchen and extension to roof over existing beer garden
- 132006.2691 = 06/2691 Entertainment &amp; Dining Business Type 1
- 112007.401 = 20070401 Beer Garden &amp; Fitout Roof to Golfers Beer Garden &amp; Kitchen Fitout</t>
  </si>
  <si>
    <t xml:space="preserve">Nil 
(as additional development to that lawfully existing)
</t>
  </si>
  <si>
    <t>PC23/0082
Approved 23/01/2023
Received &amp; Registered 21/04//2023</t>
  </si>
  <si>
    <r>
      <t xml:space="preserve">Visitor Accommodation
Type 3 Rural </t>
    </r>
    <r>
      <rPr>
        <strike/>
        <sz val="10"/>
        <rFont val="Arial"/>
        <family val="2"/>
      </rPr>
      <t>(3 x 2 bed Cabins)</t>
    </r>
    <r>
      <rPr>
        <sz val="10"/>
        <rFont val="Arial"/>
        <family val="2"/>
      </rPr>
      <t xml:space="preserve"> 
</t>
    </r>
    <r>
      <rPr>
        <sz val="10"/>
        <color rgb="FF0000FF"/>
        <rFont val="Arial"/>
        <family val="2"/>
      </rPr>
      <t>(1x3 bed Cabin + 1x Secondary dwelling)</t>
    </r>
  </si>
  <si>
    <t>1 x Secondary dwelling</t>
  </si>
  <si>
    <t>PC22/1014
Approved 12/08/2023
Received &amp; Registered 12/08/2023</t>
  </si>
  <si>
    <t>Building Work
Caloundra Building Approvals - Decision Notice: 00010566</t>
  </si>
  <si>
    <t>Brett Freestone</t>
  </si>
  <si>
    <t>27 Kabi Road
COOTHARABA QLD 4565</t>
  </si>
  <si>
    <t>Lot 4 RP 229649</t>
  </si>
  <si>
    <t>51988.2740.01
Approved 9/05/2023
Issued 15/05/2023</t>
  </si>
  <si>
    <t>change to existing will not lapse</t>
  </si>
  <si>
    <t>GJT Kenny, JM Kenny</t>
  </si>
  <si>
    <t>60 Annie St
AUCHENFLOWER QLD 4066</t>
  </si>
  <si>
    <t>Lot 1 BUP 10798</t>
  </si>
  <si>
    <t>Parkwood
1/21 Parkedge Rd, 
Sunshine Beach QLD 4567</t>
  </si>
  <si>
    <t>Multiple dwelling = change Unit 1 to 1 x 3 bed unit</t>
  </si>
  <si>
    <t>Multiple dwelling = Unit 1 = 1 x 2 bed unit</t>
  </si>
  <si>
    <t>May 2023
Total =</t>
  </si>
  <si>
    <t>317 Lawnville Road, 
BLACK MOUNTAIN QLD 4563</t>
  </si>
  <si>
    <t>1 x new dwelling house and 1 x caretaker's accommodation in existing dwelling</t>
  </si>
  <si>
    <t>MCU22/0199
Approved 12/05/2023
Issued 19/05/2024</t>
  </si>
  <si>
    <t>C/- Pivotal Perspective Pty Ltd
4/59 Mary Street
NOOSAVILLE QLD 4566</t>
  </si>
  <si>
    <t>APAC P/L TTE</t>
  </si>
  <si>
    <t>CPI Mar 2023</t>
  </si>
  <si>
    <t>D000510833</t>
  </si>
  <si>
    <r>
      <rPr>
        <b/>
        <sz val="10"/>
        <color rgb="FF0000FF"/>
        <rFont val="Arial"/>
        <family val="2"/>
      </rPr>
      <t xml:space="preserve">N </t>
    </r>
    <r>
      <rPr>
        <b/>
        <sz val="10"/>
        <rFont val="Arial"/>
        <family val="2"/>
      </rPr>
      <t xml:space="preserve">1825
</t>
    </r>
    <r>
      <rPr>
        <sz val="10"/>
        <color rgb="FFFF0000"/>
        <rFont val="Arial"/>
        <family val="2"/>
      </rPr>
      <t xml:space="preserve">
Bank Tfr detalis requested 23/05/2023</t>
    </r>
  </si>
  <si>
    <t>132004.4029.01
Approved 16/05/2023
Issued 23/05/2024</t>
  </si>
  <si>
    <t>RL Ford</t>
  </si>
  <si>
    <t>Lot 2 SP215946</t>
  </si>
  <si>
    <t>2/6 Martin Street, 
PEREGIAN BEACH QLD 4573</t>
  </si>
  <si>
    <t>Unit 2 = 1 x 3 bed dwelling</t>
  </si>
  <si>
    <t>Unit 2 = 1 x 2 bed dwelling</t>
  </si>
  <si>
    <t>PC23/0055
Approved 13/04/2023
Received &amp; Registered 18/05/2023</t>
  </si>
  <si>
    <t>Building Work
Pacific BCQ Building Certification - Decision Notice: 20220344</t>
  </si>
  <si>
    <t>Lot 82 RP 136511</t>
  </si>
  <si>
    <t>7 Koel Street
NOOSAVILLE QLD 4566</t>
  </si>
  <si>
    <t>MCU22/0161
Approved 24/05/2023
Issued 24/05/2024</t>
  </si>
  <si>
    <t>CA Ross &amp; MJ Ross</t>
  </si>
  <si>
    <t xml:space="preserve">Lot 339 P 93113 </t>
  </si>
  <si>
    <t>52 Peregian Esp 
Peregian Beach Qld 4573</t>
  </si>
  <si>
    <t>Condition 22 a &amp; b = construction of kerb and channelling to the development side of Peregian Esplanade trunk road &amp; upgrade of existing trunk pedestrian footpath</t>
  </si>
  <si>
    <t>D000511411</t>
  </si>
  <si>
    <r>
      <rPr>
        <b/>
        <sz val="10"/>
        <color rgb="FF0000FF"/>
        <rFont val="Arial"/>
        <family val="2"/>
      </rPr>
      <t xml:space="preserve">N </t>
    </r>
    <r>
      <rPr>
        <b/>
        <sz val="10"/>
        <rFont val="Arial"/>
        <family val="2"/>
      </rPr>
      <t>1868</t>
    </r>
  </si>
  <si>
    <r>
      <t>Managers Cartakers residence = 1 x 3 or more bedroom dwelling</t>
    </r>
    <r>
      <rPr>
        <u/>
        <sz val="10"/>
        <rFont val="Arial"/>
        <family val="2"/>
      </rPr>
      <t xml:space="preserve"> in addition to</t>
    </r>
    <r>
      <rPr>
        <sz val="10"/>
        <rFont val="Arial"/>
        <family val="2"/>
      </rPr>
      <t xml:space="preserve"> existing lawful development on the site</t>
    </r>
  </si>
  <si>
    <r>
      <rPr>
        <b/>
        <sz val="10"/>
        <color rgb="FF0000FF"/>
        <rFont val="Arial"/>
        <family val="2"/>
      </rPr>
      <t xml:space="preserve">N </t>
    </r>
    <r>
      <rPr>
        <b/>
        <sz val="10"/>
        <rFont val="Arial"/>
        <family val="2"/>
      </rPr>
      <t xml:space="preserve">1664
</t>
    </r>
    <r>
      <rPr>
        <sz val="10"/>
        <color rgb="FFFF0000"/>
        <rFont val="Arial"/>
        <family val="2"/>
      </rPr>
      <t>Final Inspection Cert issued 11/05/2023
DUE 21 JUNE 2023</t>
    </r>
  </si>
  <si>
    <t>1 x Residential Dwelling house + 
Type 2 Community Housing - 1 x 2 bedroom dwelling</t>
  </si>
  <si>
    <t>Lot 1 SP 321722
(now Lot 2 SP 340029)</t>
  </si>
  <si>
    <t>173 Eumundi Noosa Rd,
Noosaville QLD 4566</t>
  </si>
  <si>
    <t>Showroom = 397 m2 gfa
No change to Impervious area</t>
  </si>
  <si>
    <r>
      <rPr>
        <b/>
        <sz val="10"/>
        <color rgb="FF0000FF"/>
        <rFont val="Arial"/>
        <family val="2"/>
      </rPr>
      <t xml:space="preserve">N </t>
    </r>
    <r>
      <rPr>
        <b/>
        <sz val="10"/>
        <rFont val="Arial"/>
        <family val="2"/>
      </rPr>
      <t>1901</t>
    </r>
    <r>
      <rPr>
        <sz val="11"/>
        <color theme="1"/>
        <rFont val="Calibri"/>
        <family val="2"/>
        <scheme val="minor"/>
      </rPr>
      <t/>
    </r>
  </si>
  <si>
    <r>
      <rPr>
        <b/>
        <sz val="10"/>
        <color rgb="FF0000FF"/>
        <rFont val="Arial"/>
        <family val="2"/>
      </rPr>
      <t xml:space="preserve">N </t>
    </r>
    <r>
      <rPr>
        <b/>
        <sz val="10"/>
        <rFont val="Arial"/>
        <family val="2"/>
      </rPr>
      <t>1902</t>
    </r>
    <r>
      <rPr>
        <sz val="11"/>
        <color theme="1"/>
        <rFont val="Calibri"/>
        <family val="2"/>
        <scheme val="minor"/>
      </rPr>
      <t/>
    </r>
  </si>
  <si>
    <r>
      <rPr>
        <b/>
        <sz val="10"/>
        <color rgb="FF0000FF"/>
        <rFont val="Arial"/>
        <family val="2"/>
      </rPr>
      <t xml:space="preserve">N </t>
    </r>
    <r>
      <rPr>
        <b/>
        <sz val="10"/>
        <rFont val="Arial"/>
        <family val="2"/>
      </rPr>
      <t>1903</t>
    </r>
    <r>
      <rPr>
        <sz val="11"/>
        <color theme="1"/>
        <rFont val="Calibri"/>
        <family val="2"/>
        <scheme val="minor"/>
      </rPr>
      <t/>
    </r>
  </si>
  <si>
    <r>
      <rPr>
        <b/>
        <sz val="10"/>
        <color rgb="FF0000FF"/>
        <rFont val="Arial"/>
        <family val="2"/>
      </rPr>
      <t xml:space="preserve">N </t>
    </r>
    <r>
      <rPr>
        <b/>
        <sz val="10"/>
        <rFont val="Arial"/>
        <family val="2"/>
      </rPr>
      <t>1905</t>
    </r>
    <r>
      <rPr>
        <sz val="11"/>
        <color theme="1"/>
        <rFont val="Calibri"/>
        <family val="2"/>
        <scheme val="minor"/>
      </rPr>
      <t/>
    </r>
  </si>
  <si>
    <r>
      <rPr>
        <b/>
        <sz val="10"/>
        <color rgb="FF0000FF"/>
        <rFont val="Arial"/>
        <family val="2"/>
      </rPr>
      <t xml:space="preserve">N </t>
    </r>
    <r>
      <rPr>
        <b/>
        <sz val="10"/>
        <rFont val="Arial"/>
        <family val="2"/>
      </rPr>
      <t>1906</t>
    </r>
    <r>
      <rPr>
        <sz val="11"/>
        <color theme="1"/>
        <rFont val="Calibri"/>
        <family val="2"/>
        <scheme val="minor"/>
      </rPr>
      <t/>
    </r>
  </si>
  <si>
    <r>
      <rPr>
        <b/>
        <sz val="10"/>
        <color rgb="FF0000FF"/>
        <rFont val="Arial"/>
        <family val="2"/>
      </rPr>
      <t xml:space="preserve">N </t>
    </r>
    <r>
      <rPr>
        <b/>
        <sz val="10"/>
        <rFont val="Arial"/>
        <family val="2"/>
      </rPr>
      <t>1907</t>
    </r>
    <r>
      <rPr>
        <sz val="11"/>
        <color theme="1"/>
        <rFont val="Calibri"/>
        <family val="2"/>
        <scheme val="minor"/>
      </rPr>
      <t/>
    </r>
  </si>
  <si>
    <r>
      <rPr>
        <b/>
        <sz val="10"/>
        <color rgb="FF0000FF"/>
        <rFont val="Arial"/>
        <family val="2"/>
      </rPr>
      <t xml:space="preserve">N </t>
    </r>
    <r>
      <rPr>
        <b/>
        <sz val="10"/>
        <rFont val="Arial"/>
        <family val="2"/>
      </rPr>
      <t>1908</t>
    </r>
    <r>
      <rPr>
        <sz val="11"/>
        <color theme="1"/>
        <rFont val="Calibri"/>
        <family val="2"/>
        <scheme val="minor"/>
      </rPr>
      <t/>
    </r>
  </si>
  <si>
    <r>
      <rPr>
        <b/>
        <sz val="10"/>
        <color rgb="FF0000FF"/>
        <rFont val="Arial"/>
        <family val="2"/>
      </rPr>
      <t xml:space="preserve">N </t>
    </r>
    <r>
      <rPr>
        <b/>
        <sz val="10"/>
        <rFont val="Arial"/>
        <family val="2"/>
      </rPr>
      <t>1910</t>
    </r>
    <r>
      <rPr>
        <sz val="11"/>
        <color theme="1"/>
        <rFont val="Calibri"/>
        <family val="2"/>
        <scheme val="minor"/>
      </rPr>
      <t/>
    </r>
  </si>
  <si>
    <r>
      <rPr>
        <b/>
        <sz val="10"/>
        <color rgb="FF0000FF"/>
        <rFont val="Arial"/>
        <family val="2"/>
      </rPr>
      <t xml:space="preserve">N </t>
    </r>
    <r>
      <rPr>
        <b/>
        <sz val="10"/>
        <rFont val="Arial"/>
        <family val="2"/>
      </rPr>
      <t>1911</t>
    </r>
    <r>
      <rPr>
        <sz val="11"/>
        <color theme="1"/>
        <rFont val="Calibri"/>
        <family val="2"/>
        <scheme val="minor"/>
      </rPr>
      <t/>
    </r>
  </si>
  <si>
    <r>
      <rPr>
        <b/>
        <sz val="10"/>
        <color rgb="FF0000FF"/>
        <rFont val="Arial"/>
        <family val="2"/>
      </rPr>
      <t xml:space="preserve">N </t>
    </r>
    <r>
      <rPr>
        <b/>
        <sz val="10"/>
        <rFont val="Arial"/>
        <family val="2"/>
      </rPr>
      <t>1912</t>
    </r>
    <r>
      <rPr>
        <sz val="11"/>
        <color theme="1"/>
        <rFont val="Calibri"/>
        <family val="2"/>
        <scheme val="minor"/>
      </rPr>
      <t/>
    </r>
  </si>
  <si>
    <r>
      <rPr>
        <b/>
        <sz val="10"/>
        <color rgb="FF0000FF"/>
        <rFont val="Arial"/>
        <family val="2"/>
      </rPr>
      <t xml:space="preserve">N </t>
    </r>
    <r>
      <rPr>
        <b/>
        <sz val="10"/>
        <rFont val="Arial"/>
        <family val="2"/>
      </rPr>
      <t>1914</t>
    </r>
    <r>
      <rPr>
        <sz val="11"/>
        <color theme="1"/>
        <rFont val="Calibri"/>
        <family val="2"/>
        <scheme val="minor"/>
      </rPr>
      <t/>
    </r>
  </si>
  <si>
    <r>
      <rPr>
        <b/>
        <sz val="10"/>
        <color rgb="FF0000FF"/>
        <rFont val="Arial"/>
        <family val="2"/>
      </rPr>
      <t xml:space="preserve">N </t>
    </r>
    <r>
      <rPr>
        <b/>
        <sz val="10"/>
        <rFont val="Arial"/>
        <family val="2"/>
      </rPr>
      <t>1915</t>
    </r>
    <r>
      <rPr>
        <sz val="11"/>
        <color theme="1"/>
        <rFont val="Calibri"/>
        <family val="2"/>
        <scheme val="minor"/>
      </rPr>
      <t/>
    </r>
  </si>
  <si>
    <r>
      <rPr>
        <b/>
        <sz val="10"/>
        <color rgb="FF0000FF"/>
        <rFont val="Arial"/>
        <family val="2"/>
      </rPr>
      <t xml:space="preserve">N </t>
    </r>
    <r>
      <rPr>
        <b/>
        <sz val="10"/>
        <rFont val="Arial"/>
        <family val="2"/>
      </rPr>
      <t>1916</t>
    </r>
    <r>
      <rPr>
        <sz val="11"/>
        <color theme="1"/>
        <rFont val="Calibri"/>
        <family val="2"/>
        <scheme val="minor"/>
      </rPr>
      <t/>
    </r>
  </si>
  <si>
    <r>
      <rPr>
        <b/>
        <sz val="10"/>
        <color rgb="FF0000FF"/>
        <rFont val="Arial"/>
        <family val="2"/>
      </rPr>
      <t xml:space="preserve">N </t>
    </r>
    <r>
      <rPr>
        <b/>
        <sz val="10"/>
        <rFont val="Arial"/>
        <family val="2"/>
      </rPr>
      <t>1917</t>
    </r>
    <r>
      <rPr>
        <sz val="11"/>
        <color theme="1"/>
        <rFont val="Calibri"/>
        <family val="2"/>
        <scheme val="minor"/>
      </rPr>
      <t/>
    </r>
  </si>
  <si>
    <r>
      <rPr>
        <b/>
        <sz val="10"/>
        <color rgb="FF0000FF"/>
        <rFont val="Arial"/>
        <family val="2"/>
      </rPr>
      <t xml:space="preserve">N </t>
    </r>
    <r>
      <rPr>
        <b/>
        <sz val="10"/>
        <rFont val="Arial"/>
        <family val="2"/>
      </rPr>
      <t>1918</t>
    </r>
    <r>
      <rPr>
        <sz val="11"/>
        <color theme="1"/>
        <rFont val="Calibri"/>
        <family val="2"/>
        <scheme val="minor"/>
      </rPr>
      <t/>
    </r>
  </si>
  <si>
    <r>
      <rPr>
        <b/>
        <sz val="10"/>
        <color rgb="FF0000FF"/>
        <rFont val="Arial"/>
        <family val="2"/>
      </rPr>
      <t xml:space="preserve">N </t>
    </r>
    <r>
      <rPr>
        <b/>
        <sz val="10"/>
        <rFont val="Arial"/>
        <family val="2"/>
      </rPr>
      <t>1921</t>
    </r>
    <r>
      <rPr>
        <sz val="11"/>
        <color theme="1"/>
        <rFont val="Calibri"/>
        <family val="2"/>
        <scheme val="minor"/>
      </rPr>
      <t/>
    </r>
  </si>
  <si>
    <r>
      <rPr>
        <b/>
        <sz val="10"/>
        <color rgb="FF0000FF"/>
        <rFont val="Arial"/>
        <family val="2"/>
      </rPr>
      <t xml:space="preserve">N </t>
    </r>
    <r>
      <rPr>
        <b/>
        <sz val="10"/>
        <rFont val="Arial"/>
        <family val="2"/>
      </rPr>
      <t>1924</t>
    </r>
    <r>
      <rPr>
        <sz val="11"/>
        <color theme="1"/>
        <rFont val="Calibri"/>
        <family val="2"/>
        <scheme val="minor"/>
      </rPr>
      <t/>
    </r>
  </si>
  <si>
    <r>
      <rPr>
        <b/>
        <sz val="10"/>
        <color rgb="FF0000FF"/>
        <rFont val="Arial"/>
        <family val="2"/>
      </rPr>
      <t xml:space="preserve">N </t>
    </r>
    <r>
      <rPr>
        <b/>
        <sz val="10"/>
        <rFont val="Arial"/>
        <family val="2"/>
      </rPr>
      <t>1925</t>
    </r>
    <r>
      <rPr>
        <sz val="11"/>
        <color theme="1"/>
        <rFont val="Calibri"/>
        <family val="2"/>
        <scheme val="minor"/>
      </rPr>
      <t/>
    </r>
  </si>
  <si>
    <r>
      <rPr>
        <b/>
        <sz val="10"/>
        <color rgb="FF0000FF"/>
        <rFont val="Arial"/>
        <family val="2"/>
      </rPr>
      <t xml:space="preserve">N </t>
    </r>
    <r>
      <rPr>
        <b/>
        <sz val="10"/>
        <rFont val="Arial"/>
        <family val="2"/>
      </rPr>
      <t>1926</t>
    </r>
    <r>
      <rPr>
        <sz val="11"/>
        <color theme="1"/>
        <rFont val="Calibri"/>
        <family val="2"/>
        <scheme val="minor"/>
      </rPr>
      <t/>
    </r>
  </si>
  <si>
    <r>
      <rPr>
        <b/>
        <sz val="10"/>
        <color rgb="FF0000FF"/>
        <rFont val="Arial"/>
        <family val="2"/>
      </rPr>
      <t xml:space="preserve">N </t>
    </r>
    <r>
      <rPr>
        <b/>
        <sz val="10"/>
        <rFont val="Arial"/>
        <family val="2"/>
      </rPr>
      <t>1927</t>
    </r>
    <r>
      <rPr>
        <sz val="11"/>
        <color theme="1"/>
        <rFont val="Calibri"/>
        <family val="2"/>
        <scheme val="minor"/>
      </rPr>
      <t/>
    </r>
  </si>
  <si>
    <r>
      <rPr>
        <b/>
        <sz val="10"/>
        <color rgb="FF0000FF"/>
        <rFont val="Arial"/>
        <family val="2"/>
      </rPr>
      <t xml:space="preserve">N </t>
    </r>
    <r>
      <rPr>
        <b/>
        <sz val="10"/>
        <rFont val="Arial"/>
        <family val="2"/>
      </rPr>
      <t>1929</t>
    </r>
    <r>
      <rPr>
        <sz val="11"/>
        <color theme="1"/>
        <rFont val="Calibri"/>
        <family val="2"/>
        <scheme val="minor"/>
      </rPr>
      <t/>
    </r>
  </si>
  <si>
    <r>
      <rPr>
        <b/>
        <sz val="10"/>
        <color rgb="FF0000FF"/>
        <rFont val="Arial"/>
        <family val="2"/>
      </rPr>
      <t xml:space="preserve">N </t>
    </r>
    <r>
      <rPr>
        <b/>
        <sz val="10"/>
        <rFont val="Arial"/>
        <family val="2"/>
      </rPr>
      <t>1931</t>
    </r>
    <r>
      <rPr>
        <sz val="11"/>
        <color theme="1"/>
        <rFont val="Calibri"/>
        <family val="2"/>
        <scheme val="minor"/>
      </rPr>
      <t/>
    </r>
  </si>
  <si>
    <r>
      <rPr>
        <b/>
        <sz val="10"/>
        <color rgb="FF0000FF"/>
        <rFont val="Arial"/>
        <family val="2"/>
      </rPr>
      <t xml:space="preserve">N </t>
    </r>
    <r>
      <rPr>
        <b/>
        <sz val="10"/>
        <rFont val="Arial"/>
        <family val="2"/>
      </rPr>
      <t>1932</t>
    </r>
    <r>
      <rPr>
        <sz val="11"/>
        <color theme="1"/>
        <rFont val="Calibri"/>
        <family val="2"/>
        <scheme val="minor"/>
      </rPr>
      <t/>
    </r>
  </si>
  <si>
    <r>
      <rPr>
        <b/>
        <sz val="10"/>
        <color rgb="FF0000FF"/>
        <rFont val="Arial"/>
        <family val="2"/>
      </rPr>
      <t xml:space="preserve">N </t>
    </r>
    <r>
      <rPr>
        <b/>
        <sz val="10"/>
        <rFont val="Arial"/>
        <family val="2"/>
      </rPr>
      <t>1934</t>
    </r>
    <r>
      <rPr>
        <sz val="11"/>
        <color theme="1"/>
        <rFont val="Calibri"/>
        <family val="2"/>
        <scheme val="minor"/>
      </rPr>
      <t/>
    </r>
  </si>
  <si>
    <r>
      <rPr>
        <b/>
        <sz val="10"/>
        <color rgb="FF0000FF"/>
        <rFont val="Arial"/>
        <family val="2"/>
      </rPr>
      <t xml:space="preserve">N </t>
    </r>
    <r>
      <rPr>
        <b/>
        <sz val="10"/>
        <rFont val="Arial"/>
        <family val="2"/>
      </rPr>
      <t>1936</t>
    </r>
    <r>
      <rPr>
        <sz val="11"/>
        <color theme="1"/>
        <rFont val="Calibri"/>
        <family val="2"/>
        <scheme val="minor"/>
      </rPr>
      <t/>
    </r>
  </si>
  <si>
    <r>
      <rPr>
        <b/>
        <sz val="10"/>
        <color rgb="FF0000FF"/>
        <rFont val="Arial"/>
        <family val="2"/>
      </rPr>
      <t xml:space="preserve">N </t>
    </r>
    <r>
      <rPr>
        <b/>
        <sz val="10"/>
        <rFont val="Arial"/>
        <family val="2"/>
      </rPr>
      <t>1939</t>
    </r>
    <r>
      <rPr>
        <sz val="11"/>
        <color theme="1"/>
        <rFont val="Calibri"/>
        <family val="2"/>
        <scheme val="minor"/>
      </rPr>
      <t/>
    </r>
  </si>
  <si>
    <r>
      <rPr>
        <b/>
        <sz val="10"/>
        <color rgb="FF0000FF"/>
        <rFont val="Arial"/>
        <family val="2"/>
      </rPr>
      <t xml:space="preserve">N </t>
    </r>
    <r>
      <rPr>
        <b/>
        <sz val="10"/>
        <rFont val="Arial"/>
        <family val="2"/>
      </rPr>
      <t>1940</t>
    </r>
    <r>
      <rPr>
        <sz val="11"/>
        <color theme="1"/>
        <rFont val="Calibri"/>
        <family val="2"/>
        <scheme val="minor"/>
      </rPr>
      <t/>
    </r>
  </si>
  <si>
    <r>
      <rPr>
        <b/>
        <sz val="10"/>
        <color rgb="FF0000FF"/>
        <rFont val="Arial"/>
        <family val="2"/>
      </rPr>
      <t xml:space="preserve">N </t>
    </r>
    <r>
      <rPr>
        <b/>
        <sz val="10"/>
        <rFont val="Arial"/>
        <family val="2"/>
      </rPr>
      <t>1941</t>
    </r>
    <r>
      <rPr>
        <sz val="11"/>
        <color theme="1"/>
        <rFont val="Calibri"/>
        <family val="2"/>
        <scheme val="minor"/>
      </rPr>
      <t/>
    </r>
  </si>
  <si>
    <r>
      <rPr>
        <b/>
        <sz val="10"/>
        <color rgb="FF0000FF"/>
        <rFont val="Arial"/>
        <family val="2"/>
      </rPr>
      <t xml:space="preserve">N </t>
    </r>
    <r>
      <rPr>
        <b/>
        <sz val="10"/>
        <rFont val="Arial"/>
        <family val="2"/>
      </rPr>
      <t>1942</t>
    </r>
    <r>
      <rPr>
        <sz val="11"/>
        <color theme="1"/>
        <rFont val="Calibri"/>
        <family val="2"/>
        <scheme val="minor"/>
      </rPr>
      <t/>
    </r>
  </si>
  <si>
    <r>
      <rPr>
        <b/>
        <sz val="10"/>
        <color rgb="FF0000FF"/>
        <rFont val="Arial"/>
        <family val="2"/>
      </rPr>
      <t xml:space="preserve">N </t>
    </r>
    <r>
      <rPr>
        <b/>
        <sz val="10"/>
        <rFont val="Arial"/>
        <family val="2"/>
      </rPr>
      <t>1943</t>
    </r>
    <r>
      <rPr>
        <sz val="11"/>
        <color theme="1"/>
        <rFont val="Calibri"/>
        <family val="2"/>
        <scheme val="minor"/>
      </rPr>
      <t/>
    </r>
  </si>
  <si>
    <r>
      <rPr>
        <b/>
        <sz val="10"/>
        <color rgb="FF0000FF"/>
        <rFont val="Arial"/>
        <family val="2"/>
      </rPr>
      <t xml:space="preserve">N </t>
    </r>
    <r>
      <rPr>
        <b/>
        <sz val="10"/>
        <rFont val="Arial"/>
        <family val="2"/>
      </rPr>
      <t>1944</t>
    </r>
    <r>
      <rPr>
        <sz val="11"/>
        <color theme="1"/>
        <rFont val="Calibri"/>
        <family val="2"/>
        <scheme val="minor"/>
      </rPr>
      <t/>
    </r>
  </si>
  <si>
    <r>
      <rPr>
        <b/>
        <sz val="10"/>
        <color rgb="FF0000FF"/>
        <rFont val="Arial"/>
        <family val="2"/>
      </rPr>
      <t xml:space="preserve">N </t>
    </r>
    <r>
      <rPr>
        <b/>
        <sz val="10"/>
        <rFont val="Arial"/>
        <family val="2"/>
      </rPr>
      <t>1947</t>
    </r>
    <r>
      <rPr>
        <sz val="11"/>
        <color theme="1"/>
        <rFont val="Calibri"/>
        <family val="2"/>
        <scheme val="minor"/>
      </rPr>
      <t/>
    </r>
  </si>
  <si>
    <r>
      <rPr>
        <b/>
        <sz val="10"/>
        <color rgb="FF0000FF"/>
        <rFont val="Arial"/>
        <family val="2"/>
      </rPr>
      <t xml:space="preserve">N </t>
    </r>
    <r>
      <rPr>
        <b/>
        <sz val="10"/>
        <rFont val="Arial"/>
        <family val="2"/>
      </rPr>
      <t>1948</t>
    </r>
    <r>
      <rPr>
        <sz val="11"/>
        <color theme="1"/>
        <rFont val="Calibri"/>
        <family val="2"/>
        <scheme val="minor"/>
      </rPr>
      <t/>
    </r>
  </si>
  <si>
    <r>
      <rPr>
        <b/>
        <sz val="10"/>
        <color rgb="FF0000FF"/>
        <rFont val="Arial"/>
        <family val="2"/>
      </rPr>
      <t xml:space="preserve">N </t>
    </r>
    <r>
      <rPr>
        <b/>
        <sz val="10"/>
        <rFont val="Arial"/>
        <family val="2"/>
      </rPr>
      <t>1949</t>
    </r>
    <r>
      <rPr>
        <sz val="11"/>
        <color theme="1"/>
        <rFont val="Calibri"/>
        <family val="2"/>
        <scheme val="minor"/>
      </rPr>
      <t/>
    </r>
  </si>
  <si>
    <r>
      <rPr>
        <b/>
        <sz val="10"/>
        <color rgb="FF0000FF"/>
        <rFont val="Arial"/>
        <family val="2"/>
      </rPr>
      <t xml:space="preserve">N </t>
    </r>
    <r>
      <rPr>
        <b/>
        <sz val="10"/>
        <rFont val="Arial"/>
        <family val="2"/>
      </rPr>
      <t>1950</t>
    </r>
    <r>
      <rPr>
        <sz val="11"/>
        <color theme="1"/>
        <rFont val="Calibri"/>
        <family val="2"/>
        <scheme val="minor"/>
      </rPr>
      <t/>
    </r>
  </si>
  <si>
    <r>
      <rPr>
        <b/>
        <sz val="10"/>
        <color rgb="FF0000FF"/>
        <rFont val="Arial"/>
        <family val="2"/>
      </rPr>
      <t xml:space="preserve">N </t>
    </r>
    <r>
      <rPr>
        <b/>
        <sz val="10"/>
        <rFont val="Arial"/>
        <family val="2"/>
      </rPr>
      <t xml:space="preserve">1862
</t>
    </r>
    <r>
      <rPr>
        <sz val="10"/>
        <color rgb="FFFF0000"/>
        <rFont val="Arial"/>
        <family val="2"/>
      </rPr>
      <t>9+11/05/2023 Owner advised completed &amp; aerials confirmed 24/05/2023
DUE 21 JUNE 2023</t>
    </r>
  </si>
  <si>
    <r>
      <rPr>
        <b/>
        <sz val="10"/>
        <color rgb="FF0000FF"/>
        <rFont val="Arial"/>
        <family val="2"/>
      </rPr>
      <t xml:space="preserve">N </t>
    </r>
    <r>
      <rPr>
        <b/>
        <sz val="10"/>
        <rFont val="Arial"/>
        <family val="2"/>
      </rPr>
      <t xml:space="preserve">1496
</t>
    </r>
    <r>
      <rPr>
        <b/>
        <sz val="10"/>
        <color rgb="FFFF0000"/>
        <rFont val="Arial"/>
        <family val="2"/>
      </rPr>
      <t>REPLACED BY N 1613 re MCU20/0127</t>
    </r>
  </si>
  <si>
    <t>D000511882</t>
  </si>
  <si>
    <t>D000511884</t>
  </si>
  <si>
    <t>D000511889</t>
  </si>
  <si>
    <t>Warehouse = 445 m2 gfa 
(MCU20/0009 - Stage 5)</t>
  </si>
  <si>
    <t>MCU23/0042
Approved 26/05/2023
Issued 31/05/2023</t>
  </si>
  <si>
    <t>DBW23/0025
Approved: 01/06/2023
Issued: 05/06/2023</t>
  </si>
  <si>
    <t xml:space="preserve">Derek &amp; Mavis Hill
</t>
  </si>
  <si>
    <t>C/- Brennan Planning Pty Ltd
44 Maple Street
COOROY QLD 4563</t>
  </si>
  <si>
    <t>Lot 6 RP 160640</t>
  </si>
  <si>
    <t>367 Lake Macdonald
LAKE MACDONALD QLD 4563</t>
  </si>
  <si>
    <t>D000512707</t>
  </si>
  <si>
    <t>June 2023
Total =</t>
  </si>
  <si>
    <t>DBW23/0024
Approved: 31/05/2023
Issued: 05/06/2024</t>
  </si>
  <si>
    <t>JH Porter &amp; M Hardinge</t>
  </si>
  <si>
    <t>C/- Brennan Planning Pty Ltd
44 Maple Street
COOROY QLD 4564</t>
  </si>
  <si>
    <t>Lot 3 RP 179954</t>
  </si>
  <si>
    <t>40 Donnellys Road
RIDGEWOOD QLD 4563</t>
  </si>
  <si>
    <t>D000513005</t>
  </si>
  <si>
    <t>PO Box 45
NOOSAVILLE QLD 4566</t>
  </si>
  <si>
    <t>686 Pomona Kin Kin Road
KIN KIN QLD 4571</t>
  </si>
  <si>
    <t>Lot 101 SP 292486</t>
  </si>
  <si>
    <t>PC23/0339
Approved 25/04/2023
Received &amp; Registered 31/05/2023</t>
  </si>
  <si>
    <t>Building Work
Earthcert Building Approvals - Decision Notice: 230053</t>
  </si>
  <si>
    <t>Darren Taylor Building</t>
  </si>
  <si>
    <t>92 Old Traveston Road
TRAVESTON QLD 4570</t>
  </si>
  <si>
    <t>Lot 4 RP 223076</t>
  </si>
  <si>
    <t>26 Birdwood Lane 
COOROY QLD 4563</t>
  </si>
  <si>
    <r>
      <rPr>
        <b/>
        <sz val="10"/>
        <color rgb="FF0000FF"/>
        <rFont val="Arial"/>
        <family val="2"/>
      </rPr>
      <t xml:space="preserve">N </t>
    </r>
    <r>
      <rPr>
        <b/>
        <sz val="10"/>
        <rFont val="Arial"/>
        <family val="2"/>
      </rPr>
      <t xml:space="preserve">1570
</t>
    </r>
    <r>
      <rPr>
        <sz val="10"/>
        <color rgb="FFFF0000"/>
        <rFont val="Arial"/>
        <family val="2"/>
      </rPr>
      <t>8/6/2023 requested details to make payment</t>
    </r>
  </si>
  <si>
    <r>
      <t xml:space="preserve">Stg Pmt Agmt 15/03//2023
STG PMT 1 = $2,979.00 paid 4/04/2023
</t>
    </r>
    <r>
      <rPr>
        <b/>
        <sz val="10"/>
        <color rgb="FFFF0000"/>
        <rFont val="Arial"/>
        <family val="2"/>
      </rPr>
      <t>Stg Pmt 2 Bal $8,938.00 Due 6 APRIL 2024</t>
    </r>
  </si>
  <si>
    <t>D000513934</t>
  </si>
  <si>
    <t>132001.210011.4
Approved: 08/06/2023
Issued: 12/06/2024</t>
  </si>
  <si>
    <t>N/a Minor change</t>
  </si>
  <si>
    <t>FORTIFIED INVESTMENTS PTY LTD</t>
  </si>
  <si>
    <t>Colonial Commercial
unit 6/239-245 Gympie Tce, Noosaville QLD 4566</t>
  </si>
  <si>
    <t>Lot 6 SP 158841</t>
  </si>
  <si>
    <t>Food &amp; drink outlet = 103 m2 gfa +
no change to Impervious area</t>
  </si>
  <si>
    <t>Shop = 101m2 gfa</t>
  </si>
  <si>
    <t>132009.146.01
Approved: 13/06/2023
Issued: 14/06/2023</t>
  </si>
  <si>
    <t>LW Sparrow &amp; KT Sparrow</t>
  </si>
  <si>
    <t>Lot 3 RP 143356</t>
  </si>
  <si>
    <t>385 Lake Macdonald Drive
LAKE MACDONALD QLD 4563</t>
  </si>
  <si>
    <t>Part payment</t>
  </si>
  <si>
    <r>
      <rPr>
        <b/>
        <sz val="10"/>
        <color rgb="FF0000FF"/>
        <rFont val="Arial"/>
        <family val="2"/>
      </rPr>
      <t xml:space="preserve">N </t>
    </r>
    <r>
      <rPr>
        <b/>
        <sz val="10"/>
        <rFont val="Arial"/>
        <family val="2"/>
      </rPr>
      <t xml:space="preserve">1759
(Stage 2)
</t>
    </r>
    <r>
      <rPr>
        <sz val="10"/>
        <color rgb="FFFF0000"/>
        <rFont val="Arial"/>
        <family val="2"/>
      </rPr>
      <t>Payment details requested 15/06/2023</t>
    </r>
  </si>
  <si>
    <t xml:space="preserve"> D000514552</t>
  </si>
  <si>
    <t xml:space="preserve">IA 88
(STAGE 2)
</t>
  </si>
  <si>
    <r>
      <rPr>
        <b/>
        <sz val="10"/>
        <color rgb="FF0000FF"/>
        <rFont val="Arial"/>
        <family val="2"/>
      </rPr>
      <t xml:space="preserve">N </t>
    </r>
    <r>
      <rPr>
        <b/>
        <sz val="10"/>
        <rFont val="Arial"/>
        <family val="2"/>
      </rPr>
      <t xml:space="preserve">1660
(STAGE 2)
</t>
    </r>
  </si>
  <si>
    <t>1606/2023</t>
  </si>
  <si>
    <t>D000514804</t>
  </si>
  <si>
    <t>51989.108.22
Approved: 09/06/2023
Issued: 19/06/2023</t>
  </si>
  <si>
    <t>453 Oceanic Dr
Wurtulla, QLD 4575</t>
  </si>
  <si>
    <t>25 Nannygai St 
NOOSAVILLE QLD 4566</t>
  </si>
  <si>
    <t>Lot 1 SP 141238</t>
  </si>
  <si>
    <t xml:space="preserve">Accommodation (Long term) - Retirement facility = 4 x 2 bed units +
</t>
  </si>
  <si>
    <t>Accommodation (Long term) - Retirement facility = 2 x 2 bed units 21 &amp; 22 +
2 x 3 bed units 39 &amp; 40</t>
  </si>
  <si>
    <r>
      <rPr>
        <b/>
        <sz val="10"/>
        <color rgb="FF0000FF"/>
        <rFont val="Arial"/>
        <family val="2"/>
      </rPr>
      <t xml:space="preserve">N </t>
    </r>
    <r>
      <rPr>
        <b/>
        <sz val="10"/>
        <rFont val="Arial"/>
        <family val="2"/>
      </rPr>
      <t xml:space="preserve">1629 
</t>
    </r>
    <r>
      <rPr>
        <b/>
        <sz val="10"/>
        <color rgb="FFFF0000"/>
        <rFont val="Arial"/>
        <family val="2"/>
      </rPr>
      <t xml:space="preserve">Amended Stg Pmt 4 </t>
    </r>
    <r>
      <rPr>
        <sz val="10"/>
        <color rgb="FFFF0000"/>
        <rFont val="Arial"/>
        <family val="2"/>
      </rPr>
      <t>Bal
DUE 15 JUNE 2023
Not Paid &amp; transferred to Rates for recovery.</t>
    </r>
  </si>
  <si>
    <t>Planning Reg 2020-2021
With compound interest from 1/07/2021</t>
  </si>
  <si>
    <t>Balance Transferred to Rates</t>
  </si>
  <si>
    <t>RAL21/0022
Approved:12/06/2023
Issued: 19/06/2023</t>
  </si>
  <si>
    <t>I Love Pomona Pty Ltd TTE</t>
  </si>
  <si>
    <t xml:space="preserve">7 Triller Crt Pomona Qld 4568 </t>
  </si>
  <si>
    <t xml:space="preserve">Lot 4 SP 320405 </t>
  </si>
  <si>
    <t>Lot reconfiguration =  4 lots</t>
  </si>
  <si>
    <t>Dwelling house on 1 lot</t>
  </si>
  <si>
    <t>D000515137</t>
  </si>
  <si>
    <t>charges journal # 1772030  &amp; GL posting journal 1772031</t>
  </si>
  <si>
    <t>MCU22/0197
Approved:15/06/2023
Issued: 20/06/2023</t>
  </si>
  <si>
    <t>IS Trovatello &amp; SA Rawson</t>
  </si>
  <si>
    <t xml:space="preserve">73 Southern Cross Pde 
Sunrise Beach Qld 4567 </t>
  </si>
  <si>
    <t>Lot 672 RP 225123</t>
  </si>
  <si>
    <t>D000515552</t>
  </si>
  <si>
    <t>132007.12.9
Approved:15/06/2023
Issued: 21/06/2023</t>
  </si>
  <si>
    <t>DWML Subsidiary Pty Ltd as trustee for DREP1 Noosaville Trust</t>
  </si>
  <si>
    <t>C/- Willowtree Planning Pty Ltd
Suite 1 Level 10
56 Berry Street
NORTH SYDNEY NSW 2060</t>
  </si>
  <si>
    <t>88a Goodchap St 
Noosaville Qld 4566</t>
  </si>
  <si>
    <t>Lot 3 SP 264909</t>
  </si>
  <si>
    <t>N/A - additional to existing</t>
  </si>
  <si>
    <t>Essential Services - Health Care service = Additional 133m2 gfa &amp; no change to existing impervious area</t>
  </si>
  <si>
    <t>PC23/0568
Approved 2/06/2023
Received &amp; Registered 19/06/2023</t>
  </si>
  <si>
    <t>Building Work
North Shore Building Approvals - Decision Notice: 23-061</t>
  </si>
  <si>
    <t>Kristian Unternahrer</t>
  </si>
  <si>
    <t>8 Tingara Court
TEWANTIN QLD 4565</t>
  </si>
  <si>
    <t>Lot 28 SP 103379</t>
  </si>
  <si>
    <t>PC23/0565
Approved 5/06/2023
Received &amp; Registered 19/06/2023</t>
  </si>
  <si>
    <t>Building Work
North Shore Building Approvals - Decision Notice: 23-063</t>
  </si>
  <si>
    <t xml:space="preserve">Roy Young
</t>
  </si>
  <si>
    <t>PO Box 289
NOOSAVILLE QLD 4566</t>
  </si>
  <si>
    <t>Lot 296 RP 856193</t>
  </si>
  <si>
    <t>50 The Peninsula
NOOSAVILLE QLD 4566</t>
  </si>
  <si>
    <t>Building Work
North Shore Building Approvals - Decision Notice: 22-200</t>
  </si>
  <si>
    <t xml:space="preserve">Mathew Payne
</t>
  </si>
  <si>
    <t>249 Beddington Road
DOONAN QLD 4562</t>
  </si>
  <si>
    <t>Lot 110 RP 881884</t>
  </si>
  <si>
    <t>Indexation
Type &amp; on Website</t>
  </si>
  <si>
    <r>
      <rPr>
        <b/>
        <sz val="10"/>
        <color rgb="FF0000FF"/>
        <rFont val="Arial"/>
        <family val="2"/>
      </rPr>
      <t xml:space="preserve">N </t>
    </r>
    <r>
      <rPr>
        <b/>
        <sz val="10"/>
        <rFont val="Arial"/>
        <family val="2"/>
      </rPr>
      <t xml:space="preserve">1682
</t>
    </r>
    <r>
      <rPr>
        <sz val="10"/>
        <color rgb="FFFF0000"/>
        <rFont val="Arial"/>
        <family val="2"/>
      </rPr>
      <t xml:space="preserve">Final Inspection certificate Issued 23/03/2023
DUE 21 JUNE 2023 </t>
    </r>
  </si>
  <si>
    <r>
      <rPr>
        <b/>
        <sz val="10"/>
        <color rgb="FF0000FF"/>
        <rFont val="Arial"/>
        <family val="2"/>
      </rPr>
      <t xml:space="preserve">N </t>
    </r>
    <r>
      <rPr>
        <b/>
        <sz val="10"/>
        <rFont val="Arial"/>
        <family val="2"/>
      </rPr>
      <t xml:space="preserve">1682
</t>
    </r>
    <r>
      <rPr>
        <sz val="10"/>
        <color rgb="FFFF0000"/>
        <rFont val="Arial"/>
        <family val="2"/>
      </rPr>
      <t>Final Inspection certificate Issued 23/03/2023</t>
    </r>
  </si>
  <si>
    <t>D000515758</t>
  </si>
  <si>
    <t>D000516596</t>
  </si>
  <si>
    <t>PC23/0002
Approved 25/06/2023
Received &amp; Registered 15/06/2023</t>
  </si>
  <si>
    <t>PC23/0254
Approved 8/02/2023
Received &amp; Registered 5/05/2023</t>
  </si>
  <si>
    <t>Building Work
Earthcert Building Approvals - Decision Notice: 220452</t>
  </si>
  <si>
    <t>Building Work
Core Building Approvals - Decision Notice: 221237</t>
  </si>
  <si>
    <t>JM Design &amp; Constructions Pty Ltd</t>
  </si>
  <si>
    <t>24 Brushbox Place
EUMUNDI QLD 4562</t>
  </si>
  <si>
    <t xml:space="preserve">Archend </t>
  </si>
  <si>
    <t>PO Box 548
COOLUM BEACH QLD 4573</t>
  </si>
  <si>
    <t>Lot 8 SP 105631</t>
  </si>
  <si>
    <t>Lot 41 RP 52918</t>
  </si>
  <si>
    <t>49 Lake Ridge Court
LAKE MACDONALD QLD 4563</t>
  </si>
  <si>
    <t>91 Upper Hastings Street
NOOSA HEADS QLD 4567</t>
  </si>
  <si>
    <t>PC22/1272
Approved 5/05/2023
Received &amp; Registered 20/06/2023</t>
  </si>
  <si>
    <t>D000516811</t>
  </si>
  <si>
    <r>
      <rPr>
        <b/>
        <sz val="10"/>
        <color rgb="FF0000FF"/>
        <rFont val="Arial"/>
        <family val="2"/>
      </rPr>
      <t xml:space="preserve">N </t>
    </r>
    <r>
      <rPr>
        <b/>
        <sz val="10"/>
        <rFont val="Arial"/>
        <family val="2"/>
      </rPr>
      <t xml:space="preserve">1646
</t>
    </r>
    <r>
      <rPr>
        <sz val="10"/>
        <color rgb="FFFF0000"/>
        <rFont val="Arial"/>
        <family val="2"/>
      </rPr>
      <t>Final Inspection Cert issued 
17/02/2022&amp; Stg Pmt Agmt 15/03//2023
STG PMT 1 = $2,979.00 Paid
Stg Pmt 2 Bal $8,938.00
 Due 6 APRIL 2024</t>
    </r>
  </si>
  <si>
    <t>Paid 
Stg Pmt 2</t>
  </si>
  <si>
    <t xml:space="preserve"> D000517059</t>
  </si>
  <si>
    <t>Planning Reg 2023-2024</t>
  </si>
  <si>
    <r>
      <t xml:space="preserve">Planning Reg </t>
    </r>
    <r>
      <rPr>
        <b/>
        <sz val="10"/>
        <rFont val="Arial"/>
        <family val="2"/>
      </rPr>
      <t>2023-2024</t>
    </r>
  </si>
  <si>
    <t>JULY 2023
Total =</t>
  </si>
  <si>
    <r>
      <rPr>
        <b/>
        <sz val="10"/>
        <color rgb="FF0000FF"/>
        <rFont val="Arial"/>
        <family val="2"/>
      </rPr>
      <t xml:space="preserve">Paid 
</t>
    </r>
    <r>
      <rPr>
        <sz val="10"/>
        <color rgb="FF0000FF"/>
        <rFont val="Arial"/>
        <family val="2"/>
      </rPr>
      <t>Stg Pmt 2</t>
    </r>
  </si>
  <si>
    <r>
      <rPr>
        <b/>
        <sz val="10"/>
        <color rgb="FF0000FF"/>
        <rFont val="Arial"/>
        <family val="2"/>
      </rPr>
      <t xml:space="preserve">N </t>
    </r>
    <r>
      <rPr>
        <b/>
        <sz val="10"/>
        <rFont val="Arial"/>
        <family val="2"/>
      </rPr>
      <t xml:space="preserve">1698
</t>
    </r>
    <r>
      <rPr>
        <sz val="10"/>
        <color rgb="FFFF0000"/>
        <rFont val="Arial"/>
        <family val="2"/>
      </rPr>
      <t>Final Inspection Certificate issued 10/10/2022 &amp; Stg Pmt Agmt 17/01/2023
STG PMT 1 = Paid 18/01/2023</t>
    </r>
    <r>
      <rPr>
        <b/>
        <sz val="10"/>
        <color rgb="FFFF0000"/>
        <rFont val="Arial"/>
        <family val="2"/>
      </rPr>
      <t xml:space="preserve">
</t>
    </r>
    <r>
      <rPr>
        <sz val="10"/>
        <color rgb="FFFF0000"/>
        <rFont val="Arial"/>
        <family val="2"/>
      </rPr>
      <t>Stg Pmt2 Bal $3,841 Due 30 JULY 2023</t>
    </r>
  </si>
  <si>
    <t>D000517368</t>
  </si>
  <si>
    <r>
      <rPr>
        <b/>
        <sz val="10"/>
        <color rgb="FF0000FF"/>
        <rFont val="Arial"/>
        <family val="2"/>
      </rPr>
      <t xml:space="preserve">N </t>
    </r>
    <r>
      <rPr>
        <b/>
        <sz val="10"/>
        <rFont val="Arial"/>
        <family val="2"/>
      </rPr>
      <t xml:space="preserve">1613
</t>
    </r>
    <r>
      <rPr>
        <i/>
        <sz val="10"/>
        <color rgb="FF0000FF"/>
        <rFont val="Arial"/>
        <family val="2"/>
      </rPr>
      <t>PC21/1206</t>
    </r>
    <r>
      <rPr>
        <b/>
        <sz val="10"/>
        <rFont val="Arial"/>
        <family val="2"/>
      </rPr>
      <t xml:space="preserve">
</t>
    </r>
    <r>
      <rPr>
        <sz val="10"/>
        <color rgb="FFFF0000"/>
        <rFont val="Arial"/>
        <family val="2"/>
      </rPr>
      <t>Bank details for payment requested 26/04/2023</t>
    </r>
    <r>
      <rPr>
        <b/>
        <sz val="10"/>
        <rFont val="Arial"/>
        <family val="2"/>
      </rPr>
      <t xml:space="preserve"> </t>
    </r>
    <r>
      <rPr>
        <sz val="10"/>
        <color rgb="FFFF0000"/>
        <rFont val="Arial"/>
        <family val="2"/>
      </rPr>
      <t>&amp; update sent 5/07/2023</t>
    </r>
  </si>
  <si>
    <r>
      <rPr>
        <b/>
        <sz val="10"/>
        <color rgb="FF0000FF"/>
        <rFont val="Arial"/>
        <family val="2"/>
      </rPr>
      <t xml:space="preserve">N </t>
    </r>
    <r>
      <rPr>
        <b/>
        <sz val="10"/>
        <rFont val="Arial"/>
        <family val="2"/>
      </rPr>
      <t xml:space="preserve">1798
</t>
    </r>
    <r>
      <rPr>
        <sz val="10"/>
        <color rgb="FFFF0000"/>
        <rFont val="Arial"/>
        <family val="2"/>
      </rPr>
      <t>Current amount &amp; payment details requested 5/07/2023</t>
    </r>
  </si>
  <si>
    <r>
      <rPr>
        <strike/>
        <sz val="10"/>
        <rFont val="Arial"/>
        <family val="2"/>
      </rPr>
      <t>24/10/2019</t>
    </r>
    <r>
      <rPr>
        <sz val="10"/>
        <rFont val="Arial"/>
        <family val="2"/>
      </rPr>
      <t xml:space="preserve">
</t>
    </r>
    <r>
      <rPr>
        <strike/>
        <sz val="10"/>
        <color rgb="FF0000FF"/>
        <rFont val="Arial"/>
        <family val="2"/>
      </rPr>
      <t>21/02/2023</t>
    </r>
    <r>
      <rPr>
        <sz val="10"/>
        <color rgb="FF0000FF"/>
        <rFont val="Arial"/>
        <family val="2"/>
      </rPr>
      <t xml:space="preserve">
6/07/2023</t>
    </r>
  </si>
  <si>
    <r>
      <t xml:space="preserve">Planning Reg </t>
    </r>
    <r>
      <rPr>
        <b/>
        <sz val="10"/>
        <color rgb="FF0000FF"/>
        <rFont val="Arial"/>
        <family val="2"/>
      </rPr>
      <t>2023-2024</t>
    </r>
  </si>
  <si>
    <r>
      <t xml:space="preserve">Material Change of Use
</t>
    </r>
    <r>
      <rPr>
        <sz val="10"/>
        <color rgb="FF0000FF"/>
        <rFont val="Arial"/>
        <family val="2"/>
      </rPr>
      <t>Minor Change Approval</t>
    </r>
  </si>
  <si>
    <r>
      <rPr>
        <strike/>
        <sz val="10"/>
        <rFont val="Arial"/>
        <family val="2"/>
      </rPr>
      <t>MCU19/0017</t>
    </r>
    <r>
      <rPr>
        <sz val="10"/>
        <rFont val="Arial"/>
        <family val="2"/>
      </rPr>
      <t xml:space="preserve">
</t>
    </r>
    <r>
      <rPr>
        <strike/>
        <sz val="10"/>
        <color rgb="FF0000FF"/>
        <rFont val="Arial"/>
        <family val="2"/>
      </rPr>
      <t>MCU19/0017.03</t>
    </r>
    <r>
      <rPr>
        <sz val="10"/>
        <color rgb="FF0000FF"/>
        <rFont val="Arial"/>
        <family val="2"/>
      </rPr>
      <t xml:space="preserve">
MCU19/0017.05</t>
    </r>
    <r>
      <rPr>
        <sz val="10"/>
        <rFont val="Arial"/>
        <family val="2"/>
      </rPr>
      <t xml:space="preserve">
</t>
    </r>
    <r>
      <rPr>
        <sz val="10"/>
        <color rgb="FF0000FF"/>
        <rFont val="Arial"/>
        <family val="2"/>
      </rPr>
      <t>Approved 5/07/2023
Issued: 6/07/2023</t>
    </r>
  </si>
  <si>
    <r>
      <rPr>
        <strike/>
        <sz val="10"/>
        <rFont val="Arial"/>
        <family val="2"/>
      </rPr>
      <t>Ribarja Pty Ltd</t>
    </r>
    <r>
      <rPr>
        <sz val="10"/>
        <rFont val="Arial"/>
        <family val="2"/>
      </rPr>
      <t xml:space="preserve">
</t>
    </r>
    <r>
      <rPr>
        <sz val="10"/>
        <color rgb="FF0000FF"/>
        <rFont val="Arial"/>
        <family val="2"/>
      </rPr>
      <t>Trident Group Holdings Pty Ltd</t>
    </r>
  </si>
  <si>
    <r>
      <rPr>
        <strike/>
        <sz val="10"/>
        <rFont val="Arial"/>
        <family val="2"/>
      </rPr>
      <t xml:space="preserve">C/- Martoo Consulting Pty Ltd
PO Box 1684
NOOSA HEADS QLD 4567
</t>
    </r>
    <r>
      <rPr>
        <sz val="10"/>
        <color rgb="FF0000FF"/>
        <rFont val="Arial"/>
        <family val="2"/>
      </rPr>
      <t>C/- Project Urban
PO Box 6380
MAROOCHYDORE QLD 4558</t>
    </r>
  </si>
  <si>
    <r>
      <rPr>
        <strike/>
        <sz val="10"/>
        <rFont val="Arial"/>
        <family val="2"/>
      </rPr>
      <t xml:space="preserve">Lot 6 &amp; 7 SP 264847 </t>
    </r>
    <r>
      <rPr>
        <sz val="10"/>
        <rFont val="Arial"/>
        <family val="2"/>
      </rPr>
      <t xml:space="preserve">
</t>
    </r>
    <r>
      <rPr>
        <sz val="10"/>
        <color rgb="FF0000FF"/>
        <rFont val="Arial"/>
        <family val="2"/>
      </rPr>
      <t xml:space="preserve">Lot 6 SP 319209 </t>
    </r>
    <r>
      <rPr>
        <sz val="10"/>
        <rFont val="Arial"/>
        <family val="2"/>
      </rPr>
      <t xml:space="preserve">
</t>
    </r>
  </si>
  <si>
    <t>36-40 Hofmann Drive, 
Noosaville Qld 4566</t>
  </si>
  <si>
    <r>
      <rPr>
        <strike/>
        <sz val="10"/>
        <rFont val="Arial"/>
        <family val="2"/>
      </rPr>
      <t xml:space="preserve">Ancillary dwelling unit = 1 x 1 bed unit </t>
    </r>
    <r>
      <rPr>
        <sz val="10"/>
        <rFont val="Arial"/>
        <family val="2"/>
      </rPr>
      <t xml:space="preserve">
Commercial business - Type 1 Office =  </t>
    </r>
    <r>
      <rPr>
        <strike/>
        <sz val="10"/>
        <rFont val="Arial"/>
        <family val="2"/>
      </rPr>
      <t xml:space="preserve">6,391 </t>
    </r>
    <r>
      <rPr>
        <strike/>
        <sz val="10"/>
        <color rgb="FF0000FF"/>
        <rFont val="Arial"/>
        <family val="2"/>
      </rPr>
      <t>3,801</t>
    </r>
    <r>
      <rPr>
        <sz val="10"/>
        <color rgb="FF0000FF"/>
        <rFont val="Arial"/>
        <family val="2"/>
      </rPr>
      <t xml:space="preserve"> 3,913</t>
    </r>
    <r>
      <rPr>
        <sz val="10"/>
        <rFont val="Arial"/>
        <family val="2"/>
      </rPr>
      <t>m2 gfa  (interchangable with Type 2 Medical)
Impervious area =</t>
    </r>
    <r>
      <rPr>
        <strike/>
        <sz val="10"/>
        <rFont val="Arial"/>
        <family val="2"/>
      </rPr>
      <t xml:space="preserve"> 7,181 </t>
    </r>
    <r>
      <rPr>
        <strike/>
        <sz val="10"/>
        <color rgb="FF0000FF"/>
        <rFont val="Arial"/>
        <family val="2"/>
      </rPr>
      <t xml:space="preserve">6,649 </t>
    </r>
    <r>
      <rPr>
        <sz val="10"/>
        <color rgb="FF0000FF"/>
        <rFont val="Arial"/>
        <family val="2"/>
      </rPr>
      <t>7,115</t>
    </r>
    <r>
      <rPr>
        <sz val="10"/>
        <rFont val="Arial"/>
        <family val="2"/>
      </rPr>
      <t>m2</t>
    </r>
  </si>
  <si>
    <r>
      <t xml:space="preserve">NSC CR </t>
    </r>
    <r>
      <rPr>
        <strike/>
        <sz val="10"/>
        <rFont val="Arial"/>
        <family val="2"/>
      </rPr>
      <t>(No.4)</t>
    </r>
    <r>
      <rPr>
        <sz val="10"/>
        <color rgb="FF0000FF"/>
        <rFont val="Arial"/>
        <family val="2"/>
      </rPr>
      <t xml:space="preserve"> (No.7)</t>
    </r>
  </si>
  <si>
    <t>Building Work
Suncoast Building Approvals - Decision Notice: 00018217</t>
  </si>
  <si>
    <t>James McCabe</t>
  </si>
  <si>
    <t>4 Whipbird Place
DOONAN QLD 4562</t>
  </si>
  <si>
    <t>Lot 45 RP 800336</t>
  </si>
  <si>
    <t>Building Work
Northshore Building Approvals - Permit Number: 23-053</t>
  </si>
  <si>
    <t>Brooke Dobbie</t>
  </si>
  <si>
    <t>Lot 7 SP 173767</t>
  </si>
  <si>
    <t>3/1 George Street East
BURLEIGH HEADS QLD 4511</t>
  </si>
  <si>
    <t>14 Bunderra Way
COORAN QLD 4569</t>
  </si>
  <si>
    <t>Building Work
Project B.A.
Permit Number: 20331640</t>
  </si>
  <si>
    <t>Joel, Megan &amp; Helen Fitzgerald</t>
  </si>
  <si>
    <t>7 Ponderosa Drive
COOROY QLD 4563</t>
  </si>
  <si>
    <t>Lot 7 RP 161775</t>
  </si>
  <si>
    <t>Building Work
Core Building Approvals - Decision Notice: 231521</t>
  </si>
  <si>
    <t>John &amp; Susanne Dines</t>
  </si>
  <si>
    <t>28 Ben Lexcen Drive
SUNRISE BEACH QLD 4567</t>
  </si>
  <si>
    <t>Lot 741 MCH 805762</t>
  </si>
  <si>
    <t xml:space="preserve">PC22/1392
Approved: 24/05/2023
Received &amp; Registered 29/06/2023 </t>
  </si>
  <si>
    <t>PC23/0585
Approved: 26/06/2023
Received &amp; Registered: 27/06/2023</t>
  </si>
  <si>
    <t>PC23/0420
Approved: 31/05/2023
Received &amp; Registered 30/06/2023</t>
  </si>
  <si>
    <t>PC23/0685
Approved: 1/6/2023
Received &amp; Registered 30/06/2023</t>
  </si>
  <si>
    <t>D000518459</t>
  </si>
  <si>
    <t>DBW23/0032
Approved: 07/07/2023
Issued: 14/07/2023</t>
  </si>
  <si>
    <t>DBW23/0031
Approved: 01/06/2023
Issued: 06/06/2023</t>
  </si>
  <si>
    <t>T Elliker</t>
  </si>
  <si>
    <t>C/- The Shed House
175 Wilson Rd
ILKLEY QLD 4554</t>
  </si>
  <si>
    <t xml:space="preserve">379a Old Tewantin Rd 
Lake Macdonald Qld 4563 </t>
  </si>
  <si>
    <t>Lot 4 SP 281579</t>
  </si>
  <si>
    <t xml:space="preserve">PC23/0426
Approved: 23/06/2023
Received &amp; Registered: 3/07/2023 </t>
  </si>
  <si>
    <t>Building Work
Core Building Certification - Decision Notice: 231530</t>
  </si>
  <si>
    <t>Sunshine Enterprises Pty Ltd</t>
  </si>
  <si>
    <t>171 Eildon Rd, 
Windsor QLD 4030</t>
  </si>
  <si>
    <t>6 Margit Cres, 
Sunrise Beach QLD 4567</t>
  </si>
  <si>
    <t>Lot 116 RP132135</t>
  </si>
  <si>
    <t>Originally approved under MCU22/0060 via Court Judgment BD 2147 of 2022 but IC missed on being issued. Therfore IC now issued under BA</t>
  </si>
  <si>
    <r>
      <rPr>
        <b/>
        <sz val="10"/>
        <color rgb="FF0000FF"/>
        <rFont val="Arial"/>
        <family val="2"/>
      </rPr>
      <t xml:space="preserve">N </t>
    </r>
    <r>
      <rPr>
        <b/>
        <sz val="10"/>
        <rFont val="Arial"/>
        <family val="2"/>
      </rPr>
      <t xml:space="preserve">1365
</t>
    </r>
    <r>
      <rPr>
        <sz val="10"/>
        <color rgb="FF0000FF"/>
        <rFont val="Arial"/>
        <family val="2"/>
      </rPr>
      <t>PC20/1361 issued</t>
    </r>
    <r>
      <rPr>
        <b/>
        <sz val="10"/>
        <rFont val="Arial"/>
        <family val="2"/>
      </rPr>
      <t xml:space="preserve">
</t>
    </r>
    <r>
      <rPr>
        <sz val="10"/>
        <color rgb="FFFF0000"/>
        <rFont val="Arial"/>
        <family val="2"/>
      </rPr>
      <t>Payment details requested 17.07.2023</t>
    </r>
  </si>
  <si>
    <t>D000520087</t>
  </si>
  <si>
    <r>
      <rPr>
        <b/>
        <sz val="10"/>
        <color rgb="FF0000FF"/>
        <rFont val="Arial"/>
        <family val="2"/>
      </rPr>
      <t xml:space="preserve">N </t>
    </r>
    <r>
      <rPr>
        <b/>
        <sz val="10"/>
        <rFont val="Arial"/>
        <family val="2"/>
      </rPr>
      <t xml:space="preserve">1792
</t>
    </r>
    <r>
      <rPr>
        <sz val="10"/>
        <color rgb="FFFF0000"/>
        <rFont val="Arial"/>
        <family val="2"/>
      </rPr>
      <t>requested payment details 14/07/ Final Inspection Cer itssued 30 May 2023 
DUE 11 AUG</t>
    </r>
  </si>
  <si>
    <r>
      <rPr>
        <b/>
        <sz val="10"/>
        <color rgb="FF0000FF"/>
        <rFont val="Arial"/>
        <family val="2"/>
      </rPr>
      <t xml:space="preserve">Stage 1 - 1 cabin = $5,601.00 </t>
    </r>
    <r>
      <rPr>
        <sz val="10"/>
        <color rgb="FF0000FF"/>
        <rFont val="Arial"/>
        <family val="2"/>
      </rPr>
      <t xml:space="preserve">
</t>
    </r>
    <r>
      <rPr>
        <strike/>
        <sz val="10"/>
        <color rgb="FF0000FF"/>
        <rFont val="Arial"/>
        <family val="2"/>
      </rPr>
      <t>Stage 2 - 3 cabins = $16,802.00</t>
    </r>
  </si>
  <si>
    <r>
      <rPr>
        <strike/>
        <sz val="10"/>
        <color rgb="FF0000FF"/>
        <rFont val="Arial"/>
        <family val="2"/>
      </rPr>
      <t xml:space="preserve">Stage 1 - 1 cabin = $5,601.00 </t>
    </r>
    <r>
      <rPr>
        <sz val="10"/>
        <color rgb="FF0000FF"/>
        <rFont val="Arial"/>
        <family val="2"/>
      </rPr>
      <t xml:space="preserve">
</t>
    </r>
    <r>
      <rPr>
        <b/>
        <sz val="10"/>
        <color rgb="FF0000FF"/>
        <rFont val="Arial"/>
        <family val="2"/>
      </rPr>
      <t>Stage 2 - 3 cabins = $16,802.00</t>
    </r>
  </si>
  <si>
    <r>
      <rPr>
        <b/>
        <sz val="10"/>
        <color rgb="FF0000FF"/>
        <rFont val="Arial"/>
        <family val="2"/>
      </rPr>
      <t xml:space="preserve">N </t>
    </r>
    <r>
      <rPr>
        <b/>
        <sz val="10"/>
        <rFont val="Arial"/>
        <family val="2"/>
      </rPr>
      <t xml:space="preserve">1709
Stage 1 
</t>
    </r>
    <r>
      <rPr>
        <sz val="10"/>
        <color rgb="FFFF0000"/>
        <rFont val="Arial"/>
        <family val="2"/>
      </rPr>
      <t>PC21/1024 issued completed 11/07/2023</t>
    </r>
    <r>
      <rPr>
        <b/>
        <sz val="10"/>
        <color rgb="FFFF0000"/>
        <rFont val="Arial"/>
        <family val="2"/>
      </rPr>
      <t xml:space="preserve">
</t>
    </r>
    <r>
      <rPr>
        <sz val="10"/>
        <color rgb="FFFF0000"/>
        <rFont val="Arial"/>
        <family val="2"/>
      </rPr>
      <t>DUE 11 AUG</t>
    </r>
    <r>
      <rPr>
        <b/>
        <sz val="10"/>
        <rFont val="Arial"/>
        <family val="2"/>
      </rPr>
      <t xml:space="preserve">
</t>
    </r>
  </si>
  <si>
    <t>Visitor Acoommodation = 4 x 2 or less bedroom Cabins
Stage 1 = 1 cabin
Stage 2 = 3 cabins</t>
  </si>
  <si>
    <t>Paid Stage 1</t>
  </si>
  <si>
    <t>Anderson Shaw Pty Ltd</t>
  </si>
  <si>
    <t>1/15 Project Avenue,
NOOSAVILLE QLD 4566</t>
  </si>
  <si>
    <t>Lot 97 RP 94023</t>
  </si>
  <si>
    <t>32 Arkana Dr 
NOOSA HEADS, QLD 4567</t>
  </si>
  <si>
    <t>Building Work
Earthcert Building Approvals - Decision Notice: 230078</t>
  </si>
  <si>
    <t>D000522185</t>
  </si>
  <si>
    <t>MCU23/0016
Approved: 14/07/2023
Issued: 20/07/2023</t>
  </si>
  <si>
    <t>Granite Bay #1 P/L TTE</t>
  </si>
  <si>
    <t>Lot 12 RP 225120</t>
  </si>
  <si>
    <t xml:space="preserve">23 Beckmans Rd 
Tewantin Qld 4565 </t>
  </si>
  <si>
    <t>Vacant Res Lot = Dwelling House</t>
  </si>
  <si>
    <t>PC23/0693
Approved: 1/06/2023
Received &amp; Registered 30/06/2023</t>
  </si>
  <si>
    <t>Building Work
Pacific BCQ Decision Notice: 20230031</t>
  </si>
  <si>
    <t>Dianna &amp; Trevor Blanch</t>
  </si>
  <si>
    <t>8 Doolan Court
Noosaville 4566</t>
  </si>
  <si>
    <t>8 Doolan Court 
Noosaville Qld 4566</t>
  </si>
  <si>
    <t>Lot 4 RP 816885</t>
  </si>
  <si>
    <t>PC23/0406
Approved: 11/07/2023
Received &amp; Registered 11/07/2023</t>
  </si>
  <si>
    <t>D000524932</t>
  </si>
  <si>
    <t>PC23/0750
Approved: 12/07/2023
Received &amp; Registered 14/07/2023</t>
  </si>
  <si>
    <t>Building Work
 Pin Nac Lee Certification Decision Notice: 230288</t>
  </si>
  <si>
    <t>19 Tree St, 
Pomona QLD 4568</t>
  </si>
  <si>
    <t>10 Harlow Crescent, 
Tewantin QLD 4565</t>
  </si>
  <si>
    <t>Lot 203 RP 175927</t>
  </si>
  <si>
    <t>MCU16/0090.02
Approved: 20/07/2023
Issued: 25/07/2023</t>
  </si>
  <si>
    <t>n/a minor change</t>
  </si>
  <si>
    <t>Sunshine Butterflies Inc</t>
  </si>
  <si>
    <t>C/- Access Town Planning Consultants
PO Box 703
FORTITUDE VALLEY QLD 4006</t>
  </si>
  <si>
    <t>468 Mckinnon Drive, 
Cooroibah QLD 4565</t>
  </si>
  <si>
    <t>n/a additional to existing only</t>
  </si>
  <si>
    <t>Wellbeing Type 2 - Social. = additional 45m2 gfa 
+ additional 45m2 Impervious area</t>
  </si>
  <si>
    <t>132001.210127.3
Approved: 20/07/2023
Issued: 26/07/2023</t>
  </si>
  <si>
    <t>OZCARE</t>
  </si>
  <si>
    <t>C/- Ethos Urban
GPO Box 1268
BRISBANE QLD 4000</t>
  </si>
  <si>
    <t xml:space="preserve">Lot 9 RP 225312 </t>
  </si>
  <si>
    <t>100 Cooyar Street, 
Noosa Heads QLD 4567</t>
  </si>
  <si>
    <t>Residential care facility = 10,364 m2 gfa
+ 12,445 m2 impervious area</t>
  </si>
  <si>
    <t>Residential care facility = 7,210 m2 gfa
+ 12,4412 m2 impervious area</t>
  </si>
  <si>
    <r>
      <rPr>
        <b/>
        <sz val="10"/>
        <color rgb="FF0000FF"/>
        <rFont val="Arial"/>
        <family val="2"/>
      </rPr>
      <t xml:space="preserve">N </t>
    </r>
    <r>
      <rPr>
        <b/>
        <sz val="10"/>
        <rFont val="Arial"/>
        <family val="2"/>
      </rPr>
      <t xml:space="preserve">1899
+
IA127 = </t>
    </r>
    <r>
      <rPr>
        <sz val="10"/>
        <rFont val="Arial"/>
        <family val="2"/>
      </rPr>
      <t>Access contruction &amp; vegetation mainenance</t>
    </r>
  </si>
  <si>
    <t>MCU22/0196
Approved: 27/07/2023
Issued: 27/07/2023</t>
  </si>
  <si>
    <t>130 &amp; 132 Gympie Tce Noosaville Qld 4566</t>
  </si>
  <si>
    <t>Lots 2 &amp; 3 MCH 3881</t>
  </si>
  <si>
    <t>Looroo Pty Ltd TTE</t>
  </si>
  <si>
    <t>Multiple Dwellings = 4 x 3 bed units</t>
  </si>
  <si>
    <t xml:space="preserve"> 2 x current vacant lot, however, credit  for the previous lawful use = Motel
(12 x 1-bed units + 2 x 2-bed units + 1 x 3-bed managers unit) over 3 lots and applied according to the lot areas as
follows:
• 128 Gympie Tce = 556 m2 lot area = 26% credit allocation
• 130 Gympie Tce = 542 m2 lot area = 25% credit allocation
• 132 Gympie Tce = 1,040 m2 lot area = 49% credit allocation</t>
  </si>
  <si>
    <t>MCU22/0087
Approved: 21/07/2023
Issued: 28/07/2023</t>
  </si>
  <si>
    <t>Bottlebrush Property P/L TTE</t>
  </si>
  <si>
    <t>Lot 133 RP 88934</t>
  </si>
  <si>
    <t>37 Bottlebrush Ave, 
NOOSA HEADS QLD 4567</t>
  </si>
  <si>
    <t>Multiple Dwellings = 1x3 bed + 2x2 bed units</t>
  </si>
  <si>
    <r>
      <rPr>
        <b/>
        <sz val="10"/>
        <color rgb="FF0000FF"/>
        <rFont val="Arial"/>
        <family val="2"/>
      </rPr>
      <t xml:space="preserve">N </t>
    </r>
    <r>
      <rPr>
        <b/>
        <sz val="10"/>
        <rFont val="Arial"/>
        <family val="2"/>
      </rPr>
      <t xml:space="preserve">1778
</t>
    </r>
    <r>
      <rPr>
        <sz val="10"/>
        <color rgb="FFFF0000"/>
        <rFont val="Arial"/>
        <family val="2"/>
      </rPr>
      <t xml:space="preserve"> Request payment details 14/07/2023 </t>
    </r>
  </si>
  <si>
    <t>Part Paid 
Pre indexed amount only</t>
  </si>
  <si>
    <r>
      <rPr>
        <b/>
        <sz val="10"/>
        <color rgb="FF0000FF"/>
        <rFont val="Arial"/>
        <family val="2"/>
      </rPr>
      <t xml:space="preserve">N </t>
    </r>
    <r>
      <rPr>
        <b/>
        <sz val="10"/>
        <rFont val="Arial"/>
        <family val="2"/>
      </rPr>
      <t>1562</t>
    </r>
    <r>
      <rPr>
        <sz val="10"/>
        <rFont val="Arial"/>
        <family val="2"/>
      </rPr>
      <t xml:space="preserve">
</t>
    </r>
    <r>
      <rPr>
        <sz val="10"/>
        <color rgb="FFFF0000"/>
        <rFont val="Arial"/>
        <family val="2"/>
      </rPr>
      <t>Final Inspection Certificate issued 23/06/2023 
Part Paid 31/07/2023 Pre indexed amount only</t>
    </r>
  </si>
  <si>
    <r>
      <rPr>
        <b/>
        <sz val="10"/>
        <color rgb="FF0000FF"/>
        <rFont val="Arial"/>
        <family val="2"/>
      </rPr>
      <t xml:space="preserve">N </t>
    </r>
    <r>
      <rPr>
        <b/>
        <sz val="10"/>
        <rFont val="Arial"/>
        <family val="2"/>
      </rPr>
      <t>1597</t>
    </r>
  </si>
  <si>
    <t>MCU20/0024
Approved: 2/02/2021
Issued: 8/02/2021</t>
  </si>
  <si>
    <t>LM Cooney</t>
  </si>
  <si>
    <t>3 Avocet Parade 
PEREGIAN BEACH QLD 4573</t>
  </si>
  <si>
    <t>Lot 320 P 93113</t>
  </si>
  <si>
    <t>Multiple Housing - Type 2 Duplex = 
2 x 2 bed units</t>
  </si>
  <si>
    <t>Multiple Housing - Type 2 Duplex = 
2 x 3 bed units</t>
  </si>
  <si>
    <t>D000529096</t>
  </si>
  <si>
    <t>D000529098</t>
  </si>
  <si>
    <t>Part Paid $5,485.00 on 31/07/2023 pre indexed amount only</t>
  </si>
  <si>
    <t>Mr IW Rowe &amp; Ms JR Rowe</t>
  </si>
  <si>
    <t>RAL21/0035
Approved:24/07/2023
Issued: 31/07/2023</t>
  </si>
  <si>
    <t>21 Jirrima Cresent, 
Cooroibah QLD 4565</t>
  </si>
  <si>
    <t xml:space="preserve">Lot 46 RP 136461 </t>
  </si>
  <si>
    <t>Dwelling house on 1 x residential lot</t>
  </si>
  <si>
    <t>1/08//2023</t>
  </si>
  <si>
    <t>DBW23/0020
Approved: 31/07/2023
Issued: 1/08/2023</t>
  </si>
  <si>
    <t>A Sarmonikas &amp; A Sarmonkias</t>
  </si>
  <si>
    <t xml:space="preserve">Lot 4 SP 327336 </t>
  </si>
  <si>
    <t>1414 Cooroy Belli Creek Road, Ridgewood QLD 4563</t>
  </si>
  <si>
    <t>PC23/0775
Approved: 12/06/2023
Received &amp; Registered 25/07/2023</t>
  </si>
  <si>
    <t>Building Work
Project B.A. - Decision Notice: 20232096</t>
  </si>
  <si>
    <t>Daniel Eichhorn</t>
  </si>
  <si>
    <t>16 Ridge Street
TEWANTIN QLD 4565</t>
  </si>
  <si>
    <t>Lot 42 RP 73165</t>
  </si>
  <si>
    <t>5 Joyce Street
TEWANTIN QLD 4565</t>
  </si>
  <si>
    <t>MCU23/0077
Approved: 1/08/2023
Issued: 4/08/2023</t>
  </si>
  <si>
    <t>K Marshall &amp; L Marshall</t>
  </si>
  <si>
    <t xml:space="preserve">Lot 8 RP 901384 </t>
  </si>
  <si>
    <t>7/2 Grasstree Court, 
Sunrise Beach QLD 4567</t>
  </si>
  <si>
    <t>Shop = 100m2 gfa 
No change to impervious area</t>
  </si>
  <si>
    <t>Shop = 70m2</t>
  </si>
  <si>
    <r>
      <rPr>
        <b/>
        <sz val="10"/>
        <color rgb="FF0000FF"/>
        <rFont val="Arial"/>
        <family val="2"/>
      </rPr>
      <t xml:space="preserve">N </t>
    </r>
    <r>
      <rPr>
        <b/>
        <sz val="10"/>
        <rFont val="Arial"/>
        <family val="2"/>
      </rPr>
      <t xml:space="preserve">1878
</t>
    </r>
    <r>
      <rPr>
        <sz val="10"/>
        <color rgb="FFFF0000"/>
        <rFont val="Arial"/>
        <family val="2"/>
      </rPr>
      <t>Payment details requested 4/08/2023</t>
    </r>
  </si>
  <si>
    <t>D000534081</t>
  </si>
  <si>
    <t>AUGUST 2023
Total =</t>
  </si>
  <si>
    <t>Brian Stockwell</t>
  </si>
  <si>
    <t>Lot 7 RP 223613</t>
  </si>
  <si>
    <t>Dwelling House (2 bedroom) + Secondary dwelling (2 bedroom)</t>
  </si>
  <si>
    <t>31B Pine Street
POMONA QLD 4568</t>
  </si>
  <si>
    <t>6 Potoroo Court
BOREEN POINT QLD 4565</t>
  </si>
  <si>
    <t>Part Paid 
&amp;
Balance Paid</t>
  </si>
  <si>
    <r>
      <rPr>
        <b/>
        <sz val="10"/>
        <color rgb="FF0000FF"/>
        <rFont val="Arial"/>
        <family val="2"/>
      </rPr>
      <t xml:space="preserve">N </t>
    </r>
    <r>
      <rPr>
        <b/>
        <sz val="10"/>
        <rFont val="Arial"/>
        <family val="2"/>
      </rPr>
      <t>1562</t>
    </r>
    <r>
      <rPr>
        <sz val="10"/>
        <rFont val="Arial"/>
        <family val="2"/>
      </rPr>
      <t xml:space="preserve">
</t>
    </r>
    <r>
      <rPr>
        <sz val="10"/>
        <color rgb="FFFF0000"/>
        <rFont val="Arial"/>
        <family val="2"/>
      </rPr>
      <t>Final Inspection Certificate issued 23/06/2023
Part Paid 31/12/2023 Pre indexed amount onl</t>
    </r>
    <r>
      <rPr>
        <b/>
        <sz val="10"/>
        <color rgb="FFFF0000"/>
        <rFont val="Arial"/>
        <family val="2"/>
      </rPr>
      <t xml:space="preserve">y
</t>
    </r>
    <r>
      <rPr>
        <sz val="10"/>
        <color rgb="FFFF0000"/>
        <rFont val="Arial"/>
        <family val="2"/>
      </rPr>
      <t>BAL DUE 31 AUG 2023</t>
    </r>
  </si>
  <si>
    <r>
      <t xml:space="preserve">Part Paid 31/07/2023 Pre-indexed amount
</t>
    </r>
    <r>
      <rPr>
        <b/>
        <sz val="10"/>
        <color rgb="FF0000FF"/>
        <rFont val="Arial"/>
        <family val="2"/>
      </rPr>
      <t>Balance Paid</t>
    </r>
  </si>
  <si>
    <t>D000535462
&amp;
D000535505</t>
  </si>
  <si>
    <t>10/08/2023
&amp;
10/08/2023</t>
  </si>
  <si>
    <t>D000536504</t>
  </si>
  <si>
    <t>MCU22/0194
Approved: 14/08/2023
Issued: 16/08/2023</t>
  </si>
  <si>
    <t>Fastwin Investments P/L TTE</t>
  </si>
  <si>
    <t>31 Tewantin Road, 
Cooroy QLD 4563</t>
  </si>
  <si>
    <t xml:space="preserve">Lot 106 C 5604 </t>
  </si>
  <si>
    <t>Multiple dwelling = 3 x 3 bed dwellings</t>
  </si>
  <si>
    <t>MCU22/0145
Approved: 22/08/2023
Issued: 22/08/2023</t>
  </si>
  <si>
    <t>JMML Investments Pty Ltd</t>
  </si>
  <si>
    <t>Lots 0, 1 &amp; 2 BUP 4358</t>
  </si>
  <si>
    <t>3 Henderson Street, 
Sunshine Beach QLD 4567</t>
  </si>
  <si>
    <t>Multiple dwelling = 2 x 3 bed dwellings + 
1 x 1 bed dwelling</t>
  </si>
  <si>
    <t xml:space="preserve">Dual Occ =  2 x 2 bed dwellings
</t>
  </si>
  <si>
    <t>Condition 30 Upgrade existing trunk pathway along frontage</t>
  </si>
  <si>
    <t>PC23/0920
Approved: 11/08/2023
Received &amp; Registered 15/08/2023</t>
  </si>
  <si>
    <t>Building Work
Custom Building Approvals - Decision Notice: 00011346</t>
  </si>
  <si>
    <t>Saltaire Modular</t>
  </si>
  <si>
    <t>PO Box 1422
COOLUM BEACH QLD 4373</t>
  </si>
  <si>
    <t>Lot 31 SP 335379</t>
  </si>
  <si>
    <t>13 Little Creek Road COOROIBAH QLD 4565</t>
  </si>
  <si>
    <t>As the development of the secondary dwelling is on a vacant lot, This infrastructure charge ONLY becomes payable for this Secondary dwelling following completion of a future primary “detached house” on the property.)</t>
  </si>
  <si>
    <r>
      <rPr>
        <b/>
        <sz val="10"/>
        <color rgb="FF0000FF"/>
        <rFont val="Arial"/>
        <family val="2"/>
      </rPr>
      <t xml:space="preserve">N </t>
    </r>
    <r>
      <rPr>
        <b/>
        <sz val="10"/>
        <rFont val="Arial"/>
        <family val="2"/>
      </rPr>
      <t xml:space="preserve">1866
</t>
    </r>
    <r>
      <rPr>
        <b/>
        <sz val="10"/>
        <color rgb="FFFF0000"/>
        <rFont val="Arial"/>
        <family val="2"/>
      </rPr>
      <t>Part Paid 24/08/2023</t>
    </r>
  </si>
  <si>
    <t>Part Paid
excluded  indexation</t>
  </si>
  <si>
    <t>D000551307</t>
  </si>
  <si>
    <r>
      <rPr>
        <b/>
        <sz val="10"/>
        <color rgb="FF0000FF"/>
        <rFont val="Arial"/>
        <family val="2"/>
      </rPr>
      <t xml:space="preserve">N </t>
    </r>
    <r>
      <rPr>
        <b/>
        <sz val="10"/>
        <rFont val="Arial"/>
        <family val="2"/>
      </rPr>
      <t xml:space="preserve">1909
</t>
    </r>
    <r>
      <rPr>
        <sz val="10"/>
        <color rgb="FF0000FF"/>
        <rFont val="Arial"/>
        <family val="2"/>
      </rPr>
      <t>ONLY becomes payable following completion of a future primary “detached house” on the property.</t>
    </r>
  </si>
  <si>
    <t>ONLY becomes payable following completion of a future primary “detached house” on the property.</t>
  </si>
  <si>
    <r>
      <t xml:space="preserve">HOWEVER: Payment only required on completion of a future Detached House (future primary residence) on the property.
Stormwater not applicable for Development outside PIA per LGIP
</t>
    </r>
    <r>
      <rPr>
        <sz val="10"/>
        <color rgb="FFFF0000"/>
        <rFont val="Arial"/>
        <family val="2"/>
      </rPr>
      <t>PC19/0548 - for new Dwelling Issued 1/10/2019 &amp; Discontinued 7/11/2019</t>
    </r>
  </si>
  <si>
    <t>D000552117</t>
  </si>
  <si>
    <t>DBW23/0038
Approved: 28/08/2023
Issued: 31/08/2023</t>
  </si>
  <si>
    <t>BA Marshall</t>
  </si>
  <si>
    <t>30 Upper Pinbarren Ck Rd
PINBARREN  QLD  4568</t>
  </si>
  <si>
    <t>30 Upper Pinbarren Ck Rd
PINBARREN QLD 4568</t>
  </si>
  <si>
    <t>Lot 2 RP 908667</t>
  </si>
  <si>
    <t>Dwelling House + 
Secondary dwelling (1 bedroom)</t>
  </si>
  <si>
    <t>Dwelling House + 
Secondary dwelling (2 bedroom)</t>
  </si>
  <si>
    <t>Resulting ICN = $Nil</t>
  </si>
  <si>
    <t>PC23/0925
Approved: 19/08/2023
Received &amp; Registered: 22/08/2023</t>
  </si>
  <si>
    <t>PC23/0931
Approved: 22/08/2023
Received &amp; Registered: 29/08/2023</t>
  </si>
  <si>
    <t>Building Work
Jim Locke Building Consultants - Decision Notice: 230139</t>
  </si>
  <si>
    <t>Building Work
Earthcert Building Approvals - Decision Notice: 230254</t>
  </si>
  <si>
    <t>Trent Oldman Constructions</t>
  </si>
  <si>
    <t>12 Sallwood Street
PINBARREN QLD 4568</t>
  </si>
  <si>
    <t>Lot 70 RP 139233</t>
  </si>
  <si>
    <t>26 Foedera Crescent
TEWANTIN QLD 4565</t>
  </si>
  <si>
    <t>7071 Bruce Highway
CHEVALLUM QLD 4555</t>
  </si>
  <si>
    <t>Lot 505 C 56014</t>
  </si>
  <si>
    <t>8 Ruby Street
COOROY QLD 4563</t>
  </si>
  <si>
    <t>PC21/1605
Approved: 1/08/2023
Received &amp; Registered 1/08/2023</t>
  </si>
  <si>
    <t>Building Work
Suncoast Building Approvals – Decision Notice: 00014781</t>
  </si>
  <si>
    <t>N/A - Nil payable</t>
  </si>
  <si>
    <t>Vacant Res Lot equivalent to Dwelling House</t>
  </si>
  <si>
    <t>SEPTEMBER 2023
Total =</t>
  </si>
  <si>
    <t>D000553868</t>
  </si>
  <si>
    <t>PC23/0740
Approved: 29/08/2023
Received &amp; Registered: 31/08/2023</t>
  </si>
  <si>
    <t>Building Work
Pacific BSQ Approval No. 20230176</t>
  </si>
  <si>
    <t>David Wilson &amp; Barbara Ruiz</t>
  </si>
  <si>
    <t>C/- Macchia Design Studio
PO Box 365
Noosaville QLD 4566</t>
  </si>
  <si>
    <t>10 Allambi Rise 
Noosa Heads Qld 4567.</t>
  </si>
  <si>
    <t>Lot 1 RP 168314</t>
  </si>
  <si>
    <t>Change Classification to 1b = Rooming Accommodation = 4 x 1 bedroom/suites</t>
  </si>
  <si>
    <t>PC23/0557
Approved: 28/08/2023
Received &amp; Registered: 4/09/2023</t>
  </si>
  <si>
    <t>Building Work
Building Approvals United QLD - Decision Notice: 22-3284</t>
  </si>
  <si>
    <t>Andrew &amp; Naomi Grant</t>
  </si>
  <si>
    <t>60 Gympie Street
TEWANTIN QLD 4565</t>
  </si>
  <si>
    <t>Lot 1 RP 28713</t>
  </si>
  <si>
    <t>D000556608</t>
  </si>
  <si>
    <r>
      <rPr>
        <b/>
        <sz val="10"/>
        <color rgb="FF0000FF"/>
        <rFont val="Arial"/>
        <family val="2"/>
      </rPr>
      <t xml:space="preserve">N </t>
    </r>
    <r>
      <rPr>
        <b/>
        <sz val="10"/>
        <rFont val="Arial"/>
        <family val="2"/>
      </rPr>
      <t xml:space="preserve">1812
</t>
    </r>
    <r>
      <rPr>
        <sz val="10"/>
        <color rgb="FF0000FF"/>
        <rFont val="Arial"/>
        <family val="2"/>
      </rPr>
      <t xml:space="preserve">
</t>
    </r>
    <r>
      <rPr>
        <sz val="10"/>
        <color rgb="FFFF0000"/>
        <rFont val="Arial"/>
        <family val="2"/>
      </rPr>
      <t>Final inspect Certificate issued 16/03/2023 
DUE 29/09/2023</t>
    </r>
  </si>
  <si>
    <t>Industrial Business Type 1  + 2  = 2,063m2
Block A  = 310m2 gfa + Block B  = 390m2 gfa + Block C = 535m2 gfa + Block D = 293m2 gfa + Block E + 535m2 gfa  = TOTAL 2,063m2 gfa
Impervious = site area - landscape area 
= 4997m2 - 755m2 = 4,242m2</t>
  </si>
  <si>
    <r>
      <rPr>
        <b/>
        <sz val="10"/>
        <color rgb="FF0000FF"/>
        <rFont val="Arial"/>
        <family val="2"/>
      </rPr>
      <t xml:space="preserve">N </t>
    </r>
    <r>
      <rPr>
        <b/>
        <sz val="10"/>
        <rFont val="Arial"/>
        <family val="2"/>
      </rPr>
      <t xml:space="preserve">1760
</t>
    </r>
    <r>
      <rPr>
        <b/>
        <sz val="10"/>
        <color rgb="FFFF0000"/>
        <rFont val="Arial"/>
        <family val="2"/>
      </rPr>
      <t>CANCELLED 19/09/2023</t>
    </r>
    <r>
      <rPr>
        <b/>
        <sz val="10"/>
        <rFont val="Arial"/>
        <family val="2"/>
      </rPr>
      <t xml:space="preserve">
</t>
    </r>
    <r>
      <rPr>
        <sz val="10"/>
        <color rgb="FFFF0000"/>
        <rFont val="Arial"/>
        <family val="2"/>
      </rPr>
      <t>Change to Existing Approval 23/05/23 received 18/09/2023 removing Studio from approval</t>
    </r>
  </si>
  <si>
    <t>MCU13/0081.03, 51901.3614.03, 51901.3786.03, 51992.479.03, 51994.1249.03, 51994.1048.03</t>
  </si>
  <si>
    <t>c/- Sound Body Corporate Management,
PO Box 1547,
Noosa Heads QLD 4567</t>
  </si>
  <si>
    <t xml:space="preserve">Netanya - 
71 Hastings St, Noosa Heads QLD 4567
</t>
  </si>
  <si>
    <t>Additional IA Contribution in lieu - shortfall of 1 car parking space due to location of structual column re IA104</t>
  </si>
  <si>
    <t>1 carparking space in Lieu at 
2022-2023 financial year
@ CPI March 2022</t>
  </si>
  <si>
    <r>
      <t xml:space="preserve">IA 128
</t>
    </r>
    <r>
      <rPr>
        <sz val="8"/>
        <color rgb="FFFF0000"/>
        <rFont val="Arial"/>
        <family val="2"/>
      </rPr>
      <t xml:space="preserve">DUE 27 OCT </t>
    </r>
  </si>
  <si>
    <t>SEPT 2023 Total =</t>
  </si>
  <si>
    <r>
      <rPr>
        <b/>
        <sz val="10"/>
        <color rgb="FF0000FF"/>
        <rFont val="Arial"/>
        <family val="2"/>
      </rPr>
      <t xml:space="preserve">N </t>
    </r>
    <r>
      <rPr>
        <b/>
        <sz val="10"/>
        <rFont val="Arial"/>
        <family val="2"/>
      </rPr>
      <t xml:space="preserve">1866
</t>
    </r>
    <r>
      <rPr>
        <sz val="10"/>
        <color rgb="FFFF0000"/>
        <rFont val="Arial"/>
        <family val="2"/>
      </rPr>
      <t>Part Paid 24/08/2023</t>
    </r>
    <r>
      <rPr>
        <sz val="10"/>
        <rFont val="Arial"/>
        <family val="2"/>
      </rPr>
      <t xml:space="preserve">
</t>
    </r>
    <r>
      <rPr>
        <sz val="10"/>
        <color rgb="FFFF0000"/>
        <rFont val="Arial"/>
        <family val="2"/>
      </rPr>
      <t>BAL DUE 22 SEPT</t>
    </r>
  </si>
  <si>
    <t>D000557257</t>
  </si>
  <si>
    <r>
      <rPr>
        <b/>
        <sz val="10"/>
        <color rgb="FF0000FF"/>
        <rFont val="Arial"/>
        <family val="2"/>
      </rPr>
      <t xml:space="preserve">N </t>
    </r>
    <r>
      <rPr>
        <b/>
        <sz val="10"/>
        <rFont val="Arial"/>
        <family val="2"/>
      </rPr>
      <t xml:space="preserve">1397
</t>
    </r>
    <r>
      <rPr>
        <sz val="10"/>
        <color rgb="FFFF0000"/>
        <rFont val="Arial"/>
        <family val="2"/>
      </rPr>
      <t xml:space="preserve">
Stg Pmt 5= $40,000.00 
DUE 1 OCT 2023
but prior to any sale of property</t>
    </r>
    <r>
      <rPr>
        <b/>
        <sz val="10"/>
        <rFont val="Arial"/>
        <family val="2"/>
      </rPr>
      <t xml:space="preserve">
</t>
    </r>
  </si>
  <si>
    <t>PC23/0560
Approved: 18/09/2023
Received &amp; Registered: 20/09/2024</t>
  </si>
  <si>
    <t>Building Work
Building Approvals United QLD - Decision Notice: 22-3937</t>
  </si>
  <si>
    <t>66 Pioneer Road
YANDINA QLD 4561</t>
  </si>
  <si>
    <t>Lot 8 RP 202437</t>
  </si>
  <si>
    <t>134 Ferrells Road
COOROY QLD 4563</t>
  </si>
  <si>
    <t>PC23/1076
Approved: 07/09/2023
Received &amp; Registered: 18/09/2025</t>
  </si>
  <si>
    <t>David &amp; Debbie-Lee Hunt</t>
  </si>
  <si>
    <t>95 Forest Acre Drive
LAKE MACDONALD QLD 4563</t>
  </si>
  <si>
    <t>Lot 31 RP 196579</t>
  </si>
  <si>
    <t>Building Work
Project B.A - Decision Notice: 20233174</t>
  </si>
  <si>
    <t>Building Work
Project B.A - Decision Notice: 20233313</t>
  </si>
  <si>
    <t>Queensland House Removals</t>
  </si>
  <si>
    <t>85 Old Toorbul Road
CABOOLTURE QLD 4510</t>
  </si>
  <si>
    <t>Lot 6 SP 170088</t>
  </si>
  <si>
    <t>20 Sallwood Court
PINBARREN QLD 4568</t>
  </si>
  <si>
    <t>D000557778</t>
  </si>
  <si>
    <t>Paid 
Final Stg Pmt 5</t>
  </si>
  <si>
    <t>D000557780</t>
  </si>
  <si>
    <t>CPI Mar 2023 @ 2023-2024 financial year</t>
  </si>
  <si>
    <r>
      <rPr>
        <b/>
        <sz val="10"/>
        <color rgb="FF0000FF"/>
        <rFont val="Arial"/>
        <family val="2"/>
      </rPr>
      <t xml:space="preserve">N </t>
    </r>
    <r>
      <rPr>
        <b/>
        <sz val="10"/>
        <rFont val="Arial"/>
        <family val="2"/>
      </rPr>
      <t xml:space="preserve">1790
</t>
    </r>
    <r>
      <rPr>
        <sz val="10"/>
        <color rgb="FFFF0000"/>
        <rFont val="Arial"/>
        <family val="2"/>
      </rPr>
      <t>Requested amount payable 28/09/2023</t>
    </r>
  </si>
  <si>
    <r>
      <rPr>
        <b/>
        <sz val="10"/>
        <color rgb="FF0000FF"/>
        <rFont val="Arial"/>
        <family val="2"/>
      </rPr>
      <t xml:space="preserve">N </t>
    </r>
    <r>
      <rPr>
        <b/>
        <sz val="10"/>
        <rFont val="Arial"/>
        <family val="2"/>
      </rPr>
      <t>1904</t>
    </r>
  </si>
  <si>
    <t>OCTOBER 2023
Total =</t>
  </si>
  <si>
    <r>
      <rPr>
        <b/>
        <sz val="10"/>
        <color rgb="FF0000FF"/>
        <rFont val="Arial"/>
        <family val="2"/>
      </rPr>
      <t xml:space="preserve">N </t>
    </r>
    <r>
      <rPr>
        <b/>
        <sz val="10"/>
        <rFont val="Arial"/>
        <family val="2"/>
      </rPr>
      <t xml:space="preserve">1211
</t>
    </r>
    <r>
      <rPr>
        <sz val="10"/>
        <color rgb="FFFF0000"/>
        <rFont val="Arial"/>
        <family val="2"/>
      </rPr>
      <t xml:space="preserve">
</t>
    </r>
    <r>
      <rPr>
        <sz val="10"/>
        <color rgb="FF0000FF"/>
        <rFont val="Arial"/>
        <family val="2"/>
      </rPr>
      <t xml:space="preserve">Final Staged Pmt No 5 </t>
    </r>
    <r>
      <rPr>
        <sz val="10"/>
        <color rgb="FFFF0000"/>
        <rFont val="Arial"/>
        <family val="2"/>
      </rPr>
      <t xml:space="preserve">
</t>
    </r>
    <r>
      <rPr>
        <b/>
        <sz val="10"/>
        <color rgb="FFFF0000"/>
        <rFont val="Arial"/>
        <family val="2"/>
      </rPr>
      <t>AMENDED TO COMPLETION OF PRIMARY DETACHED HOUSE
= PC22/0432</t>
    </r>
  </si>
  <si>
    <t>PC23/0856
Approved: 21/09/2023
Received &amp; Registered: 29/09/2027</t>
  </si>
  <si>
    <t>Building Work
Coastal Building Certifications: Decision Notice: 36250</t>
  </si>
  <si>
    <t>Ken &amp; Judy Adair</t>
  </si>
  <si>
    <t>12 Lowry Street
PEREGIAN BEACH QLD 4573</t>
  </si>
  <si>
    <t>Lot 370 P 93152</t>
  </si>
  <si>
    <t>D000559321</t>
  </si>
  <si>
    <t>MCU17/0568.01
Approved: 3/10/2023
Issued: 5/10/2023</t>
  </si>
  <si>
    <t>4 Jarrah Street, 
COOROY QLD 4563</t>
  </si>
  <si>
    <t>Lot 2 RP 176126</t>
  </si>
  <si>
    <t xml:space="preserve">Additional industrial = 431 m2 GFA
+
Additional Impervious Area (estimate scaled from plans) = 283 m2 </t>
  </si>
  <si>
    <t>Additions already built but given additional time of 1 month to make payment</t>
  </si>
  <si>
    <r>
      <rPr>
        <b/>
        <sz val="10"/>
        <color rgb="FF0000FF"/>
        <rFont val="Arial"/>
        <family val="2"/>
      </rPr>
      <t xml:space="preserve">N </t>
    </r>
    <r>
      <rPr>
        <b/>
        <sz val="10"/>
        <rFont val="Arial"/>
        <family val="2"/>
      </rPr>
      <t xml:space="preserve">1407
</t>
    </r>
    <r>
      <rPr>
        <sz val="10"/>
        <color rgb="FFFF0000"/>
        <rFont val="Arial"/>
        <family val="2"/>
      </rPr>
      <t xml:space="preserve">Final Inspection Certificate issued 29/06/2023
DUE 27 OCT </t>
    </r>
  </si>
  <si>
    <t>Stormwater not applicable for Development outside PIA per LGIP
Part Paid $6,000.00 on 9/10/2023</t>
  </si>
  <si>
    <t xml:space="preserve">cc Pmt ref 
168360 </t>
  </si>
  <si>
    <r>
      <rPr>
        <b/>
        <sz val="10"/>
        <color rgb="FF0000FF"/>
        <rFont val="Arial"/>
        <family val="2"/>
      </rPr>
      <t xml:space="preserve">N </t>
    </r>
    <r>
      <rPr>
        <b/>
        <sz val="10"/>
        <rFont val="Arial"/>
        <family val="2"/>
      </rPr>
      <t xml:space="preserve">1284
</t>
    </r>
    <r>
      <rPr>
        <sz val="10"/>
        <color rgb="FF0000FF"/>
        <rFont val="Arial"/>
        <family val="2"/>
      </rPr>
      <t>PC18/0051 issued 16/02/2018 Final Insp 31/08/2023</t>
    </r>
    <r>
      <rPr>
        <sz val="10"/>
        <color rgb="FFFF0000"/>
        <rFont val="Arial"/>
        <family val="2"/>
      </rPr>
      <t xml:space="preserve">
DUE 27 OCT</t>
    </r>
  </si>
  <si>
    <r>
      <rPr>
        <b/>
        <sz val="10"/>
        <color rgb="FF0000FF"/>
        <rFont val="Arial"/>
        <family val="2"/>
      </rPr>
      <t xml:space="preserve">N </t>
    </r>
    <r>
      <rPr>
        <b/>
        <sz val="10"/>
        <rFont val="Arial"/>
        <family val="2"/>
      </rPr>
      <t xml:space="preserve">1705
</t>
    </r>
    <r>
      <rPr>
        <sz val="10"/>
        <color rgb="FF0000FF"/>
        <rFont val="Arial"/>
        <family val="2"/>
      </rPr>
      <t xml:space="preserve">part pre pmt 12/09/2022 $2,800.00 </t>
    </r>
    <r>
      <rPr>
        <b/>
        <sz val="10"/>
        <rFont val="Arial"/>
        <family val="2"/>
      </rPr>
      <t xml:space="preserve">
</t>
    </r>
    <r>
      <rPr>
        <sz val="10"/>
        <color rgb="FFFF0000"/>
        <rFont val="Arial"/>
        <family val="2"/>
      </rPr>
      <t>Bal = stg pmt IA</t>
    </r>
    <r>
      <rPr>
        <b/>
        <sz val="10"/>
        <color rgb="FFFF0000"/>
        <rFont val="Arial"/>
        <family val="2"/>
      </rPr>
      <t xml:space="preserve">
</t>
    </r>
    <r>
      <rPr>
        <sz val="10"/>
        <color rgb="FFFF0000"/>
        <rFont val="Arial"/>
        <family val="2"/>
      </rPr>
      <t>Stg Pmt 1 = $745.00 paid 11/10/2022
Stg pmt 2 = $2,237.00 
Due 31 Oct 2023</t>
    </r>
  </si>
  <si>
    <t>D000560418</t>
  </si>
  <si>
    <t>D000560842</t>
  </si>
  <si>
    <t>D000560844</t>
  </si>
  <si>
    <r>
      <rPr>
        <b/>
        <sz val="10"/>
        <color rgb="FF0000FF"/>
        <rFont val="Arial"/>
        <family val="2"/>
      </rPr>
      <t xml:space="preserve">N </t>
    </r>
    <r>
      <rPr>
        <b/>
        <sz val="10"/>
        <rFont val="Arial"/>
        <family val="2"/>
      </rPr>
      <t xml:space="preserve">1354
</t>
    </r>
    <r>
      <rPr>
        <b/>
        <sz val="10"/>
        <color rgb="FF0000FF"/>
        <rFont val="Arial"/>
        <family val="2"/>
      </rPr>
      <t xml:space="preserve">Amended
</t>
    </r>
    <r>
      <rPr>
        <sz val="10"/>
        <color rgb="FFFF0000"/>
        <rFont val="Arial"/>
        <family val="2"/>
      </rPr>
      <t>Final Inspection Certificate 13/07/2023
DUE 27 OCT</t>
    </r>
  </si>
  <si>
    <t>D000562205</t>
  </si>
  <si>
    <t>PC23/1084
Approved: 07/09/2023
Received &amp; Registered: 18/09/2026</t>
  </si>
  <si>
    <t>DBW23/0087
Approved: 10/10/2023
Issued: 16/10/2023</t>
  </si>
  <si>
    <t>JA Williams, BR Gowley</t>
  </si>
  <si>
    <t>Lot 3 SP 241381</t>
  </si>
  <si>
    <t>Planning Reg 2023-2024
With compound interest from 12/05/2023</t>
  </si>
  <si>
    <r>
      <t xml:space="preserve">Charges update journal </t>
    </r>
    <r>
      <rPr>
        <b/>
        <sz val="10"/>
        <color rgb="FFFF0000"/>
        <rFont val="Arial"/>
        <family val="2"/>
      </rPr>
      <t>1776258</t>
    </r>
    <r>
      <rPr>
        <sz val="10"/>
        <color rgb="FFFF0000"/>
        <rFont val="Arial"/>
        <family val="2"/>
      </rPr>
      <t xml:space="preserve"> – 
GL posting journal </t>
    </r>
    <r>
      <rPr>
        <b/>
        <sz val="10"/>
        <color rgb="FFFF0000"/>
        <rFont val="Arial"/>
        <family val="2"/>
      </rPr>
      <t>1776259</t>
    </r>
    <r>
      <rPr>
        <sz val="10"/>
        <color rgb="FFFF0000"/>
        <rFont val="Arial"/>
        <family val="2"/>
      </rPr>
      <t>.</t>
    </r>
  </si>
  <si>
    <r>
      <rPr>
        <b/>
        <sz val="10"/>
        <color rgb="FF0000FF"/>
        <rFont val="Arial"/>
        <family val="2"/>
      </rPr>
      <t xml:space="preserve">N </t>
    </r>
    <r>
      <rPr>
        <b/>
        <sz val="10"/>
        <rFont val="Arial"/>
        <family val="2"/>
      </rPr>
      <t xml:space="preserve">1575
</t>
    </r>
    <r>
      <rPr>
        <sz val="10"/>
        <color rgb="FFFF0000"/>
        <rFont val="Arial"/>
        <family val="2"/>
      </rPr>
      <t xml:space="preserve">Final Inspection Cert issued 15/05/023
DUE by </t>
    </r>
    <r>
      <rPr>
        <u/>
        <sz val="10"/>
        <color rgb="FFFF0000"/>
        <rFont val="Arial"/>
        <family val="2"/>
      </rPr>
      <t>the sooner of</t>
    </r>
    <r>
      <rPr>
        <sz val="10"/>
        <color rgb="FFFF0000"/>
        <rFont val="Arial"/>
        <family val="2"/>
      </rPr>
      <t xml:space="preserve">:
a) completion of subordinate RAP20/0001; </t>
    </r>
    <r>
      <rPr>
        <u/>
        <sz val="10"/>
        <color rgb="FFFF0000"/>
        <rFont val="Arial"/>
        <family val="2"/>
      </rPr>
      <t>or</t>
    </r>
    <r>
      <rPr>
        <sz val="10"/>
        <color rgb="FFFF0000"/>
        <rFont val="Arial"/>
        <family val="2"/>
      </rPr>
      <t xml:space="preserve">
b) 10 OCTOBER 2023
</t>
    </r>
    <r>
      <rPr>
        <b/>
        <sz val="10"/>
        <color rgb="FFFF0000"/>
        <rFont val="Arial"/>
        <family val="2"/>
      </rPr>
      <t>Transfered to Rates 16/10/2023</t>
    </r>
  </si>
  <si>
    <t>PC23/1057
Approved: 5/10/2023
Received &amp; Registered: 6/10/2027</t>
  </si>
  <si>
    <t>Building Work
Coastal Building Certifications: Decision Notice: 36274</t>
  </si>
  <si>
    <t>Vella Build Pty Ltd</t>
  </si>
  <si>
    <t>14 Northlake Crescent
SIPPY DOWNS QLD 4556</t>
  </si>
  <si>
    <t>Lot 4 RP 807208</t>
  </si>
  <si>
    <t>33 Beckmans Road 
TEWANTIN QLD 4565</t>
  </si>
  <si>
    <t>132003.221196.2
Approved: 18/10/2023
Issued: 13/10/2023</t>
  </si>
  <si>
    <t>HA Brewer TTE &amp; PB Brewer TTE</t>
  </si>
  <si>
    <t xml:space="preserve">C/- RG Strategic Australia
PO Box 1818
NOOSA HEADS
QLD 4567
</t>
  </si>
  <si>
    <t>2/21 Lionel Donovan Drive, Noosaville QLD 4566</t>
  </si>
  <si>
    <t>Lot 2 SP 171715</t>
  </si>
  <si>
    <t>Light Industry + Additional Mezzanine Level = 631 m2 gfa over total development
Increase is over unit 2 only</t>
  </si>
  <si>
    <t>Light Industry = 574 m2 gfa existing development</t>
  </si>
  <si>
    <t>DBW23/0101
Approved: 17/10/2023
Issued: 18/10/2023</t>
  </si>
  <si>
    <t>70 Blanckensee Road, 
Black Mountain QLD 4563</t>
  </si>
  <si>
    <t xml:space="preserve">Lot 1 RP 193199 </t>
  </si>
  <si>
    <t>D000564423</t>
  </si>
  <si>
    <r>
      <rPr>
        <b/>
        <sz val="10"/>
        <color rgb="FF0000FF"/>
        <rFont val="Arial"/>
        <family val="2"/>
      </rPr>
      <t xml:space="preserve">N </t>
    </r>
    <r>
      <rPr>
        <b/>
        <sz val="10"/>
        <rFont val="Arial"/>
        <family val="2"/>
      </rPr>
      <t xml:space="preserve">1005
</t>
    </r>
    <r>
      <rPr>
        <b/>
        <sz val="10"/>
        <color rgb="FF0000FF"/>
        <rFont val="Arial"/>
        <family val="2"/>
      </rPr>
      <t xml:space="preserve">(Stage 3)
</t>
    </r>
    <r>
      <rPr>
        <sz val="10"/>
        <color rgb="FF0000FF"/>
        <rFont val="Arial"/>
        <family val="2"/>
      </rPr>
      <t>Replaced by N 1900
 MCU22/0196</t>
    </r>
  </si>
  <si>
    <r>
      <rPr>
        <b/>
        <sz val="10"/>
        <color rgb="FF0000FF"/>
        <rFont val="Arial"/>
        <family val="2"/>
      </rPr>
      <t xml:space="preserve">N </t>
    </r>
    <r>
      <rPr>
        <b/>
        <sz val="10"/>
        <rFont val="Arial"/>
        <family val="2"/>
      </rPr>
      <t xml:space="preserve">1006
</t>
    </r>
    <r>
      <rPr>
        <b/>
        <sz val="10"/>
        <color rgb="FF0000FF"/>
        <rFont val="Arial"/>
        <family val="2"/>
      </rPr>
      <t>(Stage 4)</t>
    </r>
    <r>
      <rPr>
        <b/>
        <sz val="10"/>
        <rFont val="Arial"/>
        <family val="2"/>
      </rPr>
      <t xml:space="preserve">
</t>
    </r>
    <r>
      <rPr>
        <sz val="10"/>
        <color rgb="FF0000FF"/>
        <rFont val="Arial"/>
        <family val="2"/>
      </rPr>
      <t>Replaced by N 1900
 MCU22/0196</t>
    </r>
  </si>
  <si>
    <r>
      <rPr>
        <strike/>
        <sz val="8"/>
        <rFont val="Arial"/>
        <family val="2"/>
      </rPr>
      <t>8/04/2014</t>
    </r>
    <r>
      <rPr>
        <sz val="8"/>
        <rFont val="Arial"/>
        <family val="2"/>
      </rPr>
      <t xml:space="preserve">
</t>
    </r>
    <r>
      <rPr>
        <strike/>
        <sz val="8"/>
        <color rgb="FF0000FF"/>
        <rFont val="Arial"/>
        <family val="2"/>
      </rPr>
      <t>8/04/2017</t>
    </r>
    <r>
      <rPr>
        <sz val="8"/>
        <color rgb="FF0000FF"/>
        <rFont val="Arial"/>
        <family val="2"/>
      </rPr>
      <t xml:space="preserve">
8/04/2021
+ subject to Other Change .05</t>
    </r>
  </si>
  <si>
    <r>
      <t xml:space="preserve">08/0176
</t>
    </r>
    <r>
      <rPr>
        <sz val="8"/>
        <color rgb="FF0000FF"/>
        <rFont val="Arial"/>
        <family val="2"/>
      </rPr>
      <t>(Extn &amp; Change to Koala Offset:
132008.176.02)
132008.176.03 (extn)
+ subject to Other Change .05</t>
    </r>
  </si>
  <si>
    <t xml:space="preserve">Part paid Koala Offset
</t>
  </si>
  <si>
    <t xml:space="preserve">5/12/2014
</t>
  </si>
  <si>
    <t xml:space="preserve">1158656
</t>
  </si>
  <si>
    <t>PC23/0528
Approved: 26/05/2023
Received &amp; Registered: 19/10/2027</t>
  </si>
  <si>
    <t>Building Work
Earthcert Building Approvals: Decision Notice: 230134</t>
  </si>
  <si>
    <t>Lot 57 RP 227531</t>
  </si>
  <si>
    <t>20 Swift Drive 
COOROY QLD 4563</t>
  </si>
  <si>
    <t>7 Tarina Street,
NOOSA HEADS QLD 4567</t>
  </si>
  <si>
    <t>D000567521</t>
  </si>
  <si>
    <t>RAL23/0002
Approved 27/10/2023
Issued: 30/10/2023</t>
  </si>
  <si>
    <t>WA Gaghan</t>
  </si>
  <si>
    <t xml:space="preserve">Lot 3 RP 809059 </t>
  </si>
  <si>
    <t>35 Pavilion St 
Pomona Qld 4568</t>
  </si>
  <si>
    <t>D000568231</t>
  </si>
  <si>
    <t>MCU22/0051
Approved: 26/10/2023
Issued: 1/11/2023</t>
  </si>
  <si>
    <t>Bunnings Group Limited</t>
  </si>
  <si>
    <t>C/- RPS Australia East Pty Ltd
PO Box 6149
MERIDAN PLAINS QLD 4575</t>
  </si>
  <si>
    <t>Lot 101 SP 279285</t>
  </si>
  <si>
    <t>178 Eumundi Noosa Road, NOOSAVILLE QLD 4566</t>
  </si>
  <si>
    <t>Hardware &amp; Trade Supplies
Existing Area = 7,592 m2 gfa
+ 
Impervious area Existing = 18,843 m2</t>
  </si>
  <si>
    <t>Hardware &amp; Trade Supplies
Total Area = 8,680 m2 gfa
+ 
Impervious area Overall-Total = 22,447 m2</t>
  </si>
  <si>
    <t>PC23/0837
Approved: 13/09/2023
Received &amp; Registed: 24/10/2023</t>
  </si>
  <si>
    <t>Building Work
Earthcert Building Approvals: Decision Notice: 230167</t>
  </si>
  <si>
    <t>Heather Foley</t>
  </si>
  <si>
    <t>28 Smiths Road
TINBEERWAH QLD 4563</t>
  </si>
  <si>
    <t>Lot 23 RP 208502</t>
  </si>
  <si>
    <t>PC23/0928
Approved: 22/08/2023
Received &amp; Registered: 26/10/2023</t>
  </si>
  <si>
    <t>Building Work
Pure Building Approvals - Decision Notice: 20230467</t>
  </si>
  <si>
    <t xml:space="preserve">Kevin Gulliver </t>
  </si>
  <si>
    <t>5 Smiths Road  
TINBEERWAH QLD 4563</t>
  </si>
  <si>
    <t>Lot 4 RP 184297</t>
  </si>
  <si>
    <t>5 Smiths Road
TINBEERWAH QLD 4563</t>
  </si>
  <si>
    <t>PC23/1199
Approved: 15/10/2023
Received &amp; Registered: 28/10/2023</t>
  </si>
  <si>
    <t>Building Work
Jim Locke Building Consultants Pty Ltd - Permit Number: 230242</t>
  </si>
  <si>
    <t>Jamie Kristow</t>
  </si>
  <si>
    <t>139 Blanckensee Road
BLACK MOUNTAIN QLD 4563</t>
  </si>
  <si>
    <t>Lot 231 RP 910124</t>
  </si>
  <si>
    <r>
      <rPr>
        <b/>
        <sz val="10"/>
        <color rgb="FF0000FF"/>
        <rFont val="Arial"/>
        <family val="2"/>
      </rPr>
      <t xml:space="preserve">N </t>
    </r>
    <r>
      <rPr>
        <b/>
        <sz val="10"/>
        <rFont val="Arial"/>
        <family val="2"/>
      </rPr>
      <t xml:space="preserve">1891
</t>
    </r>
    <r>
      <rPr>
        <sz val="10"/>
        <color rgb="FFFF0000"/>
        <rFont val="Arial"/>
        <family val="2"/>
      </rPr>
      <t>Final Inspection Cert 13/10/2023</t>
    </r>
    <r>
      <rPr>
        <b/>
        <sz val="10"/>
        <color rgb="FFFF0000"/>
        <rFont val="Arial"/>
        <family val="2"/>
      </rPr>
      <t xml:space="preserve">
</t>
    </r>
    <r>
      <rPr>
        <sz val="10"/>
        <color rgb="FFFF0000"/>
        <rFont val="Arial"/>
        <family val="2"/>
      </rPr>
      <t>DUE 30 NOV</t>
    </r>
  </si>
  <si>
    <t>NOVEMBER 2023
Total =</t>
  </si>
  <si>
    <t>D000569030</t>
  </si>
  <si>
    <r>
      <rPr>
        <b/>
        <sz val="10"/>
        <color rgb="FF0000FF"/>
        <rFont val="Arial"/>
        <family val="2"/>
      </rPr>
      <t xml:space="preserve">N </t>
    </r>
    <r>
      <rPr>
        <b/>
        <sz val="10"/>
        <rFont val="Arial"/>
        <family val="2"/>
      </rPr>
      <t xml:space="preserve">1919
</t>
    </r>
    <r>
      <rPr>
        <sz val="10"/>
        <color rgb="FFFF0000"/>
        <rFont val="Arial"/>
        <family val="2"/>
      </rPr>
      <t>Additions already completed</t>
    </r>
    <r>
      <rPr>
        <b/>
        <sz val="10"/>
        <rFont val="Arial"/>
        <family val="2"/>
      </rPr>
      <t xml:space="preserve">
</t>
    </r>
    <r>
      <rPr>
        <sz val="10"/>
        <color rgb="FFFF0000"/>
        <rFont val="Arial"/>
        <family val="2"/>
      </rPr>
      <t>PAYMENT DUE 
6 NOV 2023</t>
    </r>
  </si>
  <si>
    <t>D000569066</t>
  </si>
  <si>
    <t>PC23/0450
Approved: 24/10/2023
Received &amp; Registered: 30/10/2023</t>
  </si>
  <si>
    <t>PC23/0879
Approved: 25/10/2023
Received &amp; Registered: 31/10/2023</t>
  </si>
  <si>
    <t>PC23/1222
Approved: 23/10/2023
Received &amp; Registered: 31/10/2023</t>
  </si>
  <si>
    <t>Building Work
Core Building Certification - Permit Number: 231550</t>
  </si>
  <si>
    <t>Building Work
Earthcert Building Approvals - Permit Number: 230210</t>
  </si>
  <si>
    <t>Building Work
Pinnacle Certification
Permit Number: 230391</t>
  </si>
  <si>
    <t>Lalin &amp; Prasanni Cooray</t>
  </si>
  <si>
    <t>103 Goodwin Street
TEWANTIN QLD 4565</t>
  </si>
  <si>
    <t>Lot 2 RP 867624</t>
  </si>
  <si>
    <t>Lot 3 SP 114688</t>
  </si>
  <si>
    <t>22 Nylana Way
DOONAN QLD 4562</t>
  </si>
  <si>
    <t>Haven Building Design</t>
  </si>
  <si>
    <t>2A Kara Court
YAROOMBA QLD 4573</t>
  </si>
  <si>
    <t>Lot 107 RP 881884</t>
  </si>
  <si>
    <t>163 Lenehans Lane
DOONAN QLD 4562</t>
  </si>
  <si>
    <t>Lot 7 SP 170305</t>
  </si>
  <si>
    <t>51 Warana St
NOOSA HEADS QLD 4567</t>
  </si>
  <si>
    <t>DH Spencer, CL Spencer</t>
  </si>
  <si>
    <t>Service Industry = 734 m2 gfa
(Additional mezzanine 74 m2)
+ No change to existing impervious area</t>
  </si>
  <si>
    <t>Service Industry = 660 m2 gfa</t>
  </si>
  <si>
    <t>Noosaville Industrial Service Park Two 
7/33 Gateway Drive, 
Noosaville Qld 4566</t>
  </si>
  <si>
    <t>Mr WRL Jackson &amp; Mrs AM Jackson</t>
  </si>
  <si>
    <t>2/21 Parkedge Rd Sunshine Beach QLD 4567</t>
  </si>
  <si>
    <t>Lot 2 BUP 10798</t>
  </si>
  <si>
    <t>Dual Occupancy - 3 bed unit</t>
  </si>
  <si>
    <t>Dual Occupancy - 2 bed unit</t>
  </si>
  <si>
    <t>132002.220270.6 
Approved: 8/11/2023
Issued: 13/11/2023</t>
  </si>
  <si>
    <r>
      <rPr>
        <b/>
        <sz val="10"/>
        <color rgb="FF0000FF"/>
        <rFont val="Arial"/>
        <family val="2"/>
      </rPr>
      <t xml:space="preserve">N </t>
    </r>
    <r>
      <rPr>
        <b/>
        <sz val="10"/>
        <rFont val="Arial"/>
        <family val="2"/>
      </rPr>
      <t xml:space="preserve">1930
</t>
    </r>
    <r>
      <rPr>
        <b/>
        <sz val="10"/>
        <color rgb="FFFF0000"/>
        <rFont val="Arial"/>
        <family val="2"/>
      </rPr>
      <t>CANCELLED on CHANGE to APPROVAL</t>
    </r>
  </si>
  <si>
    <t xml:space="preserve">Change to Approval issued 13/11/2023 removing the sink from the bench in the addition &amp; therefore no longer contains a “food preparation facility” &amp; no longer considered capable of being a secondary dwelling. </t>
  </si>
  <si>
    <r>
      <rPr>
        <b/>
        <sz val="10"/>
        <color rgb="FF0000FF"/>
        <rFont val="Arial"/>
        <family val="2"/>
      </rPr>
      <t xml:space="preserve">N </t>
    </r>
    <r>
      <rPr>
        <b/>
        <sz val="10"/>
        <rFont val="Arial"/>
        <family val="2"/>
      </rPr>
      <t xml:space="preserve">1456
(Stage 1)
</t>
    </r>
    <r>
      <rPr>
        <i/>
        <sz val="10"/>
        <color rgb="FF0000FF"/>
        <rFont val="Arial"/>
        <family val="2"/>
      </rPr>
      <t xml:space="preserve">PC21/0454 </t>
    </r>
    <r>
      <rPr>
        <i/>
        <sz val="10"/>
        <color rgb="FFFF0000"/>
        <rFont val="Arial"/>
        <family val="2"/>
      </rPr>
      <t xml:space="preserve">
Certificates of Occupancy issued 22 June 2023
DUE 30 NOV 2023</t>
    </r>
  </si>
  <si>
    <r>
      <rPr>
        <b/>
        <sz val="10"/>
        <color rgb="FF0000FF"/>
        <rFont val="Arial"/>
        <family val="2"/>
      </rPr>
      <t xml:space="preserve">N </t>
    </r>
    <r>
      <rPr>
        <b/>
        <sz val="10"/>
        <rFont val="Arial"/>
        <family val="2"/>
      </rPr>
      <t xml:space="preserve">1456
(Stage 2)
</t>
    </r>
    <r>
      <rPr>
        <sz val="10"/>
        <color rgb="FF0000FF"/>
        <rFont val="Arial"/>
        <family val="2"/>
      </rPr>
      <t xml:space="preserve">PC21/0454 
</t>
    </r>
    <r>
      <rPr>
        <sz val="10"/>
        <color rgb="FFFF0000"/>
        <rFont val="Arial"/>
        <family val="2"/>
      </rPr>
      <t>Certificates of Occupancy issued 22 June 2023</t>
    </r>
    <r>
      <rPr>
        <sz val="10"/>
        <color rgb="FF0000FF"/>
        <rFont val="Arial"/>
        <family val="2"/>
      </rPr>
      <t xml:space="preserve">
</t>
    </r>
    <r>
      <rPr>
        <sz val="10"/>
        <color rgb="FFFF0000"/>
        <rFont val="Arial"/>
        <family val="2"/>
      </rPr>
      <t>DUE 30 NOV 2023</t>
    </r>
  </si>
  <si>
    <r>
      <rPr>
        <b/>
        <sz val="10"/>
        <color rgb="FF0000FF"/>
        <rFont val="Arial"/>
        <family val="2"/>
      </rPr>
      <t xml:space="preserve">N </t>
    </r>
    <r>
      <rPr>
        <b/>
        <sz val="10"/>
        <rFont val="Arial"/>
        <family val="2"/>
      </rPr>
      <t xml:space="preserve">1922
</t>
    </r>
    <r>
      <rPr>
        <sz val="10"/>
        <color rgb="FFFF0000"/>
        <rFont val="Arial"/>
        <family val="2"/>
      </rPr>
      <t>Additions already completed
PAYMENT DUE by 
17 NOV 2023</t>
    </r>
  </si>
  <si>
    <t xml:space="preserve"> 16/11/2023</t>
  </si>
  <si>
    <t>D000571163</t>
  </si>
  <si>
    <t>D000570953</t>
  </si>
  <si>
    <r>
      <rPr>
        <b/>
        <sz val="10"/>
        <color rgb="FF0000FF"/>
        <rFont val="Arial"/>
        <family val="2"/>
      </rPr>
      <t xml:space="preserve">N </t>
    </r>
    <r>
      <rPr>
        <b/>
        <sz val="10"/>
        <rFont val="Arial"/>
        <family val="2"/>
      </rPr>
      <t xml:space="preserve">1703
</t>
    </r>
    <r>
      <rPr>
        <i/>
        <sz val="10"/>
        <color rgb="FF0000FF"/>
        <rFont val="Arial"/>
        <family val="2"/>
      </rPr>
      <t xml:space="preserve">PC21/1695
Final Inspect Cert 3/05/2023
</t>
    </r>
    <r>
      <rPr>
        <i/>
        <sz val="10"/>
        <color rgb="FFFF0000"/>
        <rFont val="Arial"/>
        <family val="2"/>
      </rPr>
      <t>Due 11 DEC</t>
    </r>
  </si>
  <si>
    <t>N/a 
Change to existing</t>
  </si>
  <si>
    <t>Retrospective approval for Mezzanine already constructed</t>
  </si>
  <si>
    <t>D000571764</t>
  </si>
  <si>
    <t>D000571766</t>
  </si>
  <si>
    <t>DBW23/0116
Approved: 17/11/2023
Issued: 21/11/2023</t>
  </si>
  <si>
    <t>Council Depot 10 Bartlett Rd, Noosaville QLD 4566</t>
  </si>
  <si>
    <t xml:space="preserve">Lot 901 RP 150345 </t>
  </si>
  <si>
    <t>15m2 Impervious area</t>
  </si>
  <si>
    <r>
      <rPr>
        <b/>
        <sz val="10"/>
        <color rgb="FF0000FF"/>
        <rFont val="Arial"/>
        <family val="2"/>
      </rPr>
      <t xml:space="preserve">N </t>
    </r>
    <r>
      <rPr>
        <b/>
        <sz val="10"/>
        <rFont val="Arial"/>
        <family val="2"/>
      </rPr>
      <t xml:space="preserve">1860
</t>
    </r>
    <r>
      <rPr>
        <sz val="10"/>
        <color rgb="FFFF0000"/>
        <rFont val="Arial"/>
        <family val="2"/>
      </rPr>
      <t>22./11/2023 Requested amount payable</t>
    </r>
  </si>
  <si>
    <t>D000572416</t>
  </si>
  <si>
    <t>D000572662</t>
  </si>
  <si>
    <r>
      <rPr>
        <b/>
        <sz val="10"/>
        <color rgb="FF0000FF"/>
        <rFont val="Arial"/>
        <family val="2"/>
      </rPr>
      <t xml:space="preserve">N </t>
    </r>
    <r>
      <rPr>
        <b/>
        <sz val="10"/>
        <rFont val="Arial"/>
        <family val="2"/>
      </rPr>
      <t xml:space="preserve">1552
</t>
    </r>
    <r>
      <rPr>
        <b/>
        <sz val="10"/>
        <color rgb="FF0000FF"/>
        <rFont val="Arial"/>
        <family val="2"/>
      </rPr>
      <t>Negotiated - STAGE 5</t>
    </r>
    <r>
      <rPr>
        <b/>
        <sz val="10"/>
        <rFont val="Arial"/>
        <family val="2"/>
      </rPr>
      <t xml:space="preserve">
</t>
    </r>
    <r>
      <rPr>
        <sz val="10"/>
        <color rgb="FFFF0000"/>
        <rFont val="Arial"/>
        <family val="2"/>
      </rPr>
      <t>+
N 1872</t>
    </r>
  </si>
  <si>
    <r>
      <rPr>
        <b/>
        <sz val="10"/>
        <color rgb="FF0000FF"/>
        <rFont val="Arial"/>
        <family val="2"/>
      </rPr>
      <t xml:space="preserve">N </t>
    </r>
    <r>
      <rPr>
        <b/>
        <sz val="10"/>
        <rFont val="Arial"/>
        <family val="2"/>
      </rPr>
      <t xml:space="preserve">1872
</t>
    </r>
    <r>
      <rPr>
        <sz val="10"/>
        <color rgb="FFFF0000"/>
        <rFont val="Arial"/>
        <family val="2"/>
      </rPr>
      <t xml:space="preserve">+
N 1552 (Stage 5)
</t>
    </r>
  </si>
  <si>
    <t>Other industry = Storage shed (Container) = 15m2 additional gfa &amp; Impervious area</t>
  </si>
  <si>
    <t>DBW23/0084
Approved: 27/11/2023
Issued: 28/11/2023</t>
  </si>
  <si>
    <t>DA Byrne</t>
  </si>
  <si>
    <t>83 Coachwood Tce
BLACK MOUNTAIN QLD 4563</t>
  </si>
  <si>
    <t>83 Coachwood Terrace, 
Black Mountain QLD 4563</t>
  </si>
  <si>
    <t xml:space="preserve">Lot 16 SP 248179 </t>
  </si>
  <si>
    <t>1 x Res lot equiv to Dwelling House</t>
  </si>
  <si>
    <t>D000573123</t>
  </si>
  <si>
    <t>D000573121</t>
  </si>
  <si>
    <t>Building Work
Project B.A. 
Permit Nunber: 20233876</t>
  </si>
  <si>
    <t>107 Sugar Road
MAROOCYDORE QLD 4558</t>
  </si>
  <si>
    <t>Lot 2 RP 179766</t>
  </si>
  <si>
    <t>63 Bagnalls Road
COOROY QLD 4563</t>
  </si>
  <si>
    <t>MCU23/0062
Approved: 22/11/2023
Issued: 29/11/2023</t>
  </si>
  <si>
    <t>AB Offermann &amp; MJ Swete Kelly</t>
  </si>
  <si>
    <t>206 David Low Way, 
Peregian Beach QLD 4573</t>
  </si>
  <si>
    <t xml:space="preserve">Lot 54 P 9319 </t>
  </si>
  <si>
    <t>Dual Occupancy - 2 x 3 bed units</t>
  </si>
  <si>
    <t>51983.3225.17 
Approved: 27/11/2023
Issued: 29/11/2023</t>
  </si>
  <si>
    <t>JF Raftery</t>
  </si>
  <si>
    <t>Lot 2 GTP 1154</t>
  </si>
  <si>
    <t xml:space="preserve">The Hastings 2/30 Hastings Street, Noosa Heads </t>
  </si>
  <si>
    <t>Multiple dwelling = 1 x 3 bed unit</t>
  </si>
  <si>
    <t>Multiple dwelling = 1 x 2 bed unit</t>
  </si>
  <si>
    <r>
      <rPr>
        <b/>
        <sz val="10"/>
        <color rgb="FF0000FF"/>
        <rFont val="Arial"/>
        <family val="2"/>
      </rPr>
      <t xml:space="preserve">N </t>
    </r>
    <r>
      <rPr>
        <b/>
        <sz val="10"/>
        <rFont val="Arial"/>
        <family val="2"/>
      </rPr>
      <t xml:space="preserve">1928
</t>
    </r>
    <r>
      <rPr>
        <sz val="10"/>
        <color rgb="FFFF0000"/>
        <rFont val="Arial"/>
        <family val="2"/>
      </rPr>
      <t>Final Inspect Cert issued 30/11/2023
DUE 2 JAN 2024</t>
    </r>
  </si>
  <si>
    <t>DECEMBER 2023
Total =</t>
  </si>
  <si>
    <t>DBW23/0078
Approved: 4/12/2023
Issued: 5/12/2023</t>
  </si>
  <si>
    <t>James Neil Austin &amp; Jody Louise Austin</t>
  </si>
  <si>
    <t>C/- URBN Town Planning
PO Box 81 
BUDERIM QLD 4556</t>
  </si>
  <si>
    <t>Lot 304 SP 118015</t>
  </si>
  <si>
    <t>122 Musa Vale Road
COOROY QLD 4563</t>
  </si>
  <si>
    <t>D000574035</t>
  </si>
  <si>
    <t>D000574034</t>
  </si>
  <si>
    <t>PC23/1289
Approved: 20/11/2023
Received &amp; Registered: 24/11/2023</t>
  </si>
  <si>
    <t>Building Work
Building Approvals United QLD 
Permit Nunber: 23-4218</t>
  </si>
  <si>
    <t>PC23/0559
Approved: 23/12/2023
Received &amp; Registered: 28/11/2023</t>
  </si>
  <si>
    <t>Lot 19 SP 129042</t>
  </si>
  <si>
    <t>11 Stockwhip Court
COOROIBAH QLD 4565</t>
  </si>
  <si>
    <t>PC23/0874
Approved: 15/11/2023
Received &amp; Registered: 30/11/2023</t>
  </si>
  <si>
    <t>Building Work
Earthcert Building Approvals
Permit Nunber: 230207</t>
  </si>
  <si>
    <t>Michael Smith</t>
  </si>
  <si>
    <t>207 Ocean View Road
COOROY QLD 4563</t>
  </si>
  <si>
    <t>Lot 56 RP 225304</t>
  </si>
  <si>
    <t>Asset Cabins &amp; Homes</t>
  </si>
  <si>
    <t>Lot 149 RP 886687</t>
  </si>
  <si>
    <t>10 Squatter Court
POMONA QLD 4568</t>
  </si>
  <si>
    <t>Building Work
GMA Certification Group 
Permit Nunber: 20233248</t>
  </si>
  <si>
    <t>Superior Granny Flats Pty Ltd</t>
  </si>
  <si>
    <t>3/6-12 Graham Street
UNDERWOOD QLD 4119</t>
  </si>
  <si>
    <t>Lot 28 RP 169523</t>
  </si>
  <si>
    <t>21 Griffith Avenue 
TEWANTIN QLD 4565</t>
  </si>
  <si>
    <t>PC23/1294
Approved: 7/11/2023
Received &amp; Registered: 27/11/2023</t>
  </si>
  <si>
    <t>PC23/0460
Approved: 13/11/2023
Received &amp; Registered: 27/11/2024</t>
  </si>
  <si>
    <t>D000574382</t>
  </si>
  <si>
    <t>D000574385</t>
  </si>
  <si>
    <r>
      <rPr>
        <b/>
        <sz val="10"/>
        <color rgb="FF0000FF"/>
        <rFont val="Arial"/>
        <family val="2"/>
      </rPr>
      <t xml:space="preserve">N </t>
    </r>
    <r>
      <rPr>
        <b/>
        <sz val="10"/>
        <rFont val="Arial"/>
        <family val="2"/>
      </rPr>
      <t xml:space="preserve">1176
</t>
    </r>
    <r>
      <rPr>
        <sz val="10"/>
        <color rgb="FF0000FF"/>
        <rFont val="Arial"/>
        <family val="2"/>
      </rPr>
      <t xml:space="preserve">PC21/1167 issued  Sept 2021 </t>
    </r>
    <r>
      <rPr>
        <b/>
        <sz val="10"/>
        <rFont val="Arial"/>
        <family val="2"/>
      </rPr>
      <t xml:space="preserve">
</t>
    </r>
    <r>
      <rPr>
        <b/>
        <sz val="10"/>
        <color rgb="FFFF0000"/>
        <rFont val="Arial"/>
        <family val="2"/>
      </rPr>
      <t>F</t>
    </r>
    <r>
      <rPr>
        <sz val="10"/>
        <color rgb="FFFF0000"/>
        <rFont val="Arial"/>
        <family val="2"/>
      </rPr>
      <t>inal Inspection Cert issued 20/11/2023 
DUE 15 DEC</t>
    </r>
  </si>
  <si>
    <r>
      <rPr>
        <b/>
        <sz val="10"/>
        <color rgb="FF0000FF"/>
        <rFont val="Arial"/>
        <family val="2"/>
      </rPr>
      <t xml:space="preserve">N </t>
    </r>
    <r>
      <rPr>
        <b/>
        <sz val="10"/>
        <rFont val="Arial"/>
        <family val="2"/>
      </rPr>
      <t xml:space="preserve">1933
</t>
    </r>
    <r>
      <rPr>
        <sz val="10"/>
        <color rgb="FFFF0000"/>
        <rFont val="Arial"/>
        <family val="2"/>
      </rPr>
      <t xml:space="preserve">
DUE 11 DEC 2023</t>
    </r>
  </si>
  <si>
    <r>
      <rPr>
        <b/>
        <sz val="10"/>
        <color rgb="FF0000FF"/>
        <rFont val="Arial"/>
        <family val="2"/>
      </rPr>
      <t xml:space="preserve">N </t>
    </r>
    <r>
      <rPr>
        <b/>
        <sz val="10"/>
        <rFont val="Arial"/>
        <family val="2"/>
      </rPr>
      <t xml:space="preserve">1674
</t>
    </r>
    <r>
      <rPr>
        <i/>
        <sz val="10"/>
        <color rgb="FF0000FF"/>
        <rFont val="Arial"/>
        <family val="2"/>
      </rPr>
      <t>PC20/1346
Approved 14/10/2021</t>
    </r>
    <r>
      <rPr>
        <b/>
        <sz val="10"/>
        <rFont val="Arial"/>
        <family val="2"/>
      </rPr>
      <t xml:space="preserve">
</t>
    </r>
    <r>
      <rPr>
        <sz val="10"/>
        <color rgb="FFFF0000"/>
        <rFont val="Arial"/>
        <family val="2"/>
      </rPr>
      <t>No final but appears completed via aerials since July 2023</t>
    </r>
    <r>
      <rPr>
        <sz val="10"/>
        <rFont val="Arial"/>
        <family val="2"/>
      </rPr>
      <t xml:space="preserve">
</t>
    </r>
    <r>
      <rPr>
        <sz val="10"/>
        <color rgb="FFFF0000"/>
        <rFont val="Arial"/>
        <family val="2"/>
      </rPr>
      <t>DUE 12 JAN 2024</t>
    </r>
  </si>
  <si>
    <t xml:space="preserve">Paid
STG PMT 2 </t>
  </si>
  <si>
    <r>
      <rPr>
        <b/>
        <sz val="10"/>
        <color rgb="FF0000FF"/>
        <rFont val="Arial"/>
        <family val="2"/>
      </rPr>
      <t xml:space="preserve">N </t>
    </r>
    <r>
      <rPr>
        <b/>
        <sz val="10"/>
        <rFont val="Arial"/>
        <family val="2"/>
      </rPr>
      <t xml:space="preserve">1381
</t>
    </r>
    <r>
      <rPr>
        <b/>
        <i/>
        <sz val="10"/>
        <color rgb="FF0000FF"/>
        <rFont val="Arial"/>
        <family val="2"/>
      </rPr>
      <t>IA#109 Amended</t>
    </r>
    <r>
      <rPr>
        <i/>
        <sz val="10"/>
        <color rgb="FFFF0000"/>
        <rFont val="Arial"/>
        <family val="2"/>
      </rPr>
      <t xml:space="preserve">
Stg 1 - Pmt2 Bal $13,086.00 
Due 15/12/2023</t>
    </r>
  </si>
  <si>
    <t>D000575076</t>
  </si>
  <si>
    <t>51988.2740.02
Approved: 8/11/2023
Issued: 10/11/2023</t>
  </si>
  <si>
    <r>
      <t xml:space="preserve">REC15/0017
</t>
    </r>
    <r>
      <rPr>
        <sz val="10"/>
        <color rgb="FF0000FF"/>
        <rFont val="Arial"/>
        <family val="2"/>
      </rPr>
      <t>extended by Minor change REC15/0017.02</t>
    </r>
  </si>
  <si>
    <r>
      <rPr>
        <strike/>
        <sz val="10"/>
        <rFont val="Arial"/>
        <family val="2"/>
      </rPr>
      <t>23/08/2021</t>
    </r>
    <r>
      <rPr>
        <sz val="10"/>
        <rFont val="Arial"/>
        <family val="2"/>
      </rPr>
      <t xml:space="preserve">
</t>
    </r>
    <r>
      <rPr>
        <sz val="10"/>
        <color rgb="FF0000FF"/>
        <rFont val="Arial"/>
        <family val="2"/>
      </rPr>
      <t>23/08/2025</t>
    </r>
  </si>
  <si>
    <r>
      <rPr>
        <b/>
        <sz val="10"/>
        <color rgb="FF0000FF"/>
        <rFont val="Arial"/>
        <family val="2"/>
      </rPr>
      <t xml:space="preserve">N </t>
    </r>
    <r>
      <rPr>
        <b/>
        <sz val="10"/>
        <rFont val="Arial"/>
        <family val="2"/>
      </rPr>
      <t>1955</t>
    </r>
    <r>
      <rPr>
        <sz val="11"/>
        <color theme="1"/>
        <rFont val="Calibri"/>
        <family val="2"/>
        <scheme val="minor"/>
      </rPr>
      <t/>
    </r>
  </si>
  <si>
    <r>
      <rPr>
        <b/>
        <sz val="10"/>
        <color rgb="FF0000FF"/>
        <rFont val="Arial"/>
        <family val="2"/>
      </rPr>
      <t xml:space="preserve">N </t>
    </r>
    <r>
      <rPr>
        <b/>
        <sz val="10"/>
        <rFont val="Arial"/>
        <family val="2"/>
      </rPr>
      <t>1957</t>
    </r>
    <r>
      <rPr>
        <sz val="11"/>
        <color theme="1"/>
        <rFont val="Calibri"/>
        <family val="2"/>
        <scheme val="minor"/>
      </rPr>
      <t/>
    </r>
  </si>
  <si>
    <r>
      <rPr>
        <b/>
        <sz val="10"/>
        <color rgb="FF0000FF"/>
        <rFont val="Arial"/>
        <family val="2"/>
      </rPr>
      <t xml:space="preserve">N </t>
    </r>
    <r>
      <rPr>
        <b/>
        <sz val="10"/>
        <rFont val="Arial"/>
        <family val="2"/>
      </rPr>
      <t>1958</t>
    </r>
    <r>
      <rPr>
        <sz val="11"/>
        <color theme="1"/>
        <rFont val="Calibri"/>
        <family val="2"/>
        <scheme val="minor"/>
      </rPr>
      <t/>
    </r>
  </si>
  <si>
    <r>
      <rPr>
        <b/>
        <sz val="10"/>
        <color rgb="FF0000FF"/>
        <rFont val="Arial"/>
        <family val="2"/>
      </rPr>
      <t xml:space="preserve">N </t>
    </r>
    <r>
      <rPr>
        <b/>
        <sz val="10"/>
        <rFont val="Arial"/>
        <family val="2"/>
      </rPr>
      <t>1960</t>
    </r>
    <r>
      <rPr>
        <sz val="11"/>
        <color theme="1"/>
        <rFont val="Calibri"/>
        <family val="2"/>
        <scheme val="minor"/>
      </rPr>
      <t/>
    </r>
  </si>
  <si>
    <r>
      <rPr>
        <b/>
        <sz val="10"/>
        <color rgb="FF0000FF"/>
        <rFont val="Arial"/>
        <family val="2"/>
      </rPr>
      <t xml:space="preserve">N </t>
    </r>
    <r>
      <rPr>
        <b/>
        <sz val="10"/>
        <rFont val="Arial"/>
        <family val="2"/>
      </rPr>
      <t>1961</t>
    </r>
    <r>
      <rPr>
        <sz val="11"/>
        <color theme="1"/>
        <rFont val="Calibri"/>
        <family val="2"/>
        <scheme val="minor"/>
      </rPr>
      <t/>
    </r>
  </si>
  <si>
    <r>
      <rPr>
        <b/>
        <sz val="10"/>
        <color rgb="FF0000FF"/>
        <rFont val="Arial"/>
        <family val="2"/>
      </rPr>
      <t xml:space="preserve">N </t>
    </r>
    <r>
      <rPr>
        <b/>
        <sz val="10"/>
        <rFont val="Arial"/>
        <family val="2"/>
      </rPr>
      <t>1962</t>
    </r>
    <r>
      <rPr>
        <sz val="11"/>
        <color theme="1"/>
        <rFont val="Calibri"/>
        <family val="2"/>
        <scheme val="minor"/>
      </rPr>
      <t/>
    </r>
  </si>
  <si>
    <r>
      <rPr>
        <b/>
        <sz val="10"/>
        <color rgb="FF0000FF"/>
        <rFont val="Arial"/>
        <family val="2"/>
      </rPr>
      <t xml:space="preserve">N </t>
    </r>
    <r>
      <rPr>
        <b/>
        <sz val="10"/>
        <rFont val="Arial"/>
        <family val="2"/>
      </rPr>
      <t>1963</t>
    </r>
    <r>
      <rPr>
        <sz val="11"/>
        <color theme="1"/>
        <rFont val="Calibri"/>
        <family val="2"/>
        <scheme val="minor"/>
      </rPr>
      <t/>
    </r>
  </si>
  <si>
    <r>
      <rPr>
        <b/>
        <sz val="10"/>
        <color rgb="FF0000FF"/>
        <rFont val="Arial"/>
        <family val="2"/>
      </rPr>
      <t xml:space="preserve">N </t>
    </r>
    <r>
      <rPr>
        <b/>
        <sz val="10"/>
        <rFont val="Arial"/>
        <family val="2"/>
      </rPr>
      <t>1964</t>
    </r>
    <r>
      <rPr>
        <sz val="11"/>
        <color theme="1"/>
        <rFont val="Calibri"/>
        <family val="2"/>
        <scheme val="minor"/>
      </rPr>
      <t/>
    </r>
  </si>
  <si>
    <r>
      <rPr>
        <b/>
        <sz val="10"/>
        <color rgb="FF0000FF"/>
        <rFont val="Arial"/>
        <family val="2"/>
      </rPr>
      <t xml:space="preserve">N </t>
    </r>
    <r>
      <rPr>
        <b/>
        <sz val="10"/>
        <rFont val="Arial"/>
        <family val="2"/>
      </rPr>
      <t>1965</t>
    </r>
    <r>
      <rPr>
        <sz val="11"/>
        <color theme="1"/>
        <rFont val="Calibri"/>
        <family val="2"/>
        <scheme val="minor"/>
      </rPr>
      <t/>
    </r>
  </si>
  <si>
    <r>
      <rPr>
        <b/>
        <sz val="10"/>
        <color rgb="FF0000FF"/>
        <rFont val="Arial"/>
        <family val="2"/>
      </rPr>
      <t xml:space="preserve">N </t>
    </r>
    <r>
      <rPr>
        <b/>
        <sz val="10"/>
        <rFont val="Arial"/>
        <family val="2"/>
      </rPr>
      <t>1967</t>
    </r>
    <r>
      <rPr>
        <sz val="11"/>
        <color theme="1"/>
        <rFont val="Calibri"/>
        <family val="2"/>
        <scheme val="minor"/>
      </rPr>
      <t/>
    </r>
  </si>
  <si>
    <r>
      <rPr>
        <b/>
        <sz val="10"/>
        <color rgb="FF0000FF"/>
        <rFont val="Arial"/>
        <family val="2"/>
      </rPr>
      <t xml:space="preserve">N </t>
    </r>
    <r>
      <rPr>
        <b/>
        <sz val="10"/>
        <rFont val="Arial"/>
        <family val="2"/>
      </rPr>
      <t>1968</t>
    </r>
    <r>
      <rPr>
        <sz val="11"/>
        <color theme="1"/>
        <rFont val="Calibri"/>
        <family val="2"/>
        <scheme val="minor"/>
      </rPr>
      <t/>
    </r>
  </si>
  <si>
    <r>
      <rPr>
        <b/>
        <sz val="10"/>
        <color rgb="FF0000FF"/>
        <rFont val="Arial"/>
        <family val="2"/>
      </rPr>
      <t xml:space="preserve">N </t>
    </r>
    <r>
      <rPr>
        <b/>
        <sz val="10"/>
        <rFont val="Arial"/>
        <family val="2"/>
      </rPr>
      <t>1969</t>
    </r>
    <r>
      <rPr>
        <sz val="11"/>
        <color theme="1"/>
        <rFont val="Calibri"/>
        <family val="2"/>
        <scheme val="minor"/>
      </rPr>
      <t/>
    </r>
  </si>
  <si>
    <r>
      <rPr>
        <b/>
        <sz val="10"/>
        <color rgb="FF0000FF"/>
        <rFont val="Arial"/>
        <family val="2"/>
      </rPr>
      <t xml:space="preserve">N </t>
    </r>
    <r>
      <rPr>
        <b/>
        <sz val="10"/>
        <rFont val="Arial"/>
        <family val="2"/>
      </rPr>
      <t>1970</t>
    </r>
    <r>
      <rPr>
        <sz val="11"/>
        <color theme="1"/>
        <rFont val="Calibri"/>
        <family val="2"/>
        <scheme val="minor"/>
      </rPr>
      <t/>
    </r>
  </si>
  <si>
    <r>
      <rPr>
        <b/>
        <sz val="10"/>
        <color rgb="FF0000FF"/>
        <rFont val="Arial"/>
        <family val="2"/>
      </rPr>
      <t xml:space="preserve">N </t>
    </r>
    <r>
      <rPr>
        <b/>
        <sz val="10"/>
        <rFont val="Arial"/>
        <family val="2"/>
      </rPr>
      <t>1971</t>
    </r>
    <r>
      <rPr>
        <sz val="11"/>
        <color theme="1"/>
        <rFont val="Calibri"/>
        <family val="2"/>
        <scheme val="minor"/>
      </rPr>
      <t/>
    </r>
  </si>
  <si>
    <r>
      <rPr>
        <b/>
        <sz val="10"/>
        <color rgb="FF0000FF"/>
        <rFont val="Arial"/>
        <family val="2"/>
      </rPr>
      <t xml:space="preserve">N </t>
    </r>
    <r>
      <rPr>
        <b/>
        <sz val="10"/>
        <rFont val="Arial"/>
        <family val="2"/>
      </rPr>
      <t>1972</t>
    </r>
    <r>
      <rPr>
        <sz val="11"/>
        <color theme="1"/>
        <rFont val="Calibri"/>
        <family val="2"/>
        <scheme val="minor"/>
      </rPr>
      <t/>
    </r>
  </si>
  <si>
    <r>
      <rPr>
        <b/>
        <sz val="10"/>
        <color rgb="FF0000FF"/>
        <rFont val="Arial"/>
        <family val="2"/>
      </rPr>
      <t xml:space="preserve">N </t>
    </r>
    <r>
      <rPr>
        <b/>
        <sz val="10"/>
        <rFont val="Arial"/>
        <family val="2"/>
      </rPr>
      <t>1974</t>
    </r>
    <r>
      <rPr>
        <sz val="11"/>
        <color theme="1"/>
        <rFont val="Calibri"/>
        <family val="2"/>
        <scheme val="minor"/>
      </rPr>
      <t/>
    </r>
  </si>
  <si>
    <r>
      <rPr>
        <b/>
        <sz val="10"/>
        <color rgb="FF0000FF"/>
        <rFont val="Arial"/>
        <family val="2"/>
      </rPr>
      <t xml:space="preserve">N </t>
    </r>
    <r>
      <rPr>
        <b/>
        <sz val="10"/>
        <rFont val="Arial"/>
        <family val="2"/>
      </rPr>
      <t>1975</t>
    </r>
    <r>
      <rPr>
        <sz val="11"/>
        <color theme="1"/>
        <rFont val="Calibri"/>
        <family val="2"/>
        <scheme val="minor"/>
      </rPr>
      <t/>
    </r>
  </si>
  <si>
    <r>
      <rPr>
        <b/>
        <sz val="10"/>
        <color rgb="FF0000FF"/>
        <rFont val="Arial"/>
        <family val="2"/>
      </rPr>
      <t xml:space="preserve">N </t>
    </r>
    <r>
      <rPr>
        <b/>
        <sz val="10"/>
        <rFont val="Arial"/>
        <family val="2"/>
      </rPr>
      <t>1976</t>
    </r>
    <r>
      <rPr>
        <sz val="11"/>
        <color theme="1"/>
        <rFont val="Calibri"/>
        <family val="2"/>
        <scheme val="minor"/>
      </rPr>
      <t/>
    </r>
  </si>
  <si>
    <r>
      <rPr>
        <b/>
        <sz val="10"/>
        <color rgb="FF0000FF"/>
        <rFont val="Arial"/>
        <family val="2"/>
      </rPr>
      <t xml:space="preserve">N </t>
    </r>
    <r>
      <rPr>
        <b/>
        <sz val="10"/>
        <rFont val="Arial"/>
        <family val="2"/>
      </rPr>
      <t>1977</t>
    </r>
    <r>
      <rPr>
        <sz val="11"/>
        <color theme="1"/>
        <rFont val="Calibri"/>
        <family val="2"/>
        <scheme val="minor"/>
      </rPr>
      <t/>
    </r>
  </si>
  <si>
    <r>
      <rPr>
        <b/>
        <sz val="10"/>
        <color rgb="FF0000FF"/>
        <rFont val="Arial"/>
        <family val="2"/>
      </rPr>
      <t xml:space="preserve">N </t>
    </r>
    <r>
      <rPr>
        <b/>
        <sz val="10"/>
        <rFont val="Arial"/>
        <family val="2"/>
      </rPr>
      <t>1978</t>
    </r>
    <r>
      <rPr>
        <sz val="11"/>
        <color theme="1"/>
        <rFont val="Calibri"/>
        <family val="2"/>
        <scheme val="minor"/>
      </rPr>
      <t/>
    </r>
  </si>
  <si>
    <r>
      <rPr>
        <b/>
        <sz val="10"/>
        <color rgb="FF0000FF"/>
        <rFont val="Arial"/>
        <family val="2"/>
      </rPr>
      <t xml:space="preserve">N </t>
    </r>
    <r>
      <rPr>
        <b/>
        <sz val="10"/>
        <rFont val="Arial"/>
        <family val="2"/>
      </rPr>
      <t>1979</t>
    </r>
    <r>
      <rPr>
        <sz val="11"/>
        <color theme="1"/>
        <rFont val="Calibri"/>
        <family val="2"/>
        <scheme val="minor"/>
      </rPr>
      <t/>
    </r>
  </si>
  <si>
    <r>
      <rPr>
        <b/>
        <sz val="10"/>
        <color rgb="FF0000FF"/>
        <rFont val="Arial"/>
        <family val="2"/>
      </rPr>
      <t xml:space="preserve">N </t>
    </r>
    <r>
      <rPr>
        <b/>
        <sz val="10"/>
        <rFont val="Arial"/>
        <family val="2"/>
      </rPr>
      <t>1980</t>
    </r>
    <r>
      <rPr>
        <sz val="11"/>
        <color theme="1"/>
        <rFont val="Calibri"/>
        <family val="2"/>
        <scheme val="minor"/>
      </rPr>
      <t/>
    </r>
  </si>
  <si>
    <t>MCU22/0052
Approved: 12/12/2023
Issued: 15/12/2023</t>
  </si>
  <si>
    <t>QR Ellis &amp; TN Ellis</t>
  </si>
  <si>
    <t>C/- JDBA Certifiers
PO Box 1365
MOOLOOLABA QLD 4557</t>
  </si>
  <si>
    <t>Lot 218 MCH 186</t>
  </si>
  <si>
    <t>332 Eastern Branch Road, 
Kin Kin QLD 4571</t>
  </si>
  <si>
    <r>
      <rPr>
        <b/>
        <sz val="10"/>
        <color rgb="FF0000FF"/>
        <rFont val="Arial"/>
        <family val="2"/>
      </rPr>
      <t xml:space="preserve">N </t>
    </r>
    <r>
      <rPr>
        <b/>
        <sz val="10"/>
        <rFont val="Arial"/>
        <family val="2"/>
      </rPr>
      <t>1945
STAGE 1</t>
    </r>
  </si>
  <si>
    <t>STAGE 1 = 2 Cabins</t>
  </si>
  <si>
    <r>
      <rPr>
        <b/>
        <sz val="10"/>
        <color rgb="FF0000FF"/>
        <rFont val="Arial"/>
        <family val="2"/>
      </rPr>
      <t xml:space="preserve">N </t>
    </r>
    <r>
      <rPr>
        <b/>
        <sz val="10"/>
        <rFont val="Arial"/>
        <family val="2"/>
      </rPr>
      <t>1945
STAGE 2</t>
    </r>
  </si>
  <si>
    <t>STAGE 2 = 1 Cabin</t>
  </si>
  <si>
    <r>
      <t xml:space="preserve">Short-term accommodation = 3 cabins
</t>
    </r>
    <r>
      <rPr>
        <b/>
        <sz val="10"/>
        <rFont val="Arial"/>
        <family val="2"/>
      </rPr>
      <t>Stage 1 = 2 cabins</t>
    </r>
    <r>
      <rPr>
        <sz val="10"/>
        <rFont val="Arial"/>
        <family val="2"/>
      </rPr>
      <t xml:space="preserve">
</t>
    </r>
    <r>
      <rPr>
        <strike/>
        <sz val="10"/>
        <rFont val="Arial"/>
        <family val="2"/>
      </rPr>
      <t>Stage 2 = 1 Cabin</t>
    </r>
  </si>
  <si>
    <r>
      <t xml:space="preserve">Short-term accommodation = 3 cabins
</t>
    </r>
    <r>
      <rPr>
        <strike/>
        <sz val="10"/>
        <rFont val="Arial"/>
        <family val="2"/>
      </rPr>
      <t>Stage 1 = 2 cabins</t>
    </r>
    <r>
      <rPr>
        <sz val="10"/>
        <rFont val="Arial"/>
        <family val="2"/>
      </rPr>
      <t xml:space="preserve">
</t>
    </r>
    <r>
      <rPr>
        <b/>
        <sz val="10"/>
        <rFont val="Arial"/>
        <family val="2"/>
      </rPr>
      <t>Stage 2 = 1 Cabin</t>
    </r>
  </si>
  <si>
    <r>
      <rPr>
        <b/>
        <sz val="10"/>
        <color rgb="FF0000FF"/>
        <rFont val="Arial"/>
        <family val="2"/>
      </rPr>
      <t xml:space="preserve">Amended N </t>
    </r>
    <r>
      <rPr>
        <b/>
        <sz val="10"/>
        <rFont val="Arial"/>
        <family val="2"/>
      </rPr>
      <t>1539</t>
    </r>
  </si>
  <si>
    <r>
      <t>MCU19/0149</t>
    </r>
    <r>
      <rPr>
        <sz val="10"/>
        <color rgb="FF0000FF"/>
        <rFont val="Arial"/>
        <family val="2"/>
      </rPr>
      <t>.01</t>
    </r>
    <r>
      <rPr>
        <sz val="10"/>
        <rFont val="Arial"/>
        <family val="2"/>
      </rPr>
      <t xml:space="preserve">
</t>
    </r>
    <r>
      <rPr>
        <sz val="10"/>
        <color rgb="FF0000FF"/>
        <rFont val="Arial"/>
        <family val="2"/>
      </rPr>
      <t>Approved 7/12/2023
Issued 14/12/2023</t>
    </r>
  </si>
  <si>
    <r>
      <t xml:space="preserve">Material Change of Use
</t>
    </r>
    <r>
      <rPr>
        <sz val="10"/>
        <color rgb="FF0000FF"/>
        <rFont val="Arial"/>
        <family val="2"/>
      </rPr>
      <t>- Minor Change</t>
    </r>
  </si>
  <si>
    <r>
      <t xml:space="preserve">Retail Business Type 2 - shop = </t>
    </r>
    <r>
      <rPr>
        <strike/>
        <sz val="10"/>
        <rFont val="Arial"/>
        <family val="2"/>
      </rPr>
      <t xml:space="preserve">307 </t>
    </r>
    <r>
      <rPr>
        <sz val="10"/>
        <color rgb="FF0000FF"/>
        <rFont val="Arial"/>
        <family val="2"/>
      </rPr>
      <t>345 m2 gfa</t>
    </r>
    <r>
      <rPr>
        <sz val="10"/>
        <rFont val="Arial"/>
        <family val="2"/>
      </rPr>
      <t xml:space="preserve">
+ </t>
    </r>
    <r>
      <rPr>
        <strike/>
        <sz val="10"/>
        <rFont val="Arial"/>
        <family val="2"/>
      </rPr>
      <t>700</t>
    </r>
    <r>
      <rPr>
        <sz val="10"/>
        <rFont val="Arial"/>
        <family val="2"/>
      </rPr>
      <t xml:space="preserve"> </t>
    </r>
    <r>
      <rPr>
        <sz val="10"/>
        <color rgb="FF0000FF"/>
        <rFont val="Arial"/>
        <family val="2"/>
      </rPr>
      <t>693 m2 Impervious area</t>
    </r>
  </si>
  <si>
    <r>
      <rPr>
        <strike/>
        <sz val="10"/>
        <rFont val="Arial"/>
        <family val="2"/>
      </rPr>
      <t>23/04/2020</t>
    </r>
    <r>
      <rPr>
        <sz val="10"/>
        <rFont val="Arial"/>
        <family val="2"/>
      </rPr>
      <t xml:space="preserve">
</t>
    </r>
    <r>
      <rPr>
        <sz val="10"/>
        <color rgb="FF0000FF"/>
        <rFont val="Arial"/>
        <family val="2"/>
      </rPr>
      <t>15/12/2023</t>
    </r>
  </si>
  <si>
    <r>
      <t>NSC CR (</t>
    </r>
    <r>
      <rPr>
        <strike/>
        <sz val="10"/>
        <rFont val="Arial"/>
        <family val="2"/>
      </rPr>
      <t>No.4</t>
    </r>
    <r>
      <rPr>
        <sz val="10"/>
        <rFont val="Arial"/>
        <family val="2"/>
      </rPr>
      <t xml:space="preserve"> </t>
    </r>
    <r>
      <rPr>
        <sz val="10"/>
        <color rgb="FF0000FF"/>
        <rFont val="Arial"/>
        <family val="2"/>
      </rPr>
      <t>No.7</t>
    </r>
    <r>
      <rPr>
        <sz val="10"/>
        <rFont val="Arial"/>
        <family val="2"/>
      </rPr>
      <t>)</t>
    </r>
  </si>
  <si>
    <r>
      <rPr>
        <b/>
        <sz val="10"/>
        <color rgb="FF0000FF"/>
        <rFont val="Arial"/>
        <family val="2"/>
      </rPr>
      <t xml:space="preserve">N </t>
    </r>
    <r>
      <rPr>
        <b/>
        <sz val="10"/>
        <rFont val="Arial"/>
        <family val="2"/>
      </rPr>
      <t xml:space="preserve">1935
</t>
    </r>
    <r>
      <rPr>
        <b/>
        <sz val="10"/>
        <color rgb="FFFF0000"/>
        <rFont val="Arial"/>
        <family val="2"/>
      </rPr>
      <t>CANCELLED on review</t>
    </r>
  </si>
  <si>
    <t>Cancelled on review as item is further considered an item of trunk infrastructure on Land for Community Facilities and is therfore exempt from IC's per Council's Charges Resolution.</t>
  </si>
  <si>
    <r>
      <rPr>
        <b/>
        <sz val="10"/>
        <color rgb="FF0000FF"/>
        <rFont val="Arial"/>
        <family val="2"/>
      </rPr>
      <t xml:space="preserve">N </t>
    </r>
    <r>
      <rPr>
        <b/>
        <sz val="10"/>
        <rFont val="Arial"/>
        <family val="2"/>
      </rPr>
      <t>1981</t>
    </r>
    <r>
      <rPr>
        <sz val="11"/>
        <color theme="1"/>
        <rFont val="Calibri"/>
        <family val="2"/>
        <scheme val="minor"/>
      </rPr>
      <t/>
    </r>
  </si>
  <si>
    <r>
      <rPr>
        <b/>
        <sz val="10"/>
        <color rgb="FF0000FF"/>
        <rFont val="Arial"/>
        <family val="2"/>
      </rPr>
      <t xml:space="preserve">N </t>
    </r>
    <r>
      <rPr>
        <b/>
        <sz val="10"/>
        <rFont val="Arial"/>
        <family val="2"/>
      </rPr>
      <t>1982</t>
    </r>
    <r>
      <rPr>
        <sz val="11"/>
        <color theme="1"/>
        <rFont val="Calibri"/>
        <family val="2"/>
        <scheme val="minor"/>
      </rPr>
      <t/>
    </r>
  </si>
  <si>
    <r>
      <rPr>
        <b/>
        <sz val="10"/>
        <color rgb="FF0000FF"/>
        <rFont val="Arial"/>
        <family val="2"/>
      </rPr>
      <t xml:space="preserve">N </t>
    </r>
    <r>
      <rPr>
        <b/>
        <sz val="10"/>
        <rFont val="Arial"/>
        <family val="2"/>
      </rPr>
      <t>1983</t>
    </r>
    <r>
      <rPr>
        <sz val="11"/>
        <color theme="1"/>
        <rFont val="Calibri"/>
        <family val="2"/>
        <scheme val="minor"/>
      </rPr>
      <t/>
    </r>
  </si>
  <si>
    <r>
      <rPr>
        <b/>
        <sz val="10"/>
        <color rgb="FF0000FF"/>
        <rFont val="Arial"/>
        <family val="2"/>
      </rPr>
      <t xml:space="preserve">N </t>
    </r>
    <r>
      <rPr>
        <b/>
        <sz val="10"/>
        <rFont val="Arial"/>
        <family val="2"/>
      </rPr>
      <t>1984</t>
    </r>
    <r>
      <rPr>
        <sz val="11"/>
        <color theme="1"/>
        <rFont val="Calibri"/>
        <family val="2"/>
        <scheme val="minor"/>
      </rPr>
      <t/>
    </r>
  </si>
  <si>
    <r>
      <rPr>
        <b/>
        <sz val="10"/>
        <color rgb="FF0000FF"/>
        <rFont val="Arial"/>
        <family val="2"/>
      </rPr>
      <t xml:space="preserve">N </t>
    </r>
    <r>
      <rPr>
        <b/>
        <sz val="10"/>
        <rFont val="Arial"/>
        <family val="2"/>
      </rPr>
      <t>1985</t>
    </r>
    <r>
      <rPr>
        <sz val="11"/>
        <color theme="1"/>
        <rFont val="Calibri"/>
        <family val="2"/>
        <scheme val="minor"/>
      </rPr>
      <t/>
    </r>
  </si>
  <si>
    <r>
      <rPr>
        <b/>
        <sz val="10"/>
        <color rgb="FF0000FF"/>
        <rFont val="Arial"/>
        <family val="2"/>
      </rPr>
      <t xml:space="preserve">N </t>
    </r>
    <r>
      <rPr>
        <b/>
        <sz val="10"/>
        <rFont val="Arial"/>
        <family val="2"/>
      </rPr>
      <t>1986</t>
    </r>
    <r>
      <rPr>
        <sz val="11"/>
        <color theme="1"/>
        <rFont val="Calibri"/>
        <family val="2"/>
        <scheme val="minor"/>
      </rPr>
      <t/>
    </r>
  </si>
  <si>
    <r>
      <rPr>
        <b/>
        <sz val="10"/>
        <color rgb="FF0000FF"/>
        <rFont val="Arial"/>
        <family val="2"/>
      </rPr>
      <t xml:space="preserve">N </t>
    </r>
    <r>
      <rPr>
        <b/>
        <sz val="10"/>
        <rFont val="Arial"/>
        <family val="2"/>
      </rPr>
      <t>1987</t>
    </r>
    <r>
      <rPr>
        <sz val="11"/>
        <color theme="1"/>
        <rFont val="Calibri"/>
        <family val="2"/>
        <scheme val="minor"/>
      </rPr>
      <t/>
    </r>
  </si>
  <si>
    <r>
      <rPr>
        <b/>
        <sz val="10"/>
        <color rgb="FF0000FF"/>
        <rFont val="Arial"/>
        <family val="2"/>
      </rPr>
      <t xml:space="preserve">N </t>
    </r>
    <r>
      <rPr>
        <b/>
        <sz val="10"/>
        <rFont val="Arial"/>
        <family val="2"/>
      </rPr>
      <t>1988</t>
    </r>
    <r>
      <rPr>
        <sz val="11"/>
        <color theme="1"/>
        <rFont val="Calibri"/>
        <family val="2"/>
        <scheme val="minor"/>
      </rPr>
      <t/>
    </r>
  </si>
  <si>
    <r>
      <rPr>
        <b/>
        <sz val="10"/>
        <color rgb="FF0000FF"/>
        <rFont val="Arial"/>
        <family val="2"/>
      </rPr>
      <t xml:space="preserve">N </t>
    </r>
    <r>
      <rPr>
        <b/>
        <sz val="10"/>
        <rFont val="Arial"/>
        <family val="2"/>
      </rPr>
      <t>1989</t>
    </r>
    <r>
      <rPr>
        <sz val="11"/>
        <color theme="1"/>
        <rFont val="Calibri"/>
        <family val="2"/>
        <scheme val="minor"/>
      </rPr>
      <t/>
    </r>
  </si>
  <si>
    <r>
      <rPr>
        <b/>
        <sz val="10"/>
        <color rgb="FF0000FF"/>
        <rFont val="Arial"/>
        <family val="2"/>
      </rPr>
      <t xml:space="preserve">N </t>
    </r>
    <r>
      <rPr>
        <b/>
        <sz val="10"/>
        <rFont val="Arial"/>
        <family val="2"/>
      </rPr>
      <t>1990</t>
    </r>
    <r>
      <rPr>
        <sz val="11"/>
        <color theme="1"/>
        <rFont val="Calibri"/>
        <family val="2"/>
        <scheme val="minor"/>
      </rPr>
      <t/>
    </r>
  </si>
  <si>
    <r>
      <rPr>
        <b/>
        <sz val="10"/>
        <color rgb="FF0000FF"/>
        <rFont val="Arial"/>
        <family val="2"/>
      </rPr>
      <t xml:space="preserve">N </t>
    </r>
    <r>
      <rPr>
        <b/>
        <sz val="10"/>
        <rFont val="Arial"/>
        <family val="2"/>
      </rPr>
      <t>1991</t>
    </r>
    <r>
      <rPr>
        <sz val="11"/>
        <color theme="1"/>
        <rFont val="Calibri"/>
        <family val="2"/>
        <scheme val="minor"/>
      </rPr>
      <t/>
    </r>
  </si>
  <si>
    <r>
      <rPr>
        <b/>
        <sz val="10"/>
        <color rgb="FF0000FF"/>
        <rFont val="Arial"/>
        <family val="2"/>
      </rPr>
      <t xml:space="preserve">N </t>
    </r>
    <r>
      <rPr>
        <b/>
        <sz val="10"/>
        <rFont val="Arial"/>
        <family val="2"/>
      </rPr>
      <t>1992</t>
    </r>
    <r>
      <rPr>
        <sz val="11"/>
        <color theme="1"/>
        <rFont val="Calibri"/>
        <family val="2"/>
        <scheme val="minor"/>
      </rPr>
      <t/>
    </r>
  </si>
  <si>
    <r>
      <rPr>
        <b/>
        <sz val="10"/>
        <color rgb="FF0000FF"/>
        <rFont val="Arial"/>
        <family val="2"/>
      </rPr>
      <t xml:space="preserve">N </t>
    </r>
    <r>
      <rPr>
        <b/>
        <sz val="10"/>
        <rFont val="Arial"/>
        <family val="2"/>
      </rPr>
      <t>1993</t>
    </r>
    <r>
      <rPr>
        <sz val="11"/>
        <color theme="1"/>
        <rFont val="Calibri"/>
        <family val="2"/>
        <scheme val="minor"/>
      </rPr>
      <t/>
    </r>
  </si>
  <si>
    <r>
      <rPr>
        <b/>
        <sz val="10"/>
        <color rgb="FF0000FF"/>
        <rFont val="Arial"/>
        <family val="2"/>
      </rPr>
      <t xml:space="preserve">N </t>
    </r>
    <r>
      <rPr>
        <b/>
        <sz val="10"/>
        <rFont val="Arial"/>
        <family val="2"/>
      </rPr>
      <t>1995</t>
    </r>
    <r>
      <rPr>
        <sz val="11"/>
        <color theme="1"/>
        <rFont val="Calibri"/>
        <family val="2"/>
        <scheme val="minor"/>
      </rPr>
      <t/>
    </r>
  </si>
  <si>
    <r>
      <rPr>
        <b/>
        <sz val="10"/>
        <color rgb="FF0000FF"/>
        <rFont val="Arial"/>
        <family val="2"/>
      </rPr>
      <t xml:space="preserve">N </t>
    </r>
    <r>
      <rPr>
        <b/>
        <sz val="10"/>
        <rFont val="Arial"/>
        <family val="2"/>
      </rPr>
      <t>1996</t>
    </r>
    <r>
      <rPr>
        <sz val="11"/>
        <color theme="1"/>
        <rFont val="Calibri"/>
        <family val="2"/>
        <scheme val="minor"/>
      </rPr>
      <t/>
    </r>
  </si>
  <si>
    <r>
      <rPr>
        <b/>
        <sz val="10"/>
        <color rgb="FF0000FF"/>
        <rFont val="Arial"/>
        <family val="2"/>
      </rPr>
      <t xml:space="preserve">N </t>
    </r>
    <r>
      <rPr>
        <b/>
        <sz val="10"/>
        <rFont val="Arial"/>
        <family val="2"/>
      </rPr>
      <t>1997</t>
    </r>
    <r>
      <rPr>
        <sz val="11"/>
        <color theme="1"/>
        <rFont val="Calibri"/>
        <family val="2"/>
        <scheme val="minor"/>
      </rPr>
      <t/>
    </r>
  </si>
  <si>
    <r>
      <rPr>
        <b/>
        <sz val="10"/>
        <color rgb="FF0000FF"/>
        <rFont val="Arial"/>
        <family val="2"/>
      </rPr>
      <t xml:space="preserve">N </t>
    </r>
    <r>
      <rPr>
        <b/>
        <sz val="10"/>
        <rFont val="Arial"/>
        <family val="2"/>
      </rPr>
      <t>1998</t>
    </r>
    <r>
      <rPr>
        <sz val="11"/>
        <color theme="1"/>
        <rFont val="Calibri"/>
        <family val="2"/>
        <scheme val="minor"/>
      </rPr>
      <t/>
    </r>
  </si>
  <si>
    <r>
      <rPr>
        <b/>
        <sz val="10"/>
        <color rgb="FF0000FF"/>
        <rFont val="Arial"/>
        <family val="2"/>
      </rPr>
      <t xml:space="preserve">N </t>
    </r>
    <r>
      <rPr>
        <b/>
        <sz val="10"/>
        <rFont val="Arial"/>
        <family val="2"/>
      </rPr>
      <t>1999</t>
    </r>
    <r>
      <rPr>
        <sz val="11"/>
        <color theme="1"/>
        <rFont val="Calibri"/>
        <family val="2"/>
        <scheme val="minor"/>
      </rPr>
      <t/>
    </r>
  </si>
  <si>
    <r>
      <rPr>
        <b/>
        <sz val="10"/>
        <color rgb="FF0000FF"/>
        <rFont val="Arial"/>
        <family val="2"/>
      </rPr>
      <t xml:space="preserve">N </t>
    </r>
    <r>
      <rPr>
        <b/>
        <sz val="10"/>
        <rFont val="Arial"/>
        <family val="2"/>
      </rPr>
      <t>2000</t>
    </r>
    <r>
      <rPr>
        <sz val="11"/>
        <color theme="1"/>
        <rFont val="Calibri"/>
        <family val="2"/>
        <scheme val="minor"/>
      </rPr>
      <t/>
    </r>
  </si>
  <si>
    <t>D000576446</t>
  </si>
  <si>
    <t>PC23/1007
Approved: 21/11/2023
Received &amp; Registered: 15/12/2023</t>
  </si>
  <si>
    <t>Building Work
Lateral Certification Group
Permit Number: 230145</t>
  </si>
  <si>
    <t>Building Work
Earthcert Building Approvals
Permit Number: 230285</t>
  </si>
  <si>
    <t>Building Work
North Shore Building Approvals
Permit Number: 23-219</t>
  </si>
  <si>
    <t xml:space="preserve">Barward Construction Services
</t>
  </si>
  <si>
    <t>Lot 211 RP 175928</t>
  </si>
  <si>
    <t>Lot 11 RP 845279</t>
  </si>
  <si>
    <t>4 Raintree Drive
TEWANTIN QLD 4565</t>
  </si>
  <si>
    <t>757 Ringtail Creek Road
POMONA QLD 4568</t>
  </si>
  <si>
    <r>
      <rPr>
        <b/>
        <sz val="10"/>
        <color rgb="FF0000FF"/>
        <rFont val="Arial"/>
        <family val="2"/>
      </rPr>
      <t xml:space="preserve">N </t>
    </r>
    <r>
      <rPr>
        <b/>
        <sz val="10"/>
        <rFont val="Arial"/>
        <family val="2"/>
      </rPr>
      <t xml:space="preserve">1776
</t>
    </r>
    <r>
      <rPr>
        <sz val="10"/>
        <color rgb="FF0000FF"/>
        <rFont val="Arial"/>
        <family val="2"/>
      </rPr>
      <t>PC23/1367 issued</t>
    </r>
  </si>
  <si>
    <t>PC23/1232
Approved: 6/12/2023
Received &amp; Registered: 11/12/2023</t>
  </si>
  <si>
    <t>DBW23/0098
Approved: 20/12/2023
Issued: 3/01/2024</t>
  </si>
  <si>
    <t>Mr GR Strachotta</t>
  </si>
  <si>
    <t>410/176 Glenmore Rd
PADDINGTON NSW 2021</t>
  </si>
  <si>
    <t>Lot 11 RP 856075</t>
  </si>
  <si>
    <t xml:space="preserve">462 Coles Creek Rd 
Cooran Qld 4569 </t>
  </si>
  <si>
    <t>JANUARY 2024
Total =</t>
  </si>
  <si>
    <t>D000578846</t>
  </si>
  <si>
    <t>D000578847</t>
  </si>
  <si>
    <r>
      <rPr>
        <b/>
        <sz val="10"/>
        <color rgb="FF0000FF"/>
        <rFont val="Arial"/>
        <family val="2"/>
      </rPr>
      <t xml:space="preserve">N </t>
    </r>
    <r>
      <rPr>
        <b/>
        <sz val="10"/>
        <rFont val="Arial"/>
        <family val="2"/>
      </rPr>
      <t xml:space="preserve">1883
</t>
    </r>
  </si>
  <si>
    <t>PC23/0896
Approved: 13/07/2023
Received &amp; Registered: 9/08/2023</t>
  </si>
  <si>
    <t>Building Work
JDBA Certifiers
Permit Number: BA230348</t>
  </si>
  <si>
    <t>Mitch Hobbins</t>
  </si>
  <si>
    <t>20 Whipbird Place 
DOONAN QLD 4562</t>
  </si>
  <si>
    <t>Lot 53 RP 811882</t>
  </si>
  <si>
    <t>D000579293</t>
  </si>
  <si>
    <t>D000579443</t>
  </si>
  <si>
    <t>MCU23/0094
Approved: 8/01/2024
Issued: 12/01/2024</t>
  </si>
  <si>
    <t>79 – 83 Eumundi Noosa Road &amp; 26 Headland Drive, 
Noosaville QLD 4566</t>
  </si>
  <si>
    <t xml:space="preserve">Lots 75-77 RP 71151 &amp; Lot 3 SP 208257 </t>
  </si>
  <si>
    <t>Multiple Dwelling = 
36 x 2 bed units + 
2 x 3 bed units</t>
  </si>
  <si>
    <t>4 x Dwelling houses</t>
  </si>
  <si>
    <r>
      <rPr>
        <b/>
        <sz val="10"/>
        <color rgb="FF0000FF"/>
        <rFont val="Arial"/>
        <family val="2"/>
      </rPr>
      <t xml:space="preserve">N </t>
    </r>
    <r>
      <rPr>
        <b/>
        <sz val="10"/>
        <rFont val="Arial"/>
        <family val="2"/>
      </rPr>
      <t xml:space="preserve">1528
</t>
    </r>
    <r>
      <rPr>
        <sz val="10"/>
        <color rgb="FFFF0000"/>
        <rFont val="Arial"/>
        <family val="2"/>
      </rPr>
      <t>PC22/0099 COC issued 1/08/2023 
DUE 31 JAN 2024</t>
    </r>
  </si>
  <si>
    <r>
      <rPr>
        <b/>
        <sz val="10"/>
        <color rgb="FF0000FF"/>
        <rFont val="Arial"/>
        <family val="2"/>
      </rPr>
      <t xml:space="preserve">N </t>
    </r>
    <r>
      <rPr>
        <b/>
        <sz val="10"/>
        <rFont val="Arial"/>
        <family val="2"/>
      </rPr>
      <t xml:space="preserve">1913
</t>
    </r>
    <r>
      <rPr>
        <sz val="10"/>
        <color rgb="FFFF0000"/>
        <rFont val="Arial"/>
        <family val="2"/>
      </rPr>
      <t>Certificate of Occupancy issued 15/12/202</t>
    </r>
    <r>
      <rPr>
        <b/>
        <sz val="10"/>
        <color rgb="FFFF0000"/>
        <rFont val="Arial"/>
        <family val="2"/>
      </rPr>
      <t>3</t>
    </r>
    <r>
      <rPr>
        <sz val="10"/>
        <color rgb="FFFF0000"/>
        <rFont val="Arial"/>
        <family val="2"/>
      </rPr>
      <t xml:space="preserve">
DUE 15 JAN 2024 </t>
    </r>
  </si>
  <si>
    <t>RAL23/0021
Approved: 16/01/2024
Issued: 16/01/2024</t>
  </si>
  <si>
    <t xml:space="preserve">Pace Planning Pty Ltd
</t>
  </si>
  <si>
    <t>Lot 4 SP 301620</t>
  </si>
  <si>
    <t>11c Church St 
POMONA QLD 4568</t>
  </si>
  <si>
    <t>STAGE 1 = 1 Lot  = Multiple dwelling = 
7 x 3 bed units +
2 x 2 bed units</t>
  </si>
  <si>
    <r>
      <rPr>
        <b/>
        <sz val="10"/>
        <color rgb="FF0000FF"/>
        <rFont val="Arial"/>
        <family val="2"/>
      </rPr>
      <t xml:space="preserve">N </t>
    </r>
    <r>
      <rPr>
        <b/>
        <sz val="10"/>
        <rFont val="Arial"/>
        <family val="2"/>
      </rPr>
      <t>1951
STAGE 1</t>
    </r>
  </si>
  <si>
    <r>
      <rPr>
        <b/>
        <sz val="10"/>
        <color rgb="FF0000FF"/>
        <rFont val="Arial"/>
        <family val="2"/>
      </rPr>
      <t xml:space="preserve">N </t>
    </r>
    <r>
      <rPr>
        <b/>
        <sz val="10"/>
        <rFont val="Arial"/>
        <family val="2"/>
      </rPr>
      <t>1951
STAGE 2</t>
    </r>
  </si>
  <si>
    <t>(Further to: MCU22/0031 Court Order Judgement D14 of 2023 dated 28 September 2023)</t>
  </si>
  <si>
    <t>STAGE 2 = 1 Lot  = Multiple dwelling = 
3 x 3 bed units +
3 x 2 bed units</t>
  </si>
  <si>
    <t>D000580924</t>
  </si>
  <si>
    <t>D000580926</t>
  </si>
  <si>
    <t>Nil - additional to Stage 1</t>
  </si>
  <si>
    <t>MCU23/0070
Approved: 12/01/2024
Issued: 17/01/2024</t>
  </si>
  <si>
    <t xml:space="preserve">Cambooya Pty Ltd
</t>
  </si>
  <si>
    <t>36 &amp; 38 Duke St, 
SUNSHINE BEACH QLD 4567</t>
  </si>
  <si>
    <t xml:space="preserve">Lots 370 &amp; 371 RP 48111 </t>
  </si>
  <si>
    <t>Food and drink outlet = 116m2 gfa
+ Office = 58m2 gfa
+ Short-term Accommodation - 2 x 2 bedroom dwellings
+
Impervious area = est from aerial maps =  280m2 apportioned to non-res = 134m2</t>
  </si>
  <si>
    <t>Food and Drink Outlet = 153.4m2 gfa 
Short-term Accommodation - 4 x 1 bedroom dwellings
+
Impervious area
Measured around car park level = 454m2  apportioned to non-res = 184 m2</t>
  </si>
  <si>
    <r>
      <rPr>
        <b/>
        <sz val="10"/>
        <color rgb="FF0000FF"/>
        <rFont val="Arial"/>
        <family val="2"/>
      </rPr>
      <t xml:space="preserve">N </t>
    </r>
    <r>
      <rPr>
        <b/>
        <sz val="10"/>
        <rFont val="Arial"/>
        <family val="2"/>
      </rPr>
      <t xml:space="preserve">1873
</t>
    </r>
    <r>
      <rPr>
        <i/>
        <sz val="10"/>
        <color rgb="FF0000FF"/>
        <rFont val="Arial"/>
        <family val="2"/>
      </rPr>
      <t>PC23/0907</t>
    </r>
  </si>
  <si>
    <r>
      <rPr>
        <b/>
        <sz val="10"/>
        <color rgb="FF0000FF"/>
        <rFont val="Arial"/>
        <family val="2"/>
      </rPr>
      <t xml:space="preserve">N </t>
    </r>
    <r>
      <rPr>
        <b/>
        <sz val="10"/>
        <rFont val="Arial"/>
        <family val="2"/>
      </rPr>
      <t xml:space="preserve">1809
</t>
    </r>
    <r>
      <rPr>
        <i/>
        <sz val="10"/>
        <color rgb="FF0000FF"/>
        <rFont val="Arial"/>
        <family val="2"/>
      </rPr>
      <t>PC21/1518</t>
    </r>
  </si>
  <si>
    <r>
      <rPr>
        <b/>
        <sz val="10"/>
        <color rgb="FF0000FF"/>
        <rFont val="Arial"/>
        <family val="2"/>
      </rPr>
      <t xml:space="preserve">N </t>
    </r>
    <r>
      <rPr>
        <b/>
        <sz val="10"/>
        <rFont val="Arial"/>
        <family val="2"/>
      </rPr>
      <t xml:space="preserve">1718
</t>
    </r>
  </si>
  <si>
    <t>PC24/0025
Approved: 11/12/2023
Received &amp; Registered: 19/1/2024</t>
  </si>
  <si>
    <t>Building Work
Custom Building Approvals 
Permit Number: 00011759</t>
  </si>
  <si>
    <t xml:space="preserve">Saltair Modular </t>
  </si>
  <si>
    <t>Lot 5 RP 813874</t>
  </si>
  <si>
    <t>85 Tablelands Road
COORAN QLD 4569</t>
  </si>
  <si>
    <t>41-51 Quanda Road
COOLUM BEACH QLD 4573</t>
  </si>
  <si>
    <t>MCU18/0102.02
Approved: 18/01/2024
Issued: 24/01/2024</t>
  </si>
  <si>
    <t>24/02/2024
(Use has already happened)</t>
  </si>
  <si>
    <t>Bounce Hostel Noosa P/L TTE</t>
  </si>
  <si>
    <t>C/- RG Strategic Australia
PO Box 1818
NOOSA HEADS
QLD 4567</t>
  </si>
  <si>
    <t>Lots 3 &amp; 4 RP 122928</t>
  </si>
  <si>
    <t>14-16 Mary St
NOOSAVILLE QLD 4566</t>
  </si>
  <si>
    <t>Food &amp; Drink Outlet = additional 80m2 gfa &amp; impervious area 
allocated to the non-res use component</t>
  </si>
  <si>
    <r>
      <rPr>
        <b/>
        <sz val="10"/>
        <color rgb="FF0000FF"/>
        <rFont val="Arial"/>
        <family val="2"/>
      </rPr>
      <t xml:space="preserve">N </t>
    </r>
    <r>
      <rPr>
        <b/>
        <sz val="10"/>
        <rFont val="Arial"/>
        <family val="2"/>
      </rPr>
      <t xml:space="preserve">1886
</t>
    </r>
  </si>
  <si>
    <r>
      <rPr>
        <b/>
        <sz val="10"/>
        <color rgb="FF0000FF"/>
        <rFont val="Arial"/>
        <family val="2"/>
      </rPr>
      <t xml:space="preserve">N </t>
    </r>
    <r>
      <rPr>
        <b/>
        <sz val="10"/>
        <rFont val="Arial"/>
        <family val="2"/>
      </rPr>
      <t xml:space="preserve">1819
</t>
    </r>
    <r>
      <rPr>
        <i/>
        <sz val="10"/>
        <color rgb="FF0000FF"/>
        <rFont val="Arial"/>
        <family val="2"/>
      </rPr>
      <t>PC22/0781
Approved 09/12/2022
Owner called 29/01/2024 &amp; advised completion &amp; payment details</t>
    </r>
    <r>
      <rPr>
        <sz val="10"/>
        <rFont val="Arial"/>
        <family val="2"/>
      </rPr>
      <t xml:space="preserve">
</t>
    </r>
    <r>
      <rPr>
        <sz val="10"/>
        <color rgb="FFFF0000"/>
        <rFont val="Arial"/>
        <family val="2"/>
      </rPr>
      <t>DUE 1 Mar 2024</t>
    </r>
  </si>
  <si>
    <t>D000589552</t>
  </si>
  <si>
    <t>DBW23/0102
Approved: 24/01/2024
Issued 1/02/2024</t>
  </si>
  <si>
    <t>PW Johnston &amp; KM Johnston</t>
  </si>
  <si>
    <t>C/- Adapt Development Management P/L
PO Box 7618
SIPPY DOWNS QLD 4556</t>
  </si>
  <si>
    <t>Lot 25 N 21839</t>
  </si>
  <si>
    <t>12 Netherby Rise 
SUNRISE BEACH QLD 4567</t>
  </si>
  <si>
    <t>RAL23/0013
Approved: 30/01/2024
Issued: 01/02/2024</t>
  </si>
  <si>
    <r>
      <rPr>
        <b/>
        <sz val="10"/>
        <color rgb="FF0000FF"/>
        <rFont val="Arial"/>
        <family val="2"/>
      </rPr>
      <t xml:space="preserve">N </t>
    </r>
    <r>
      <rPr>
        <b/>
        <sz val="10"/>
        <rFont val="Arial"/>
        <family val="2"/>
      </rPr>
      <t>1956
STAGE 1</t>
    </r>
  </si>
  <si>
    <t>1 res lot</t>
  </si>
  <si>
    <t>PSP Developments Pty Ltd</t>
  </si>
  <si>
    <t>Lot 4 RP 809059</t>
  </si>
  <si>
    <t>33 Pavilion St 
POMONA QLD 4568</t>
  </si>
  <si>
    <r>
      <rPr>
        <b/>
        <sz val="10"/>
        <color rgb="FF0000FF"/>
        <rFont val="Arial"/>
        <family val="2"/>
      </rPr>
      <t xml:space="preserve">N </t>
    </r>
    <r>
      <rPr>
        <b/>
        <sz val="10"/>
        <rFont val="Arial"/>
        <family val="2"/>
      </rPr>
      <t>1956
STAGE 2</t>
    </r>
  </si>
  <si>
    <t xml:space="preserve">Stage 1 = 2 res lots
</t>
  </si>
  <si>
    <t>Stage 2 = 6 res lots + 1 drainage lot</t>
  </si>
  <si>
    <r>
      <rPr>
        <b/>
        <sz val="10"/>
        <color rgb="FF0000FF"/>
        <rFont val="Arial"/>
        <family val="2"/>
      </rPr>
      <t xml:space="preserve">N </t>
    </r>
    <r>
      <rPr>
        <b/>
        <sz val="10"/>
        <rFont val="Arial"/>
        <family val="2"/>
      </rPr>
      <t xml:space="preserve">1659
</t>
    </r>
    <r>
      <rPr>
        <i/>
        <sz val="10"/>
        <color rgb="FFFF0000"/>
        <rFont val="Arial"/>
        <family val="2"/>
      </rPr>
      <t>PC21/0938 issued for Secondary dwelling Final Insp Cert issued 30/01/2023</t>
    </r>
    <r>
      <rPr>
        <i/>
        <sz val="10"/>
        <color rgb="FF0000FF"/>
        <rFont val="Arial"/>
        <family val="2"/>
      </rPr>
      <t xml:space="preserve">
PC21/0937 issued for house Final Insp Cert 21/11/2023
</t>
    </r>
    <r>
      <rPr>
        <i/>
        <sz val="10"/>
        <color rgb="FFFF0000"/>
        <rFont val="Arial"/>
        <family val="2"/>
      </rPr>
      <t>DUE 19 FEB 2024</t>
    </r>
  </si>
  <si>
    <r>
      <rPr>
        <strike/>
        <sz val="10"/>
        <rFont val="Arial"/>
        <family val="2"/>
      </rPr>
      <t>24/01/2024</t>
    </r>
    <r>
      <rPr>
        <sz val="10"/>
        <rFont val="Arial"/>
        <family val="2"/>
      </rPr>
      <t xml:space="preserve">
</t>
    </r>
    <r>
      <rPr>
        <sz val="10"/>
        <color rgb="FF0000FF"/>
        <rFont val="Arial"/>
        <family val="2"/>
      </rPr>
      <t>2/02/2024</t>
    </r>
  </si>
  <si>
    <t>Negotiated date for payment to align with Condition 65 of the Decision Notice – Other Change. To:
Within 20 business days from the date of any extension of the approval under Condition 65 of the Decision Notice – Other Change.</t>
  </si>
  <si>
    <t>D000592820</t>
  </si>
  <si>
    <t>FEBRUARY 2024
Total =</t>
  </si>
  <si>
    <r>
      <rPr>
        <strike/>
        <sz val="10"/>
        <rFont val="Arial"/>
        <family val="2"/>
      </rPr>
      <t>20/12/2021</t>
    </r>
    <r>
      <rPr>
        <sz val="10"/>
        <rFont val="Arial"/>
        <family val="2"/>
      </rPr>
      <t xml:space="preserve">
</t>
    </r>
    <r>
      <rPr>
        <sz val="10"/>
        <color rgb="FF0000FF"/>
        <rFont val="Arial"/>
        <family val="2"/>
      </rPr>
      <t>6/02/2024</t>
    </r>
  </si>
  <si>
    <r>
      <t>NSC CR (No.</t>
    </r>
    <r>
      <rPr>
        <strike/>
        <sz val="10"/>
        <rFont val="Arial"/>
        <family val="2"/>
      </rPr>
      <t>6</t>
    </r>
    <r>
      <rPr>
        <sz val="10"/>
        <rFont val="Arial"/>
        <family val="2"/>
      </rPr>
      <t xml:space="preserve"> </t>
    </r>
    <r>
      <rPr>
        <sz val="10"/>
        <color rgb="FF0000FF"/>
        <rFont val="Arial"/>
        <family val="2"/>
      </rPr>
      <t>7</t>
    </r>
    <r>
      <rPr>
        <sz val="10"/>
        <rFont val="Arial"/>
        <family val="2"/>
      </rPr>
      <t>)</t>
    </r>
  </si>
  <si>
    <r>
      <t xml:space="preserve">Planning Reg </t>
    </r>
    <r>
      <rPr>
        <strike/>
        <sz val="10"/>
        <rFont val="Arial"/>
        <family val="2"/>
      </rPr>
      <t>2021-2022</t>
    </r>
    <r>
      <rPr>
        <sz val="10"/>
        <rFont val="Arial"/>
        <family val="2"/>
      </rPr>
      <t xml:space="preserve">
</t>
    </r>
    <r>
      <rPr>
        <b/>
        <sz val="10"/>
        <color rgb="FF0000FF"/>
        <rFont val="Arial"/>
        <family val="2"/>
      </rPr>
      <t>2023-2024</t>
    </r>
  </si>
  <si>
    <t>Reviewed due to the subsequent demolition of the previously existing dwelling house.
Amended Charges Notice to defer the “Due Date for Payment” to include “and on completion of a future new primary dwelling house on the property”.</t>
  </si>
  <si>
    <r>
      <t xml:space="preserve">DBW21/0172
Approved: 15/12/2021
Issued: </t>
    </r>
    <r>
      <rPr>
        <strike/>
        <sz val="10"/>
        <rFont val="Arial"/>
        <family val="2"/>
      </rPr>
      <t>16/12/2021</t>
    </r>
    <r>
      <rPr>
        <sz val="10"/>
        <rFont val="Arial"/>
        <family val="2"/>
      </rPr>
      <t xml:space="preserve">
</t>
    </r>
    <r>
      <rPr>
        <sz val="10"/>
        <color rgb="FF0000FF"/>
        <rFont val="Arial"/>
        <family val="2"/>
      </rPr>
      <t>6/02/2024</t>
    </r>
  </si>
  <si>
    <t>D000593535</t>
  </si>
  <si>
    <t>Autopact 4 Pty Ltd</t>
  </si>
  <si>
    <t>Lot 23 SP 116713</t>
  </si>
  <si>
    <t>10 Lionel Donovan Dr NOOSAVILLE QLD 4566</t>
  </si>
  <si>
    <t>Showroom = 460 m2 gfa +
3348 m2 Impervious area</t>
  </si>
  <si>
    <t>Showroom = 440 m2 gfa +
3240 m2 Impervious area</t>
  </si>
  <si>
    <t>132007.1458.03
Approved: 30/01/2024
Issued: 7/02/2024</t>
  </si>
  <si>
    <t>D000593587</t>
  </si>
  <si>
    <t>RAL23/0003
Approved: 1/02/2024
Issued: 08/02/2024</t>
  </si>
  <si>
    <t>PC Morris</t>
  </si>
  <si>
    <t>58 Little Creek Road, 
Cooroibah QLD 4565</t>
  </si>
  <si>
    <t xml:space="preserve">Lot 1 SP 196688 </t>
  </si>
  <si>
    <t>2 res lots</t>
  </si>
  <si>
    <t>MCU17-0559.04
Approved: 31/01/2024
Issued: 31/01/2024</t>
  </si>
  <si>
    <t>MCDR Guerreiro &amp; JEG Guerreiro</t>
  </si>
  <si>
    <t>16 Grant Street, 
NOOSA HEADS QLD 4567</t>
  </si>
  <si>
    <t>Duplex = 1x3 bed + 1x2 bed units</t>
  </si>
  <si>
    <t>Duplex = 2x2 bed units
per IC-N1365 paid under original opproval</t>
  </si>
  <si>
    <r>
      <t xml:space="preserve">N 1665
</t>
    </r>
    <r>
      <rPr>
        <sz val="10"/>
        <color rgb="FFFF0000"/>
        <rFont val="Arial"/>
        <family val="2"/>
      </rPr>
      <t>PC21/0823 issued
6/02/2024 Owner Advised completed 
DUE 4 MAR</t>
    </r>
  </si>
  <si>
    <r>
      <rPr>
        <b/>
        <sz val="10"/>
        <color rgb="FF0000FF"/>
        <rFont val="Arial"/>
        <family val="2"/>
      </rPr>
      <t xml:space="preserve">N </t>
    </r>
    <r>
      <rPr>
        <b/>
        <sz val="10"/>
        <rFont val="Arial"/>
        <family val="2"/>
      </rPr>
      <t xml:space="preserve">1946
</t>
    </r>
    <r>
      <rPr>
        <sz val="10"/>
        <color rgb="FFFF0000"/>
        <rFont val="Arial"/>
        <family val="2"/>
      </rPr>
      <t xml:space="preserve">
Final Inspection Certificate 15/12/2023
DUE 9 FEB</t>
    </r>
  </si>
  <si>
    <r>
      <rPr>
        <b/>
        <sz val="10"/>
        <color rgb="FF0000FF"/>
        <rFont val="Arial"/>
        <family val="2"/>
      </rPr>
      <t xml:space="preserve">N </t>
    </r>
    <r>
      <rPr>
        <b/>
        <sz val="10"/>
        <rFont val="Arial"/>
        <family val="2"/>
      </rPr>
      <t xml:space="preserve">1795
</t>
    </r>
  </si>
  <si>
    <t xml:space="preserve"> D000596390</t>
  </si>
  <si>
    <r>
      <rPr>
        <b/>
        <sz val="10"/>
        <color rgb="FF0000FF"/>
        <rFont val="Arial"/>
        <family val="2"/>
      </rPr>
      <t xml:space="preserve">N </t>
    </r>
    <r>
      <rPr>
        <b/>
        <sz val="10"/>
        <rFont val="Arial"/>
        <family val="2"/>
      </rPr>
      <t xml:space="preserve">1952
</t>
    </r>
    <r>
      <rPr>
        <sz val="10"/>
        <color rgb="FFFF0000"/>
        <rFont val="Arial"/>
        <family val="2"/>
      </rPr>
      <t>Bank details requested to pay 13/02/2024</t>
    </r>
  </si>
  <si>
    <t>D000600295</t>
  </si>
  <si>
    <r>
      <rPr>
        <b/>
        <sz val="10"/>
        <color rgb="FF0000FF"/>
        <rFont val="Arial"/>
        <family val="2"/>
      </rPr>
      <t xml:space="preserve">N </t>
    </r>
    <r>
      <rPr>
        <b/>
        <sz val="10"/>
        <rFont val="Arial"/>
        <family val="2"/>
      </rPr>
      <t xml:space="preserve">1748
</t>
    </r>
    <r>
      <rPr>
        <sz val="10"/>
        <color rgb="FF0000FF"/>
        <rFont val="Arial"/>
        <family val="2"/>
      </rPr>
      <t xml:space="preserve">PC21/1599 issued
Final Cert issued 27/10/2023
</t>
    </r>
    <r>
      <rPr>
        <sz val="10"/>
        <color rgb="FFFF0000"/>
        <rFont val="Arial"/>
        <family val="2"/>
      </rPr>
      <t>DUE 19 FEB 2024</t>
    </r>
    <r>
      <rPr>
        <sz val="10"/>
        <color rgb="FF0000FF"/>
        <rFont val="Arial"/>
        <family val="2"/>
      </rPr>
      <t xml:space="preserve">
</t>
    </r>
  </si>
  <si>
    <r>
      <rPr>
        <b/>
        <sz val="10"/>
        <color rgb="FF0000FF"/>
        <rFont val="Arial"/>
        <family val="2"/>
      </rPr>
      <t xml:space="preserve">N </t>
    </r>
    <r>
      <rPr>
        <b/>
        <sz val="10"/>
        <rFont val="Arial"/>
        <family val="2"/>
      </rPr>
      <t xml:space="preserve">1681
</t>
    </r>
    <r>
      <rPr>
        <i/>
        <sz val="10"/>
        <color rgb="FF0000FF"/>
        <rFont val="Arial"/>
        <family val="2"/>
      </rPr>
      <t>PC22/0660
Approved 22/09/2022</t>
    </r>
    <r>
      <rPr>
        <sz val="10"/>
        <color rgb="FF0000FF"/>
        <rFont val="Arial"/>
        <family val="2"/>
      </rPr>
      <t xml:space="preserve">
Final Cert 3/08/2023
</t>
    </r>
    <r>
      <rPr>
        <sz val="10"/>
        <color rgb="FFFF0000"/>
        <rFont val="Arial"/>
        <family val="2"/>
      </rPr>
      <t>DUE 19 FEB 2024</t>
    </r>
  </si>
  <si>
    <t>RAL23/0015
Approved: 15/02/2024
Issued: 20/02/2024</t>
  </si>
  <si>
    <t>Ms D Kidd</t>
  </si>
  <si>
    <t>Lot 1 RP 805816</t>
  </si>
  <si>
    <t>11 Billabong Way
TEWANTIN QLD 4565</t>
  </si>
  <si>
    <t xml:space="preserve">2 x res lots </t>
  </si>
  <si>
    <t>1 eres lot containing 1 dwelling hosue + 1x 2 bedroom caretakers cottage</t>
  </si>
  <si>
    <t>D000609776</t>
  </si>
  <si>
    <t>D000609777</t>
  </si>
  <si>
    <r>
      <rPr>
        <b/>
        <sz val="10"/>
        <color rgb="FF0000FF"/>
        <rFont val="Arial"/>
        <family val="2"/>
      </rPr>
      <t xml:space="preserve">N </t>
    </r>
    <r>
      <rPr>
        <b/>
        <sz val="10"/>
        <rFont val="Arial"/>
        <family val="2"/>
      </rPr>
      <t xml:space="preserve">1677
</t>
    </r>
    <r>
      <rPr>
        <i/>
        <sz val="10"/>
        <color rgb="FF0000FF"/>
        <rFont val="Arial"/>
        <family val="2"/>
      </rPr>
      <t>PC21/1701 issued 08/06/2022
Cert Of Occupancy issued 14/12/2023</t>
    </r>
    <r>
      <rPr>
        <sz val="10"/>
        <rFont val="Arial"/>
        <family val="2"/>
      </rPr>
      <t xml:space="preserve">
</t>
    </r>
    <r>
      <rPr>
        <sz val="10"/>
        <color rgb="FFFF0000"/>
        <rFont val="Arial"/>
        <family val="2"/>
      </rPr>
      <t>DUE 20 MARCH</t>
    </r>
  </si>
  <si>
    <t>D000611192</t>
  </si>
  <si>
    <t>Review of representations made 27/02/2024  advising intention as home office.
Decision made 17/05/2022 amending DUE DATE FOR PAYMENT to include:
And the sooner of:
(i) Commencement of any accommodation use;
or
(ii) On any sale of the property.</t>
  </si>
  <si>
    <r>
      <rPr>
        <b/>
        <sz val="10"/>
        <color rgb="FF0000FF"/>
        <rFont val="Arial"/>
        <family val="2"/>
      </rPr>
      <t xml:space="preserve">N </t>
    </r>
    <r>
      <rPr>
        <b/>
        <sz val="10"/>
        <rFont val="Arial"/>
        <family val="2"/>
      </rPr>
      <t xml:space="preserve">1741
</t>
    </r>
    <r>
      <rPr>
        <b/>
        <sz val="10"/>
        <color rgb="FF0000FF"/>
        <rFont val="Arial"/>
        <family val="2"/>
      </rPr>
      <t>Negotiated
DUE DATE FOR PAYMENT</t>
    </r>
    <r>
      <rPr>
        <sz val="10"/>
        <color rgb="FF0000FF"/>
        <rFont val="Arial"/>
        <family val="2"/>
      </rPr>
      <t xml:space="preserve"> to include:
</t>
    </r>
    <r>
      <rPr>
        <b/>
        <u/>
        <sz val="10"/>
        <color rgb="FF0000FF"/>
        <rFont val="Arial"/>
        <family val="2"/>
      </rPr>
      <t>And the sooner of:</t>
    </r>
    <r>
      <rPr>
        <b/>
        <sz val="10"/>
        <color rgb="FF0000FF"/>
        <rFont val="Arial"/>
        <family val="2"/>
      </rPr>
      <t xml:space="preserve">
(i) Commencement of any accommodation use;
or
(ii) On any sale of the property.</t>
    </r>
  </si>
  <si>
    <r>
      <t xml:space="preserve">When the certificate of classification or final inspection certificate for the building work is given &amp;/or prior to occupancy of the building
</t>
    </r>
    <r>
      <rPr>
        <sz val="10"/>
        <color rgb="FF0000FF"/>
        <rFont val="Arial"/>
        <family val="2"/>
      </rPr>
      <t>And the sooner of:
(i) Commencement of any accommodation use;
or
(ii) On any sale of the property.</t>
    </r>
  </si>
  <si>
    <r>
      <rPr>
        <strike/>
        <sz val="10"/>
        <rFont val="Arial"/>
        <family val="2"/>
      </rPr>
      <t>30/01/2023</t>
    </r>
    <r>
      <rPr>
        <sz val="10"/>
        <rFont val="Arial"/>
        <family val="2"/>
      </rPr>
      <t xml:space="preserve">
</t>
    </r>
    <r>
      <rPr>
        <sz val="10"/>
        <color rgb="FF0000FF"/>
        <rFont val="Arial"/>
        <family val="2"/>
      </rPr>
      <t>29/02/2024</t>
    </r>
  </si>
  <si>
    <r>
      <rPr>
        <b/>
        <sz val="10"/>
        <color rgb="FF0000FF"/>
        <rFont val="Arial"/>
        <family val="2"/>
      </rPr>
      <t xml:space="preserve">N </t>
    </r>
    <r>
      <rPr>
        <b/>
        <sz val="10"/>
        <rFont val="Arial"/>
        <family val="2"/>
      </rPr>
      <t xml:space="preserve">1845 
</t>
    </r>
    <r>
      <rPr>
        <sz val="10"/>
        <color rgb="FF0000FF"/>
        <rFont val="Arial"/>
        <family val="2"/>
      </rPr>
      <t xml:space="preserve">PC23/0115 Final Inspection Certificate Issued 12/06/2023
</t>
    </r>
    <r>
      <rPr>
        <b/>
        <sz val="10"/>
        <color rgb="FF0000FF"/>
        <rFont val="Arial"/>
        <family val="2"/>
      </rPr>
      <t>Negotiated</t>
    </r>
    <r>
      <rPr>
        <sz val="10"/>
        <color rgb="FF0000FF"/>
        <rFont val="Arial"/>
        <family val="2"/>
      </rPr>
      <t xml:space="preserve">
DUE DATE FOR PAYMENT to include:
And the sooner of:
(i) Commencement of any accommodation use;
or
(ii) On any sale of the property.</t>
    </r>
  </si>
  <si>
    <t>Building Work
Jim Locke Building Consultants Pty Ltd - Permit Number: 230270</t>
  </si>
  <si>
    <t>Luna Constructions Pty Ltd</t>
  </si>
  <si>
    <t>97 Poinciana Avenue,
Tewantin, Tewantin QLD 4565</t>
  </si>
  <si>
    <t>Lot 2 RP 4941</t>
  </si>
  <si>
    <t>Lot 32 RP 897847</t>
  </si>
  <si>
    <t xml:space="preserve">10 Frying Pan Track, 
Noosa North Shore QLD 4565
</t>
  </si>
  <si>
    <t xml:space="preserve">103 Tallowwood Place, 
Black Mountain QLD 4563
</t>
  </si>
  <si>
    <t>Building Work
Jim Locke Building Consultants Pty Ltd - Permit Number: 230304</t>
  </si>
  <si>
    <t>PC24/0048
Approved: 23/01/2024
Received &amp; Registered: 28/02/2024</t>
  </si>
  <si>
    <t>PC24/0055
Approved: 12/01/2024
Received &amp; Registered: 1/03/2024</t>
  </si>
  <si>
    <t>MARCH 2024
Total =</t>
  </si>
  <si>
    <r>
      <rPr>
        <b/>
        <sz val="10"/>
        <color rgb="FF0000FF"/>
        <rFont val="Arial"/>
        <family val="2"/>
      </rPr>
      <t xml:space="preserve">N </t>
    </r>
    <r>
      <rPr>
        <b/>
        <sz val="10"/>
        <rFont val="Arial"/>
        <family val="2"/>
      </rPr>
      <t xml:space="preserve">1959
</t>
    </r>
    <r>
      <rPr>
        <sz val="10"/>
        <color rgb="FF0000FF"/>
        <rFont val="Arial"/>
        <family val="2"/>
      </rPr>
      <t>Inspection completed 8/02/2024</t>
    </r>
    <r>
      <rPr>
        <b/>
        <sz val="10"/>
        <rFont val="Arial"/>
        <family val="2"/>
      </rPr>
      <t xml:space="preserve">
</t>
    </r>
    <r>
      <rPr>
        <sz val="10"/>
        <color rgb="FFFF0000"/>
        <rFont val="Arial"/>
        <family val="2"/>
      </rPr>
      <t>Agreed to pay via release of security bond</t>
    </r>
  </si>
  <si>
    <t>MCU23/0154
Approved: 7/03/2024
Issued: 12/03/2024</t>
  </si>
  <si>
    <t>Ms SM Taylor</t>
  </si>
  <si>
    <t>Lot 12 SP 139169</t>
  </si>
  <si>
    <t>MCU23/0008
Approved: 5/03/2024
Issued: 13/03/2024</t>
  </si>
  <si>
    <t>Lot 1153 SP 300041</t>
  </si>
  <si>
    <t>7 Woodland Drive, 
Peregian Beach QLD 4573</t>
  </si>
  <si>
    <t>Vacant Non-Res lot = Nil credit</t>
  </si>
  <si>
    <t>Office = 115.8 + 110.5 = 226m2 gfa 
+
Caretakers Res = 1 x 2 bed unit 
+
Impervious area = 449m2</t>
  </si>
  <si>
    <t>100% rebate for lower ground floor applicable to lifesaving facilities = Type 2 Recreation, amusement and fitness re 111m2 increase</t>
  </si>
  <si>
    <t>MCU22/0202
Approved: 12/03/2024
Issued: 14/03/2024</t>
  </si>
  <si>
    <t xml:space="preserve">Katie Rose Cottage Hospice Ltd
</t>
  </si>
  <si>
    <t>71 Coveys Rd TINBEERWAH QLD 4563</t>
  </si>
  <si>
    <t>199 Beddington Road,
Doonan QLD 4562</t>
  </si>
  <si>
    <t xml:space="preserve">Lot 6 RP 225627 </t>
  </si>
  <si>
    <t>Residential Care Facility (single building, 5 bed facility) = 856 m2 gfa
+
Impervious Area = 1140m2 of hardstand (driveways,carparks) + 856.43m2 (building) = 1,996.43m2</t>
  </si>
  <si>
    <t>Community Residence</t>
  </si>
  <si>
    <t>100% Not for profit Organisation</t>
  </si>
  <si>
    <r>
      <rPr>
        <b/>
        <sz val="10"/>
        <color rgb="FF0000FF"/>
        <rFont val="Arial"/>
        <family val="2"/>
      </rPr>
      <t xml:space="preserve">N </t>
    </r>
    <r>
      <rPr>
        <b/>
        <sz val="10"/>
        <rFont val="Arial"/>
        <family val="2"/>
      </rPr>
      <t xml:space="preserve">1828
</t>
    </r>
    <r>
      <rPr>
        <sz val="10"/>
        <color rgb="FFFF0000"/>
        <rFont val="Arial"/>
        <family val="2"/>
      </rPr>
      <t>Request for amt due 15/03/2024</t>
    </r>
  </si>
  <si>
    <t>D000614462</t>
  </si>
  <si>
    <r>
      <rPr>
        <b/>
        <sz val="10"/>
        <color rgb="FF0000FF"/>
        <rFont val="Arial"/>
        <family val="2"/>
      </rPr>
      <t xml:space="preserve">N </t>
    </r>
    <r>
      <rPr>
        <b/>
        <sz val="10"/>
        <rFont val="Arial"/>
        <family val="2"/>
      </rPr>
      <t xml:space="preserve">1411
</t>
    </r>
    <r>
      <rPr>
        <sz val="10"/>
        <color rgb="FFFF0000"/>
        <rFont val="Arial"/>
        <family val="2"/>
      </rPr>
      <t>MC advice use commenced 28/10/2020</t>
    </r>
    <r>
      <rPr>
        <i/>
        <sz val="10"/>
        <color rgb="FFFF0000"/>
        <rFont val="Arial"/>
        <family val="2"/>
      </rPr>
      <t xml:space="preserve">
Amended Staged Payment 3
$1,690 due 15 Mar 2024
$20,000 due 30 Apr 2024</t>
    </r>
  </si>
  <si>
    <r>
      <t xml:space="preserve">Stormwater not applicable for Development outside PIA per LGIP </t>
    </r>
    <r>
      <rPr>
        <sz val="10"/>
        <color rgb="FFFF0000"/>
        <rFont val="Arial"/>
        <family val="2"/>
      </rPr>
      <t>(PC19/0312 Issued)</t>
    </r>
    <r>
      <rPr>
        <sz val="10"/>
        <color rgb="FF0000FF"/>
        <rFont val="Arial"/>
        <family val="2"/>
      </rPr>
      <t xml:space="preserve">
</t>
    </r>
    <r>
      <rPr>
        <sz val="10"/>
        <color rgb="FFFF0000"/>
        <rFont val="Arial"/>
        <family val="2"/>
      </rPr>
      <t>IA Staged Payments Approved 2/02/2020
AMENDED 29/11/2021 incl 5% admin cost</t>
    </r>
    <r>
      <rPr>
        <sz val="10"/>
        <color rgb="FF0000FF"/>
        <rFont val="Arial"/>
        <family val="2"/>
      </rPr>
      <t xml:space="preserve">
</t>
    </r>
    <r>
      <rPr>
        <sz val="10"/>
        <color rgb="FFFF0000"/>
        <rFont val="Arial"/>
        <family val="2"/>
      </rPr>
      <t>Stg Pmt 3 AMENDED 22/02/2023 incl 5% admin cost
Amended 14/03/2024 Part $1,690 due 15 Mar 2024
$20,000 due 30 Apr 2024</t>
    </r>
  </si>
  <si>
    <t>D000616318</t>
  </si>
  <si>
    <t>MCU23/0079
Approved: 19/03/2024
Issued: 20/03/2024</t>
  </si>
  <si>
    <t>Claire Shellard P/L TTE</t>
  </si>
  <si>
    <t>C/- URBN Town Planning Pty Ltd
PO Box 81
BUDERIM QLD 455</t>
  </si>
  <si>
    <t>17 Myall Street,
Cooroy QLD 4563</t>
  </si>
  <si>
    <t xml:space="preserve">Lot 22 C 5605 </t>
  </si>
  <si>
    <t>DBW24/0005
Approved: 20/03/2024
Issued 20/03/2024</t>
  </si>
  <si>
    <t>Lot 3 RP 216930</t>
  </si>
  <si>
    <t>541 Pomona Kin Kin Road, Pinbarren QLD 4568</t>
  </si>
  <si>
    <t xml:space="preserve">Dwelling house (3 bedroom) + Secondary dwelling (1 bedroom) </t>
  </si>
  <si>
    <t>D000616570</t>
  </si>
  <si>
    <r>
      <rPr>
        <b/>
        <sz val="10"/>
        <color rgb="FF0000FF"/>
        <rFont val="Arial"/>
        <family val="2"/>
      </rPr>
      <t xml:space="preserve">N </t>
    </r>
    <r>
      <rPr>
        <b/>
        <sz val="10"/>
        <rFont val="Arial"/>
        <family val="2"/>
      </rPr>
      <t xml:space="preserve">1966
</t>
    </r>
    <r>
      <rPr>
        <b/>
        <sz val="10"/>
        <color rgb="FF0000FF"/>
        <rFont val="Arial"/>
        <family val="2"/>
      </rPr>
      <t>Negotiated</t>
    </r>
  </si>
  <si>
    <r>
      <rPr>
        <strike/>
        <sz val="10"/>
        <rFont val="Arial"/>
        <family val="2"/>
      </rPr>
      <t>20/03/2024</t>
    </r>
    <r>
      <rPr>
        <sz val="10"/>
        <rFont val="Arial"/>
        <family val="2"/>
      </rPr>
      <t xml:space="preserve">
</t>
    </r>
    <r>
      <rPr>
        <sz val="10"/>
        <color rgb="FF0000FF"/>
        <rFont val="Arial"/>
        <family val="2"/>
      </rPr>
      <t>21/03/2024</t>
    </r>
  </si>
  <si>
    <t>Multiple Dwelling = 1x4 bed unit + 3x1 bed units</t>
  </si>
  <si>
    <t>MCU23/0139
Approved: 21/03/2024
Issued: 21/03/2024</t>
  </si>
  <si>
    <t>DM Newbold</t>
  </si>
  <si>
    <t xml:space="preserve">Lot 119 C 5604 </t>
  </si>
  <si>
    <t>15 Olivine Street, Cooroy Qld</t>
  </si>
  <si>
    <t>Dual Occupancy = 1x 3 bed + 1 x 2 bed units</t>
  </si>
  <si>
    <t>Journal
GJ026895</t>
  </si>
  <si>
    <r>
      <t xml:space="preserve">Paid
</t>
    </r>
    <r>
      <rPr>
        <sz val="10"/>
        <color rgb="FF0000FF"/>
        <rFont val="Arial"/>
        <family val="2"/>
      </rPr>
      <t>via release of security bond BAGS007618</t>
    </r>
  </si>
  <si>
    <t>D000617584</t>
  </si>
  <si>
    <t>51901.4089.02
Approved: 25/03/2024
Issued: 22/03/2024</t>
  </si>
  <si>
    <t>L Monique</t>
  </si>
  <si>
    <t>Alkyra 1/332 David Low Way, Peregian Beach QLD 4573</t>
  </si>
  <si>
    <t>Lot 1 GTP 533</t>
  </si>
  <si>
    <t>Duplex = 1 x 3 bed + 1 x 2 bed units</t>
  </si>
  <si>
    <t>Duplex = 2 x 2 bed units</t>
  </si>
  <si>
    <t>RAL23/0022
Approved: 22/03/2024
Issued: 26/03/2024</t>
  </si>
  <si>
    <t>Mr BP Voigt &amp; MR Voigt</t>
  </si>
  <si>
    <t>31 Overlander Avenue, 
Cooroy QLD 4563</t>
  </si>
  <si>
    <t>Res Lots x 2</t>
  </si>
  <si>
    <t>Credit existing main Dwelling House on proposed new lot 1
&amp; Credit existing Secondary dwelling on proposed new lot 2</t>
  </si>
  <si>
    <t>APRIL 2024
Total =</t>
  </si>
  <si>
    <t>D000620171</t>
  </si>
  <si>
    <t>D000621064</t>
  </si>
  <si>
    <t>D000621391</t>
  </si>
  <si>
    <t>Revision to include offset for Condition 21a &amp; 25a upgrade to trunk pathway along frontage</t>
  </si>
  <si>
    <t>MCU23/0155
Approved: 28/03/2024
Issued: 4/04/2024</t>
  </si>
  <si>
    <t>Evolution MIT Services P/L TTE</t>
  </si>
  <si>
    <t>C/- Place Design Group
GPO Box 775
BRISBANE QLD 4001</t>
  </si>
  <si>
    <t>Lot 256 MCH 4539, Lot 257 MCH 4891, Lot 274 MCH 4891</t>
  </si>
  <si>
    <t>5 – 13 Production St, 
Noosaville QLD 4566</t>
  </si>
  <si>
    <t xml:space="preserve">Other Industry = 915m2 gfa 
+
Impervious area = 3,300m2 impervious </t>
  </si>
  <si>
    <t>Transport depot = 498 m2 gfa (Other Industry)
+
Impervious area = 5,481m2 impervious</t>
  </si>
  <si>
    <r>
      <rPr>
        <strike/>
        <sz val="10"/>
        <rFont val="Arial"/>
        <family val="2"/>
      </rPr>
      <t>9/05/2018</t>
    </r>
    <r>
      <rPr>
        <sz val="10"/>
        <rFont val="Arial"/>
        <family val="2"/>
      </rPr>
      <t xml:space="preserve">
</t>
    </r>
    <r>
      <rPr>
        <sz val="10"/>
        <color rgb="FF0000FF"/>
        <rFont val="Arial"/>
        <family val="2"/>
      </rPr>
      <t>12/05/</t>
    </r>
    <r>
      <rPr>
        <strike/>
        <sz val="10"/>
        <color rgb="FF0000FF"/>
        <rFont val="Arial"/>
        <family val="2"/>
      </rPr>
      <t xml:space="preserve">2023 </t>
    </r>
    <r>
      <rPr>
        <b/>
        <sz val="10"/>
        <color rgb="FF0000FF"/>
        <rFont val="Arial"/>
        <family val="2"/>
      </rPr>
      <t>2025</t>
    </r>
    <r>
      <rPr>
        <sz val="10"/>
        <color rgb="FF0000FF"/>
        <rFont val="Arial"/>
        <family val="2"/>
      </rPr>
      <t xml:space="preserve">
2 x 6mth + 1year Statutory Covid Extn</t>
    </r>
  </si>
  <si>
    <r>
      <t xml:space="preserve">574
</t>
    </r>
    <r>
      <rPr>
        <b/>
        <sz val="10"/>
        <color rgb="FFFF0000"/>
        <rFont val="Arial"/>
        <family val="2"/>
      </rPr>
      <t xml:space="preserve">
LAPSED ??</t>
    </r>
  </si>
  <si>
    <r>
      <rPr>
        <b/>
        <sz val="10"/>
        <color rgb="FF0000FF"/>
        <rFont val="Arial"/>
        <family val="2"/>
      </rPr>
      <t xml:space="preserve">N </t>
    </r>
    <r>
      <rPr>
        <b/>
        <sz val="10"/>
        <rFont val="Arial"/>
        <family val="2"/>
      </rPr>
      <t xml:space="preserve">1063
</t>
    </r>
    <r>
      <rPr>
        <b/>
        <sz val="10"/>
        <color rgb="FFFF0000"/>
        <rFont val="Arial"/>
        <family val="2"/>
      </rPr>
      <t>LAPSED ??</t>
    </r>
  </si>
  <si>
    <r>
      <rPr>
        <b/>
        <sz val="10"/>
        <color rgb="FF0000FF"/>
        <rFont val="Arial"/>
        <family val="2"/>
      </rPr>
      <t xml:space="preserve">N </t>
    </r>
    <r>
      <rPr>
        <b/>
        <sz val="10"/>
        <rFont val="Arial"/>
        <family val="2"/>
      </rPr>
      <t xml:space="preserve">1171
</t>
    </r>
    <r>
      <rPr>
        <b/>
        <sz val="10"/>
        <color rgb="FFFF0000"/>
        <rFont val="Arial"/>
        <family val="2"/>
      </rPr>
      <t xml:space="preserve">
LAPSED 22/03/2022</t>
    </r>
  </si>
  <si>
    <r>
      <rPr>
        <strike/>
        <sz val="10"/>
        <rFont val="Arial"/>
        <family val="2"/>
      </rPr>
      <t>17/01/2021</t>
    </r>
    <r>
      <rPr>
        <sz val="10"/>
        <rFont val="Arial"/>
        <family val="2"/>
      </rPr>
      <t xml:space="preserve">
</t>
    </r>
    <r>
      <rPr>
        <sz val="10"/>
        <color rgb="FF0000FF"/>
        <rFont val="Arial"/>
        <family val="2"/>
      </rPr>
      <t xml:space="preserve">7/03/2022 
</t>
    </r>
  </si>
  <si>
    <r>
      <rPr>
        <b/>
        <sz val="10"/>
        <color rgb="FF0000FF"/>
        <rFont val="Arial"/>
        <family val="2"/>
      </rPr>
      <t xml:space="preserve">N </t>
    </r>
    <r>
      <rPr>
        <b/>
        <sz val="10"/>
        <rFont val="Arial"/>
        <family val="2"/>
      </rPr>
      <t xml:space="preserve">1172
</t>
    </r>
    <r>
      <rPr>
        <b/>
        <sz val="10"/>
        <color rgb="FFFF0000"/>
        <rFont val="Arial"/>
        <family val="2"/>
      </rPr>
      <t>LAPSED ??</t>
    </r>
  </si>
  <si>
    <r>
      <rPr>
        <strike/>
        <sz val="10"/>
        <rFont val="Arial"/>
        <family val="2"/>
      </rPr>
      <t>23/01/2021</t>
    </r>
    <r>
      <rPr>
        <sz val="10"/>
        <rFont val="Arial"/>
        <family val="2"/>
      </rPr>
      <t xml:space="preserve">
</t>
    </r>
    <r>
      <rPr>
        <sz val="10"/>
        <color rgb="FF0000FF"/>
        <rFont val="Arial"/>
        <family val="2"/>
      </rPr>
      <t>24/07/</t>
    </r>
    <r>
      <rPr>
        <strike/>
        <sz val="10"/>
        <color rgb="FF0000FF"/>
        <rFont val="Arial"/>
        <family val="2"/>
      </rPr>
      <t>2021</t>
    </r>
    <r>
      <rPr>
        <sz val="10"/>
        <color rgb="FF0000FF"/>
        <rFont val="Arial"/>
        <family val="2"/>
      </rPr>
      <t xml:space="preserve">
</t>
    </r>
    <r>
      <rPr>
        <b/>
        <sz val="10"/>
        <color rgb="FF0000FF"/>
        <rFont val="Arial"/>
        <family val="2"/>
      </rPr>
      <t>2023</t>
    </r>
    <r>
      <rPr>
        <sz val="10"/>
        <color rgb="FF0000FF"/>
        <rFont val="Arial"/>
        <family val="2"/>
      </rPr>
      <t xml:space="preserve">
2 x 6mth + 1year Statutory Covid Extn</t>
    </r>
  </si>
  <si>
    <t xml:space="preserve">6/02/2021
</t>
  </si>
  <si>
    <r>
      <rPr>
        <b/>
        <sz val="10"/>
        <color rgb="FF0000FF"/>
        <rFont val="Arial"/>
        <family val="2"/>
      </rPr>
      <t xml:space="preserve">N </t>
    </r>
    <r>
      <rPr>
        <b/>
        <sz val="10"/>
        <rFont val="Arial"/>
        <family val="2"/>
      </rPr>
      <t xml:space="preserve">1175
</t>
    </r>
    <r>
      <rPr>
        <b/>
        <sz val="10"/>
        <color rgb="FFFF0000"/>
        <rFont val="Arial"/>
        <family val="2"/>
      </rPr>
      <t>USE COMMENCED 6/03/2017 ??</t>
    </r>
  </si>
  <si>
    <r>
      <t>22/09/</t>
    </r>
    <r>
      <rPr>
        <strike/>
        <sz val="10"/>
        <rFont val="Arial"/>
        <family val="2"/>
      </rPr>
      <t>2021</t>
    </r>
    <r>
      <rPr>
        <sz val="10"/>
        <rFont val="Arial"/>
        <family val="2"/>
      </rPr>
      <t xml:space="preserve">
</t>
    </r>
    <r>
      <rPr>
        <b/>
        <sz val="10"/>
        <color rgb="FF0000FF"/>
        <rFont val="Arial"/>
        <family val="2"/>
      </rPr>
      <t>2023</t>
    </r>
    <r>
      <rPr>
        <sz val="10"/>
        <rFont val="Arial"/>
        <family val="2"/>
      </rPr>
      <t xml:space="preserve">
</t>
    </r>
    <r>
      <rPr>
        <sz val="10"/>
        <color rgb="FF0000FF"/>
        <rFont val="Arial"/>
        <family val="2"/>
      </rPr>
      <t>2 x 6mth + 1year Statutory Covid Extn</t>
    </r>
  </si>
  <si>
    <r>
      <rPr>
        <b/>
        <sz val="10"/>
        <color rgb="FF0000FF"/>
        <rFont val="Arial"/>
        <family val="2"/>
      </rPr>
      <t xml:space="preserve">N </t>
    </r>
    <r>
      <rPr>
        <b/>
        <sz val="10"/>
        <rFont val="Arial"/>
        <family val="2"/>
      </rPr>
      <t xml:space="preserve">1247
</t>
    </r>
    <r>
      <rPr>
        <b/>
        <sz val="10"/>
        <color rgb="FFFF0000"/>
        <rFont val="Arial"/>
        <family val="2"/>
      </rPr>
      <t>LAPSED ??</t>
    </r>
  </si>
  <si>
    <r>
      <rPr>
        <strike/>
        <sz val="10"/>
        <rFont val="Arial"/>
        <family val="2"/>
      </rPr>
      <t>19/12/2021</t>
    </r>
    <r>
      <rPr>
        <sz val="10"/>
        <rFont val="Arial"/>
        <family val="2"/>
      </rPr>
      <t xml:space="preserve">
</t>
    </r>
    <r>
      <rPr>
        <sz val="10"/>
        <color rgb="FF0000FF"/>
        <rFont val="Arial"/>
        <family val="2"/>
      </rPr>
      <t>19/12/</t>
    </r>
    <r>
      <rPr>
        <strike/>
        <sz val="10"/>
        <color rgb="FF0000FF"/>
        <rFont val="Arial"/>
        <family val="2"/>
      </rPr>
      <t>2022</t>
    </r>
    <r>
      <rPr>
        <sz val="10"/>
        <color rgb="FF0000FF"/>
        <rFont val="Arial"/>
        <family val="2"/>
      </rPr>
      <t xml:space="preserve">
</t>
    </r>
    <r>
      <rPr>
        <b/>
        <sz val="10"/>
        <color rgb="FF0000FF"/>
        <rFont val="Arial"/>
        <family val="2"/>
      </rPr>
      <t>2023</t>
    </r>
    <r>
      <rPr>
        <sz val="10"/>
        <color rgb="FF0000FF"/>
        <rFont val="Arial"/>
        <family val="2"/>
      </rPr>
      <t xml:space="preserve">
1year Statutory Covid Extn</t>
    </r>
  </si>
  <si>
    <r>
      <t>21/03/</t>
    </r>
    <r>
      <rPr>
        <strike/>
        <sz val="10"/>
        <rFont val="Arial"/>
        <family val="2"/>
      </rPr>
      <t>2024</t>
    </r>
    <r>
      <rPr>
        <b/>
        <sz val="10"/>
        <color rgb="FF0000FF"/>
        <rFont val="Arial"/>
        <family val="2"/>
      </rPr>
      <t xml:space="preserve">
2026</t>
    </r>
    <r>
      <rPr>
        <sz val="10"/>
        <rFont val="Arial"/>
        <family val="2"/>
      </rPr>
      <t xml:space="preserve">
</t>
    </r>
    <r>
      <rPr>
        <sz val="10"/>
        <color rgb="FF0000FF"/>
        <rFont val="Arial"/>
        <family val="2"/>
      </rPr>
      <t>2 x 6mth + 1year Statutory Covid Extn</t>
    </r>
  </si>
  <si>
    <r>
      <t xml:space="preserve">8/04/2021
</t>
    </r>
    <r>
      <rPr>
        <sz val="10"/>
        <color rgb="FF0000FF"/>
        <rFont val="Arial"/>
        <family val="2"/>
      </rPr>
      <t>+ 
subject to Other Change .05 in progress</t>
    </r>
  </si>
  <si>
    <r>
      <t>25/05/</t>
    </r>
    <r>
      <rPr>
        <strike/>
        <sz val="10"/>
        <rFont val="Arial"/>
        <family val="2"/>
      </rPr>
      <t>2024</t>
    </r>
    <r>
      <rPr>
        <sz val="10"/>
        <rFont val="Arial"/>
        <family val="2"/>
      </rPr>
      <t xml:space="preserve">
</t>
    </r>
    <r>
      <rPr>
        <b/>
        <sz val="10"/>
        <color rgb="FF0000FF"/>
        <rFont val="Arial"/>
        <family val="2"/>
      </rPr>
      <t>2026</t>
    </r>
    <r>
      <rPr>
        <sz val="10"/>
        <rFont val="Arial"/>
        <family val="2"/>
      </rPr>
      <t xml:space="preserve">
</t>
    </r>
    <r>
      <rPr>
        <sz val="10"/>
        <color rgb="FF0000FF"/>
        <rFont val="Arial"/>
        <family val="2"/>
      </rPr>
      <t>2 x 6mth + 1year Statutory Covid Extn</t>
    </r>
  </si>
  <si>
    <r>
      <rPr>
        <strike/>
        <sz val="10"/>
        <rFont val="Arial"/>
        <family val="2"/>
      </rPr>
      <t>4/07/2018</t>
    </r>
    <r>
      <rPr>
        <sz val="10"/>
        <rFont val="Arial"/>
        <family val="2"/>
      </rPr>
      <t xml:space="preserve">
</t>
    </r>
    <r>
      <rPr>
        <strike/>
        <sz val="10"/>
        <rFont val="Arial"/>
        <family val="2"/>
      </rPr>
      <t>24/09/2018</t>
    </r>
    <r>
      <rPr>
        <sz val="10"/>
        <rFont val="Arial"/>
        <family val="2"/>
      </rPr>
      <t xml:space="preserve">
</t>
    </r>
    <r>
      <rPr>
        <strike/>
        <sz val="10"/>
        <color rgb="FF0000FF"/>
        <rFont val="Arial"/>
        <family val="2"/>
      </rPr>
      <t>25/09/2020</t>
    </r>
    <r>
      <rPr>
        <sz val="10"/>
        <color rgb="FF0000FF"/>
        <rFont val="Arial"/>
        <family val="2"/>
      </rPr>
      <t xml:space="preserve">
</t>
    </r>
    <r>
      <rPr>
        <strike/>
        <sz val="10"/>
        <color rgb="FF0000FF"/>
        <rFont val="Arial"/>
        <family val="2"/>
      </rPr>
      <t>25/03/2023</t>
    </r>
    <r>
      <rPr>
        <sz val="10"/>
        <color rgb="FF0000FF"/>
        <rFont val="Arial"/>
        <family val="2"/>
      </rPr>
      <t xml:space="preserve">
</t>
    </r>
    <r>
      <rPr>
        <b/>
        <sz val="10"/>
        <color rgb="FF0000FF"/>
        <rFont val="Arial"/>
        <family val="2"/>
      </rPr>
      <t>4/11/2024</t>
    </r>
    <r>
      <rPr>
        <sz val="10"/>
        <color rgb="FF0000FF"/>
        <rFont val="Arial"/>
        <family val="2"/>
      </rPr>
      <t xml:space="preserve">
 6mth + 1year Statutory Covid Extn</t>
    </r>
  </si>
  <si>
    <r>
      <rPr>
        <strike/>
        <sz val="10"/>
        <rFont val="Arial"/>
        <family val="2"/>
      </rPr>
      <t>13/12/2019</t>
    </r>
    <r>
      <rPr>
        <sz val="10"/>
        <rFont val="Arial"/>
        <family val="2"/>
      </rPr>
      <t xml:space="preserve">
</t>
    </r>
    <r>
      <rPr>
        <sz val="10"/>
        <color rgb="FF0000FF"/>
        <rFont val="Arial"/>
        <family val="2"/>
      </rPr>
      <t>13/12/</t>
    </r>
    <r>
      <rPr>
        <strike/>
        <sz val="10"/>
        <color rgb="FF0000FF"/>
        <rFont val="Arial"/>
        <family val="2"/>
      </rPr>
      <t>2023</t>
    </r>
    <r>
      <rPr>
        <sz val="10"/>
        <color rgb="FF0000FF"/>
        <rFont val="Arial"/>
        <family val="2"/>
      </rPr>
      <t xml:space="preserve">
</t>
    </r>
    <r>
      <rPr>
        <b/>
        <sz val="10"/>
        <color rgb="FF0000FF"/>
        <rFont val="Arial"/>
        <family val="2"/>
      </rPr>
      <t>2025</t>
    </r>
    <r>
      <rPr>
        <sz val="10"/>
        <color rgb="FF0000FF"/>
        <rFont val="Arial"/>
        <family val="2"/>
      </rPr>
      <t xml:space="preserve">
2 x 6mth + 1year Statutory Covid Extn</t>
    </r>
  </si>
  <si>
    <t>2 Jan Street P/L</t>
  </si>
  <si>
    <t xml:space="preserve">Lot 15 RP 90014 </t>
  </si>
  <si>
    <t>2 Jan St 
Noosa Heads QLD 4567</t>
  </si>
  <si>
    <t>Dual occupancy = 2 x 3 bed units</t>
  </si>
  <si>
    <t>MCU24/0001
Approved: 9/04/2024
Issued: 10/04/2024</t>
  </si>
  <si>
    <t>132002.220270.5
(Change to an Existing Approval)</t>
  </si>
  <si>
    <r>
      <rPr>
        <b/>
        <sz val="10"/>
        <color rgb="FF0000FF"/>
        <rFont val="Arial"/>
        <family val="2"/>
      </rPr>
      <t xml:space="preserve">N </t>
    </r>
    <r>
      <rPr>
        <b/>
        <sz val="10"/>
        <rFont val="Arial"/>
        <family val="2"/>
      </rPr>
      <t xml:space="preserve">1347
</t>
    </r>
    <r>
      <rPr>
        <b/>
        <sz val="10"/>
        <color rgb="FFFF0000"/>
        <rFont val="Arial"/>
        <family val="2"/>
      </rPr>
      <t>USE COMMENCED 29/01/2019 TO RE-CHECK ??</t>
    </r>
  </si>
  <si>
    <r>
      <rPr>
        <b/>
        <sz val="10"/>
        <color rgb="FF0000FF"/>
        <rFont val="Arial"/>
        <family val="2"/>
      </rPr>
      <t xml:space="preserve">Amended N </t>
    </r>
    <r>
      <rPr>
        <b/>
        <sz val="10"/>
        <rFont val="Arial"/>
        <family val="2"/>
      </rPr>
      <t xml:space="preserve">1429
</t>
    </r>
    <r>
      <rPr>
        <sz val="10"/>
        <color rgb="FFFF0000"/>
        <rFont val="Arial"/>
        <family val="2"/>
      </rPr>
      <t xml:space="preserve">
Final inpection Certificate issued 20/08/2021 </t>
    </r>
    <r>
      <rPr>
        <sz val="10"/>
        <color rgb="FF0000FF"/>
        <rFont val="Arial"/>
        <family val="2"/>
      </rPr>
      <t xml:space="preserve">
</t>
    </r>
    <r>
      <rPr>
        <b/>
        <u/>
        <sz val="10"/>
        <color rgb="FF0000FF"/>
        <rFont val="Arial"/>
        <family val="2"/>
      </rPr>
      <t>ONLY</t>
    </r>
    <r>
      <rPr>
        <b/>
        <sz val="10"/>
        <color rgb="FF0000FF"/>
        <rFont val="Arial"/>
        <family val="2"/>
      </rPr>
      <t xml:space="preserve"> </t>
    </r>
    <r>
      <rPr>
        <sz val="10"/>
        <color rgb="FF0000FF"/>
        <rFont val="Arial"/>
        <family val="2"/>
      </rPr>
      <t>becomes payable following completion of future primary Detached House</t>
    </r>
  </si>
  <si>
    <r>
      <t xml:space="preserve">Stage C = Stormwater 1766m2 Impervious area =  $18,101.00 paid on 31/03/2022
+
</t>
    </r>
    <r>
      <rPr>
        <b/>
        <sz val="10"/>
        <color rgb="FF0000FF"/>
        <rFont val="Arial"/>
        <family val="2"/>
      </rPr>
      <t>Stage D = 675m2 gfa = $58,097.00</t>
    </r>
  </si>
  <si>
    <r>
      <rPr>
        <b/>
        <sz val="10"/>
        <color rgb="FF0000FF"/>
        <rFont val="Arial"/>
        <family val="2"/>
      </rPr>
      <t xml:space="preserve">N </t>
    </r>
    <r>
      <rPr>
        <b/>
        <sz val="10"/>
        <rFont val="Arial"/>
        <family val="2"/>
      </rPr>
      <t>1467</t>
    </r>
  </si>
  <si>
    <r>
      <rPr>
        <strike/>
        <sz val="10"/>
        <rFont val="Arial"/>
        <family val="2"/>
      </rPr>
      <t>10/09/2019</t>
    </r>
    <r>
      <rPr>
        <sz val="10"/>
        <rFont val="Arial"/>
        <family val="2"/>
      </rPr>
      <t xml:space="preserve">
</t>
    </r>
    <r>
      <rPr>
        <sz val="10"/>
        <color rgb="FF0000FF"/>
        <rFont val="Arial"/>
        <family val="2"/>
      </rPr>
      <t>6/08/</t>
    </r>
    <r>
      <rPr>
        <strike/>
        <sz val="10"/>
        <color rgb="FF0000FF"/>
        <rFont val="Arial"/>
        <family val="2"/>
      </rPr>
      <t>2023</t>
    </r>
    <r>
      <rPr>
        <sz val="10"/>
        <color rgb="FF0000FF"/>
        <rFont val="Arial"/>
        <family val="2"/>
      </rPr>
      <t xml:space="preserve">
</t>
    </r>
    <r>
      <rPr>
        <b/>
        <sz val="10"/>
        <color rgb="FF0000FF"/>
        <rFont val="Arial"/>
        <family val="2"/>
      </rPr>
      <t>2025</t>
    </r>
    <r>
      <rPr>
        <sz val="10"/>
        <color rgb="FF0000FF"/>
        <rFont val="Arial"/>
        <family val="2"/>
      </rPr>
      <t xml:space="preserve">
2 x 6mth + 1year Statutory Covid Extn</t>
    </r>
  </si>
  <si>
    <r>
      <t>6/08/</t>
    </r>
    <r>
      <rPr>
        <strike/>
        <sz val="10"/>
        <rFont val="Arial"/>
        <family val="2"/>
      </rPr>
      <t>2023</t>
    </r>
    <r>
      <rPr>
        <sz val="10"/>
        <rFont val="Arial"/>
        <family val="2"/>
      </rPr>
      <t xml:space="preserve">
</t>
    </r>
    <r>
      <rPr>
        <b/>
        <sz val="10"/>
        <color rgb="FF0000FF"/>
        <rFont val="Arial"/>
        <family val="2"/>
      </rPr>
      <t>2027</t>
    </r>
    <r>
      <rPr>
        <sz val="10"/>
        <color rgb="FF0000FF"/>
        <rFont val="Arial"/>
        <family val="2"/>
      </rPr>
      <t xml:space="preserve">
2 x 6mth + 1year Statutory Covid Extn</t>
    </r>
  </si>
  <si>
    <t>Entertainment &amp; Dining Business - Type 1 Food &amp; beverages (Takeaway Servery) = 2m2 gfa</t>
  </si>
  <si>
    <t>Will not lapse due to previous stages</t>
  </si>
  <si>
    <t>PC24/0071
Approved: 23/02/2024
Received &amp; Registered: 4/04/2024</t>
  </si>
  <si>
    <t>Building Work
Trident Building Surveying &amp; Certification Permit Number: Q20240085</t>
  </si>
  <si>
    <t>BTC Building</t>
  </si>
  <si>
    <t>64A Furguson Road
POMONA QLD 4568</t>
  </si>
  <si>
    <t>Lot 10 RP 71186</t>
  </si>
  <si>
    <t>11 Red Street
POMONA QLD 4568</t>
  </si>
  <si>
    <t>MCU24/0021
Approved: 9/04/2024
Issued: 12/04/2024</t>
  </si>
  <si>
    <t>Nutworks Cooroy Investments No3 P/L TTE</t>
  </si>
  <si>
    <t>C/- URBN Town Planning Pty Ltd
PO Box 81
BUDERIM QLD 4556</t>
  </si>
  <si>
    <t>Lot 15 RP 214448</t>
  </si>
  <si>
    <t>4 Johnson Ct Cooroy Qld 4563</t>
  </si>
  <si>
    <t>Medium Impact Industry =  1,832 m2 total new GFA 
+
Impervious area = 4,387 m2 (no change to existing</t>
  </si>
  <si>
    <t xml:space="preserve">Medium Impact Industry = 1,766m2 gfa
+
Impervious area = 4,387 m2 </t>
  </si>
  <si>
    <r>
      <rPr>
        <strike/>
        <sz val="10"/>
        <rFont val="Arial"/>
        <family val="2"/>
      </rPr>
      <t>3/12/2017</t>
    </r>
    <r>
      <rPr>
        <sz val="10"/>
        <rFont val="Arial"/>
        <family val="2"/>
      </rPr>
      <t xml:space="preserve">
</t>
    </r>
    <r>
      <rPr>
        <sz val="10"/>
        <color rgb="FF0000FF"/>
        <rFont val="Arial"/>
        <family val="2"/>
      </rPr>
      <t>3/12/</t>
    </r>
    <r>
      <rPr>
        <strike/>
        <sz val="10"/>
        <color rgb="FF0000FF"/>
        <rFont val="Arial"/>
        <family val="2"/>
      </rPr>
      <t>2021</t>
    </r>
    <r>
      <rPr>
        <sz val="10"/>
        <rFont val="Arial"/>
        <family val="2"/>
      </rPr>
      <t xml:space="preserve">
</t>
    </r>
    <r>
      <rPr>
        <b/>
        <sz val="10"/>
        <color rgb="FF0000FF"/>
        <rFont val="Arial"/>
        <family val="2"/>
      </rPr>
      <t xml:space="preserve">2023 </t>
    </r>
    <r>
      <rPr>
        <sz val="10"/>
        <color rgb="FF0000FF"/>
        <rFont val="Arial"/>
        <family val="2"/>
      </rPr>
      <t xml:space="preserve">
2 x 6mth + 1year Statutory Covid Extn</t>
    </r>
  </si>
  <si>
    <r>
      <rPr>
        <b/>
        <sz val="10"/>
        <color rgb="FF0000FF"/>
        <rFont val="Arial"/>
        <family val="2"/>
      </rPr>
      <t xml:space="preserve">N </t>
    </r>
    <r>
      <rPr>
        <b/>
        <sz val="10"/>
        <rFont val="Arial"/>
        <family val="2"/>
      </rPr>
      <t xml:space="preserve">1953
</t>
    </r>
  </si>
  <si>
    <t>D000622799</t>
  </si>
  <si>
    <r>
      <rPr>
        <b/>
        <sz val="10"/>
        <color rgb="FF0000FF"/>
        <rFont val="Arial"/>
        <family val="2"/>
      </rPr>
      <t xml:space="preserve">N </t>
    </r>
    <r>
      <rPr>
        <b/>
        <sz val="10"/>
        <rFont val="Arial"/>
        <family val="2"/>
      </rPr>
      <t xml:space="preserve">1022
</t>
    </r>
  </si>
  <si>
    <r>
      <t xml:space="preserve">20/03/2019
</t>
    </r>
    <r>
      <rPr>
        <sz val="10"/>
        <color rgb="FF0000FF"/>
        <rFont val="Arial"/>
        <family val="2"/>
      </rPr>
      <t xml:space="preserve">Extended due to rollover provision of the Act to </t>
    </r>
    <r>
      <rPr>
        <b/>
        <sz val="10"/>
        <color rgb="FF0000FF"/>
        <rFont val="Arial"/>
        <family val="2"/>
      </rPr>
      <t xml:space="preserve">2/07/2023 </t>
    </r>
    <r>
      <rPr>
        <sz val="10"/>
        <color rgb="FF0000FF"/>
        <rFont val="Arial"/>
        <family val="2"/>
      </rPr>
      <t xml:space="preserve">
refer ECM_
21515834 </t>
    </r>
  </si>
  <si>
    <r>
      <rPr>
        <b/>
        <sz val="10"/>
        <color rgb="FF0000FF"/>
        <rFont val="Arial"/>
        <family val="2"/>
      </rPr>
      <t xml:space="preserve">N </t>
    </r>
    <r>
      <rPr>
        <b/>
        <sz val="10"/>
        <rFont val="Arial"/>
        <family val="2"/>
      </rPr>
      <t xml:space="preserve">1279
</t>
    </r>
    <r>
      <rPr>
        <b/>
        <sz val="10"/>
        <color rgb="FF0000FF"/>
        <rFont val="Arial"/>
        <family val="2"/>
      </rPr>
      <t>STAGE 1</t>
    </r>
    <r>
      <rPr>
        <b/>
        <sz val="10"/>
        <rFont val="Arial"/>
        <family val="2"/>
      </rPr>
      <t xml:space="preserve">
</t>
    </r>
    <r>
      <rPr>
        <sz val="10"/>
        <color rgb="FF0000FF"/>
        <rFont val="Arial"/>
        <family val="2"/>
      </rPr>
      <t>PC20/0958 issued 24/06/2022
Completed per site inspection April 2024</t>
    </r>
  </si>
  <si>
    <r>
      <t xml:space="preserve">100% Rebate for Community Organisation
</t>
    </r>
    <r>
      <rPr>
        <b/>
        <sz val="10"/>
        <color rgb="FFFF0000"/>
        <rFont val="Arial"/>
        <family val="2"/>
      </rPr>
      <t>however, the debt will become payable on any change in the organisation's community &amp;/or not for profit status &amp;/or sale of the property</t>
    </r>
  </si>
  <si>
    <r>
      <rPr>
        <b/>
        <sz val="10"/>
        <color rgb="FF0000FF"/>
        <rFont val="Arial"/>
        <family val="2"/>
      </rPr>
      <t xml:space="preserve">N </t>
    </r>
    <r>
      <rPr>
        <b/>
        <sz val="10"/>
        <rFont val="Arial"/>
        <family val="2"/>
      </rPr>
      <t xml:space="preserve">1290
</t>
    </r>
    <r>
      <rPr>
        <sz val="10"/>
        <color rgb="FFFF0000"/>
        <rFont val="Arial"/>
        <family val="2"/>
      </rPr>
      <t xml:space="preserve">
Shed built via aerials </t>
    </r>
    <r>
      <rPr>
        <u/>
        <sz val="10"/>
        <color rgb="FFFF0000"/>
        <rFont val="Arial"/>
        <family val="2"/>
      </rPr>
      <t>but not the secondary dwelling</t>
    </r>
    <r>
      <rPr>
        <sz val="10"/>
        <color rgb="FFFF0000"/>
        <rFont val="Arial"/>
        <family val="2"/>
      </rPr>
      <t xml:space="preserve"> (referenced as lodge)</t>
    </r>
  </si>
  <si>
    <r>
      <rPr>
        <b/>
        <sz val="10"/>
        <color rgb="FF0000FF"/>
        <rFont val="Arial"/>
        <family val="2"/>
      </rPr>
      <t xml:space="preserve">N </t>
    </r>
    <r>
      <rPr>
        <b/>
        <sz val="10"/>
        <rFont val="Arial"/>
        <family val="2"/>
      </rPr>
      <t xml:space="preserve">1312
</t>
    </r>
  </si>
  <si>
    <r>
      <rPr>
        <sz val="10"/>
        <color rgb="FF0000FF"/>
        <rFont val="Arial"/>
        <family val="2"/>
      </rPr>
      <t>21/05/2019 Owner notified not  proceeding with secondary dwelling</t>
    </r>
    <r>
      <rPr>
        <sz val="10"/>
        <color rgb="FFFF0000"/>
        <rFont val="Arial"/>
        <family val="2"/>
      </rPr>
      <t xml:space="preserve">
PC18/0318 Final Inspection Certificate issued 30/09/2019 house, shed &amp; pool only.
Secondary dwelling not built.</t>
    </r>
  </si>
  <si>
    <t>13/03/2024
Will not lapse due to house built</t>
  </si>
  <si>
    <r>
      <rPr>
        <strike/>
        <sz val="10"/>
        <rFont val="Arial"/>
        <family val="2"/>
      </rPr>
      <t>19/04/2020</t>
    </r>
    <r>
      <rPr>
        <sz val="10"/>
        <rFont val="Arial"/>
        <family val="2"/>
      </rPr>
      <t xml:space="preserve">
</t>
    </r>
    <r>
      <rPr>
        <sz val="10"/>
        <color rgb="FF0000FF"/>
        <rFont val="Arial"/>
        <family val="2"/>
      </rPr>
      <t>extended by certifier to 11/04/2023</t>
    </r>
  </si>
  <si>
    <t xml:space="preserve">Education Type 2 - School (Education) = Additional 400 m2 - Annex for single Meditation
</t>
  </si>
  <si>
    <t>PC24/0110
Approved: 31/01/2024
Received &amp; Registered 17/04/2024</t>
  </si>
  <si>
    <t>Noosa Heads Builders Pty Ltd</t>
  </si>
  <si>
    <t>2 Eagle Drive
TEWANTIN QLD 4565</t>
  </si>
  <si>
    <t>Lot 543 N 21869</t>
  </si>
  <si>
    <t>16 Wollomia Way 
SUNRISE BEACH QLD 4567</t>
  </si>
  <si>
    <t>RAL23/0019
Approved: 15/04/2024
Issued: 29/04/2024</t>
  </si>
  <si>
    <t>Building Work
Earthcert Building Approvals 
Permit Number: 240017</t>
  </si>
  <si>
    <t xml:space="preserve">Hermanus Lourens Joubert &amp; Marilyn Christine Binney 
</t>
  </si>
  <si>
    <t>Lot 61 RP 900860</t>
  </si>
  <si>
    <t>33 Cudgerie Drive
BLACK MOUNTAIN QLD 4563</t>
  </si>
  <si>
    <t>Existing dwelling (3 bed) (BA -111997.11017) and storage sheds</t>
  </si>
  <si>
    <t>RAL22/0034
Approved: 12/04/2024
Issued: 24/04/2024</t>
  </si>
  <si>
    <t>Mr ML Kussrow</t>
  </si>
  <si>
    <t xml:space="preserve">Lot 3 RP 226620 </t>
  </si>
  <si>
    <t xml:space="preserve">38 Barina Court, 
Pomona Qld 4568 </t>
  </si>
  <si>
    <t>DBW24/0003
Approved: 2/05/2024
Issued 3/05/2024</t>
  </si>
  <si>
    <t>North Shore Building Approvals</t>
  </si>
  <si>
    <t>1 Kawanna Street
MUDJIMBA QLD 4564</t>
  </si>
  <si>
    <t xml:space="preserve">Lot 216 RP 160522 </t>
  </si>
  <si>
    <t xml:space="preserve">6 Nebula St  
Sunshine Beach Qld 4567 </t>
  </si>
  <si>
    <t>MAY 2024
Total =</t>
  </si>
  <si>
    <t>D000627008</t>
  </si>
  <si>
    <t>D000627328</t>
  </si>
  <si>
    <r>
      <rPr>
        <b/>
        <sz val="10"/>
        <color rgb="FF0000FF"/>
        <rFont val="Arial"/>
        <family val="2"/>
      </rPr>
      <t xml:space="preserve">N </t>
    </r>
    <r>
      <rPr>
        <b/>
        <sz val="10"/>
        <rFont val="Arial"/>
        <family val="2"/>
      </rPr>
      <t xml:space="preserve">1411
</t>
    </r>
    <r>
      <rPr>
        <sz val="10"/>
        <color rgb="FFFF0000"/>
        <rFont val="Arial"/>
        <family val="2"/>
      </rPr>
      <t>Use commenced 28/10/2020</t>
    </r>
    <r>
      <rPr>
        <i/>
        <sz val="10"/>
        <color rgb="FFFF0000"/>
        <rFont val="Arial"/>
        <family val="2"/>
      </rPr>
      <t xml:space="preserve">
Amended Stg Pmt 3
$1,690 paid
$20,000 due 30/04/24</t>
    </r>
  </si>
  <si>
    <t>Transferred to Rates for Recovery</t>
  </si>
  <si>
    <t>Planning Reg 2022-2023
+ interest</t>
  </si>
  <si>
    <r>
      <rPr>
        <b/>
        <sz val="10"/>
        <color rgb="FF0000FF"/>
        <rFont val="Arial"/>
        <family val="2"/>
      </rPr>
      <t xml:space="preserve">N </t>
    </r>
    <r>
      <rPr>
        <b/>
        <sz val="10"/>
        <rFont val="Arial"/>
        <family val="2"/>
      </rPr>
      <t xml:space="preserve">1529
</t>
    </r>
    <r>
      <rPr>
        <sz val="10"/>
        <color rgb="FFFF0000"/>
        <rFont val="Arial"/>
        <family val="2"/>
      </rPr>
      <t>USE commenced per Minor Change .04 review 
DUE 26 APRIL</t>
    </r>
  </si>
  <si>
    <t>Option B = Entertainment and dining business type 1 - food and beverages = 188m² (lower floor 99m² and upper floor 89m²)
Impervious area unchanged from previous approval 51991.652.02 &amp; ICN.N1377 Paid</t>
  </si>
  <si>
    <t>Planning Reg 2023-2024 
+ interest</t>
  </si>
  <si>
    <t>D000627588</t>
  </si>
  <si>
    <r>
      <rPr>
        <b/>
        <sz val="10"/>
        <color rgb="FF0000FF"/>
        <rFont val="Arial"/>
        <family val="2"/>
      </rPr>
      <t xml:space="preserve">IC applicable to OPTION B only </t>
    </r>
    <r>
      <rPr>
        <sz val="10"/>
        <color rgb="FF0000FF"/>
        <rFont val="Arial"/>
        <family val="2"/>
      </rPr>
      <t xml:space="preserve">as:
Option A = per previous approval 51991.652.02 &amp; ICN.N1377 Paid on 5/10/2018 Receipt: 1211934
</t>
    </r>
    <r>
      <rPr>
        <b/>
        <sz val="10"/>
        <color rgb="FFFF0000"/>
        <rFont val="Arial"/>
        <family val="2"/>
      </rPr>
      <t>OPTION B - Transferred to rates on 14/05 with interest</t>
    </r>
    <r>
      <rPr>
        <sz val="10"/>
        <color rgb="FF0000FF"/>
        <rFont val="Arial"/>
        <family val="2"/>
      </rPr>
      <t xml:space="preserve">
</t>
    </r>
  </si>
  <si>
    <r>
      <t xml:space="preserve">Stormwater not applicable for Development outside PIA per LGIP </t>
    </r>
    <r>
      <rPr>
        <sz val="10"/>
        <color rgb="FFFF0000"/>
        <rFont val="Arial"/>
        <family val="2"/>
      </rPr>
      <t>(PC19/0312 Issued)</t>
    </r>
    <r>
      <rPr>
        <sz val="10"/>
        <color rgb="FF0000FF"/>
        <rFont val="Arial"/>
        <family val="2"/>
      </rPr>
      <t xml:space="preserve">
</t>
    </r>
    <r>
      <rPr>
        <sz val="10"/>
        <color rgb="FFFF0000"/>
        <rFont val="Arial"/>
        <family val="2"/>
      </rPr>
      <t>IA Staged Payments Approved 2/02/2020
AMENDED 29/11/2021 incl 5% admin cost</t>
    </r>
    <r>
      <rPr>
        <sz val="10"/>
        <color rgb="FF0000FF"/>
        <rFont val="Arial"/>
        <family val="2"/>
      </rPr>
      <t xml:space="preserve">
</t>
    </r>
    <r>
      <rPr>
        <sz val="10"/>
        <color rgb="FFFF0000"/>
        <rFont val="Arial"/>
        <family val="2"/>
      </rPr>
      <t xml:space="preserve">Stg Pmt 3 AMENDED 22/02/2023 incl 5% admin cost Amended 14/03/2024 Part $1,690 Paid
$20,000 due 30 Apr 2024 </t>
    </r>
    <r>
      <rPr>
        <b/>
        <sz val="10"/>
        <color rgb="FFFF0000"/>
        <rFont val="Arial"/>
        <family val="2"/>
      </rPr>
      <t>NOT PAID - Transferred to rates on 14/05 with interest</t>
    </r>
  </si>
  <si>
    <t>D000627604</t>
  </si>
  <si>
    <t>PC24/0140
Approved: 14/02/2024
Received &amp; Registered: 10/05/2024</t>
  </si>
  <si>
    <t>Building Work
Earthcert Building Approvals 
Permit Number: 230363</t>
  </si>
  <si>
    <t>Gianfranco Felici</t>
  </si>
  <si>
    <t>499 Sunrise Road
TINBEERWAH QLD 4563</t>
  </si>
  <si>
    <t>Lot 2 RP 176680</t>
  </si>
  <si>
    <t>PC24/0172
Approved: 1/03/2024
Received &amp; Registered: 10/05/2024</t>
  </si>
  <si>
    <t>Building Work
Building Certification Consultants 
Permit Number: 00031590</t>
  </si>
  <si>
    <t>Mr Grant Hughes</t>
  </si>
  <si>
    <t>18 Highfield Drive
LAKE MACDONALD QLD 4563</t>
  </si>
  <si>
    <t>Lot 5 SP 117937</t>
  </si>
  <si>
    <t>PC23/0523
Approved: 26/02/2024
Received &amp; Registered: 9/05/2024</t>
  </si>
  <si>
    <t>Building Work
Core Building Certification  
Permit Number: 2316241</t>
  </si>
  <si>
    <t>Anthony &amp; Amanda Thomas</t>
  </si>
  <si>
    <t>14 Shearwater Street
PEREGIAN BEACH QLD 4573</t>
  </si>
  <si>
    <t>Lot 426 P 93116</t>
  </si>
  <si>
    <t>D000627995</t>
  </si>
  <si>
    <t>charges updated journal 1782443 – GL posting journal 1782444</t>
  </si>
  <si>
    <t>charges updated journal 1782446 – GL posting journal 1782447</t>
  </si>
  <si>
    <t>D000628600</t>
  </si>
  <si>
    <t>MCU23/0109
Approved: 20/05/2024
Issued: 21/05/2024</t>
  </si>
  <si>
    <t>Davrus P/L TTE</t>
  </si>
  <si>
    <t>C/- Pivotal Perspective Pty Ltd
3/93 Hilton Tce
TEWANTIN QLD 4565</t>
  </si>
  <si>
    <t>Lot 1 RP 203032</t>
  </si>
  <si>
    <t xml:space="preserve">20 Kauri St 
Cooroy Qld 4563 </t>
  </si>
  <si>
    <t>Multiple dwelling = 10 x 2 bed units</t>
  </si>
  <si>
    <t>MCU21/0104.01
Approved: 16/05/2024
Issued: 22/05/2024</t>
  </si>
  <si>
    <t>Sunrise Madill Investments P/L TTE</t>
  </si>
  <si>
    <t xml:space="preserve">Lot 13 RP 150347 </t>
  </si>
  <si>
    <t>Motorcycle/Scooters Sales and Repair Showroom - 100m2 and 
Low Impact Industry 210m2
+ Impervious area = 1,048m2</t>
  </si>
  <si>
    <t>Credit for IC-N1758 Paid on 15/02/2023 Receipt: D000484275 re orig approval
Showroom = 119 m2 gfa + 
Low Impact Industry = 180m2 gfa
+ Impervious area = 862m2</t>
  </si>
  <si>
    <t>MCU23/0145
Approved: 15/05/2024
Issued: 22/05/2024</t>
  </si>
  <si>
    <t>Spectre Northern Co One Pty Ltd ATF Spectre Northern 
Trust One &amp; MNF1 Investments Pty Ltd ATF MNF1 
Investment Trust &amp; JCB Rene Pty Ltd ATF JCB Rene Pty 
Ltd</t>
  </si>
  <si>
    <t>C/- JREY
PO Box 47
MOFFAT BEACH QLD 4551</t>
  </si>
  <si>
    <t>Lot 58 RP 228905</t>
  </si>
  <si>
    <t>58 Rene St 
Noosaville Qld 4566</t>
  </si>
  <si>
    <t>Warehouse and Low Impact Industry. =2,600 m2 gfa
+ Impervious Area = 2,415 m2</t>
  </si>
  <si>
    <t xml:space="preserve">Existing gfa from Building Approval and Impervious Area est from aerial mapping. 
Low Impact Indusrty = 652 m2 GFA 
+ Impervious = 1,845 m2 </t>
  </si>
  <si>
    <t>Condition 34a - upgrade Existing Trunk path along frontage</t>
  </si>
  <si>
    <t>D000629443</t>
  </si>
  <si>
    <t>PC23/0561
Approved: 29/02/2024
Received &amp; Registered: 21/05/2024</t>
  </si>
  <si>
    <t>PC24/0192
Approved: 11/03/2024
Received &amp; Registered:  20/05/2024</t>
  </si>
  <si>
    <t>PC24/0218
Approved: 15/03/2024
Received &amp; Registered: 22/05/2024</t>
  </si>
  <si>
    <t>Building Work
Building Approvals United QLD
Permit Number: 23-4236</t>
  </si>
  <si>
    <t>29/02/2026</t>
  </si>
  <si>
    <t>Building Work
Custom Approvals
Permit Number: 00011880</t>
  </si>
  <si>
    <t>Building Work
Fluid Building Approvals
Permit Number: 4851/23</t>
  </si>
  <si>
    <t>Lot 1 RP 836907</t>
  </si>
  <si>
    <t>48 McKinnon Drive
TEWANTIN QLD 4565</t>
  </si>
  <si>
    <t>Lot 1 SP 115873</t>
  </si>
  <si>
    <t xml:space="preserve">Saltair Modular
</t>
  </si>
  <si>
    <t>PO Box 1422
COOLUM BEACH QLD 4573</t>
  </si>
  <si>
    <t>Soden Taylor Homes Pty Ltd</t>
  </si>
  <si>
    <t>Lot 262 M111113</t>
  </si>
  <si>
    <t>35 Hawthorn Grove
MARCUS BEACH QLD 4573</t>
  </si>
  <si>
    <t>16 Boonadah Place
CALOUNDRA WEST QLD 4551</t>
  </si>
  <si>
    <r>
      <rPr>
        <b/>
        <sz val="10"/>
        <color rgb="FF0000FF"/>
        <rFont val="Arial"/>
        <family val="2"/>
      </rPr>
      <t xml:space="preserve">N </t>
    </r>
    <r>
      <rPr>
        <b/>
        <sz val="10"/>
        <rFont val="Arial"/>
        <family val="2"/>
      </rPr>
      <t xml:space="preserve">1882
</t>
    </r>
  </si>
  <si>
    <r>
      <rPr>
        <b/>
        <sz val="10"/>
        <color rgb="FF0000FF"/>
        <rFont val="Arial"/>
        <family val="2"/>
      </rPr>
      <t xml:space="preserve">N </t>
    </r>
    <r>
      <rPr>
        <b/>
        <sz val="10"/>
        <rFont val="Arial"/>
        <family val="2"/>
      </rPr>
      <t>2001</t>
    </r>
    <r>
      <rPr>
        <sz val="11"/>
        <color theme="1"/>
        <rFont val="Calibri"/>
        <family val="2"/>
        <scheme val="minor"/>
      </rPr>
      <t/>
    </r>
  </si>
  <si>
    <r>
      <rPr>
        <b/>
        <sz val="10"/>
        <color rgb="FF0000FF"/>
        <rFont val="Arial"/>
        <family val="2"/>
      </rPr>
      <t xml:space="preserve">N </t>
    </r>
    <r>
      <rPr>
        <b/>
        <sz val="10"/>
        <rFont val="Arial"/>
        <family val="2"/>
      </rPr>
      <t>2002</t>
    </r>
    <r>
      <rPr>
        <sz val="11"/>
        <color theme="1"/>
        <rFont val="Calibri"/>
        <family val="2"/>
        <scheme val="minor"/>
      </rPr>
      <t/>
    </r>
  </si>
  <si>
    <r>
      <rPr>
        <b/>
        <sz val="10"/>
        <color rgb="FF0000FF"/>
        <rFont val="Arial"/>
        <family val="2"/>
      </rPr>
      <t xml:space="preserve">N </t>
    </r>
    <r>
      <rPr>
        <b/>
        <sz val="10"/>
        <rFont val="Arial"/>
        <family val="2"/>
      </rPr>
      <t>2003</t>
    </r>
    <r>
      <rPr>
        <sz val="11"/>
        <color theme="1"/>
        <rFont val="Calibri"/>
        <family val="2"/>
        <scheme val="minor"/>
      </rPr>
      <t/>
    </r>
  </si>
  <si>
    <r>
      <rPr>
        <b/>
        <sz val="10"/>
        <color rgb="FF0000FF"/>
        <rFont val="Arial"/>
        <family val="2"/>
      </rPr>
      <t xml:space="preserve">N </t>
    </r>
    <r>
      <rPr>
        <b/>
        <sz val="10"/>
        <rFont val="Arial"/>
        <family val="2"/>
      </rPr>
      <t>2004</t>
    </r>
    <r>
      <rPr>
        <sz val="11"/>
        <color theme="1"/>
        <rFont val="Calibri"/>
        <family val="2"/>
        <scheme val="minor"/>
      </rPr>
      <t/>
    </r>
  </si>
  <si>
    <r>
      <rPr>
        <b/>
        <sz val="10"/>
        <color rgb="FF0000FF"/>
        <rFont val="Arial"/>
        <family val="2"/>
      </rPr>
      <t xml:space="preserve">N </t>
    </r>
    <r>
      <rPr>
        <b/>
        <sz val="10"/>
        <rFont val="Arial"/>
        <family val="2"/>
      </rPr>
      <t>2005</t>
    </r>
    <r>
      <rPr>
        <sz val="11"/>
        <color theme="1"/>
        <rFont val="Calibri"/>
        <family val="2"/>
        <scheme val="minor"/>
      </rPr>
      <t/>
    </r>
  </si>
  <si>
    <r>
      <rPr>
        <b/>
        <sz val="10"/>
        <color rgb="FF0000FF"/>
        <rFont val="Arial"/>
        <family val="2"/>
      </rPr>
      <t xml:space="preserve">N </t>
    </r>
    <r>
      <rPr>
        <b/>
        <sz val="10"/>
        <rFont val="Arial"/>
        <family val="2"/>
      </rPr>
      <t>2006</t>
    </r>
    <r>
      <rPr>
        <sz val="11"/>
        <color theme="1"/>
        <rFont val="Calibri"/>
        <family val="2"/>
        <scheme val="minor"/>
      </rPr>
      <t/>
    </r>
  </si>
  <si>
    <r>
      <rPr>
        <b/>
        <sz val="10"/>
        <color rgb="FF0000FF"/>
        <rFont val="Arial"/>
        <family val="2"/>
      </rPr>
      <t xml:space="preserve">N </t>
    </r>
    <r>
      <rPr>
        <b/>
        <sz val="10"/>
        <rFont val="Arial"/>
        <family val="2"/>
      </rPr>
      <t>2007</t>
    </r>
    <r>
      <rPr>
        <sz val="11"/>
        <color theme="1"/>
        <rFont val="Calibri"/>
        <family val="2"/>
        <scheme val="minor"/>
      </rPr>
      <t/>
    </r>
  </si>
  <si>
    <r>
      <rPr>
        <b/>
        <sz val="10"/>
        <color rgb="FF0000FF"/>
        <rFont val="Arial"/>
        <family val="2"/>
      </rPr>
      <t xml:space="preserve">N </t>
    </r>
    <r>
      <rPr>
        <b/>
        <sz val="10"/>
        <rFont val="Arial"/>
        <family val="2"/>
      </rPr>
      <t>2008</t>
    </r>
    <r>
      <rPr>
        <sz val="11"/>
        <color theme="1"/>
        <rFont val="Calibri"/>
        <family val="2"/>
        <scheme val="minor"/>
      </rPr>
      <t/>
    </r>
  </si>
  <si>
    <r>
      <rPr>
        <b/>
        <sz val="10"/>
        <color rgb="FF0000FF"/>
        <rFont val="Arial"/>
        <family val="2"/>
      </rPr>
      <t xml:space="preserve">N </t>
    </r>
    <r>
      <rPr>
        <b/>
        <sz val="10"/>
        <rFont val="Arial"/>
        <family val="2"/>
      </rPr>
      <t>2009</t>
    </r>
    <r>
      <rPr>
        <sz val="11"/>
        <color theme="1"/>
        <rFont val="Calibri"/>
        <family val="2"/>
        <scheme val="minor"/>
      </rPr>
      <t/>
    </r>
  </si>
  <si>
    <r>
      <rPr>
        <b/>
        <sz val="10"/>
        <color rgb="FF0000FF"/>
        <rFont val="Arial"/>
        <family val="2"/>
      </rPr>
      <t xml:space="preserve">N </t>
    </r>
    <r>
      <rPr>
        <b/>
        <sz val="10"/>
        <rFont val="Arial"/>
        <family val="2"/>
      </rPr>
      <t>2010</t>
    </r>
    <r>
      <rPr>
        <sz val="11"/>
        <color theme="1"/>
        <rFont val="Calibri"/>
        <family val="2"/>
        <scheme val="minor"/>
      </rPr>
      <t/>
    </r>
  </si>
  <si>
    <r>
      <rPr>
        <b/>
        <sz val="10"/>
        <color rgb="FF0000FF"/>
        <rFont val="Arial"/>
        <family val="2"/>
      </rPr>
      <t xml:space="preserve">N </t>
    </r>
    <r>
      <rPr>
        <b/>
        <sz val="10"/>
        <rFont val="Arial"/>
        <family val="2"/>
      </rPr>
      <t>2011</t>
    </r>
    <r>
      <rPr>
        <sz val="11"/>
        <color theme="1"/>
        <rFont val="Calibri"/>
        <family val="2"/>
        <scheme val="minor"/>
      </rPr>
      <t/>
    </r>
  </si>
  <si>
    <r>
      <rPr>
        <b/>
        <sz val="10"/>
        <color rgb="FF0000FF"/>
        <rFont val="Arial"/>
        <family val="2"/>
      </rPr>
      <t xml:space="preserve">N </t>
    </r>
    <r>
      <rPr>
        <b/>
        <sz val="10"/>
        <rFont val="Arial"/>
        <family val="2"/>
      </rPr>
      <t>2012</t>
    </r>
    <r>
      <rPr>
        <sz val="11"/>
        <color theme="1"/>
        <rFont val="Calibri"/>
        <family val="2"/>
        <scheme val="minor"/>
      </rPr>
      <t/>
    </r>
  </si>
  <si>
    <r>
      <rPr>
        <b/>
        <sz val="10"/>
        <color rgb="FF0000FF"/>
        <rFont val="Arial"/>
        <family val="2"/>
      </rPr>
      <t xml:space="preserve">N </t>
    </r>
    <r>
      <rPr>
        <b/>
        <sz val="10"/>
        <rFont val="Arial"/>
        <family val="2"/>
      </rPr>
      <t>2013</t>
    </r>
    <r>
      <rPr>
        <sz val="11"/>
        <color theme="1"/>
        <rFont val="Calibri"/>
        <family val="2"/>
        <scheme val="minor"/>
      </rPr>
      <t/>
    </r>
  </si>
  <si>
    <r>
      <rPr>
        <b/>
        <sz val="10"/>
        <color rgb="FF0000FF"/>
        <rFont val="Arial"/>
        <family val="2"/>
      </rPr>
      <t xml:space="preserve">N </t>
    </r>
    <r>
      <rPr>
        <b/>
        <sz val="10"/>
        <rFont val="Arial"/>
        <family val="2"/>
      </rPr>
      <t>2014</t>
    </r>
    <r>
      <rPr>
        <sz val="11"/>
        <color theme="1"/>
        <rFont val="Calibri"/>
        <family val="2"/>
        <scheme val="minor"/>
      </rPr>
      <t/>
    </r>
  </si>
  <si>
    <r>
      <rPr>
        <b/>
        <sz val="10"/>
        <color rgb="FF0000FF"/>
        <rFont val="Arial"/>
        <family val="2"/>
      </rPr>
      <t xml:space="preserve">N </t>
    </r>
    <r>
      <rPr>
        <b/>
        <sz val="10"/>
        <rFont val="Arial"/>
        <family val="2"/>
      </rPr>
      <t>2015</t>
    </r>
    <r>
      <rPr>
        <sz val="11"/>
        <color theme="1"/>
        <rFont val="Calibri"/>
        <family val="2"/>
        <scheme val="minor"/>
      </rPr>
      <t/>
    </r>
  </si>
  <si>
    <r>
      <rPr>
        <b/>
        <sz val="10"/>
        <color rgb="FF0000FF"/>
        <rFont val="Arial"/>
        <family val="2"/>
      </rPr>
      <t xml:space="preserve">N </t>
    </r>
    <r>
      <rPr>
        <b/>
        <sz val="10"/>
        <rFont val="Arial"/>
        <family val="2"/>
      </rPr>
      <t>2016</t>
    </r>
    <r>
      <rPr>
        <sz val="11"/>
        <color theme="1"/>
        <rFont val="Calibri"/>
        <family val="2"/>
        <scheme val="minor"/>
      </rPr>
      <t/>
    </r>
  </si>
  <si>
    <r>
      <rPr>
        <b/>
        <sz val="10"/>
        <color rgb="FF0000FF"/>
        <rFont val="Arial"/>
        <family val="2"/>
      </rPr>
      <t xml:space="preserve">N </t>
    </r>
    <r>
      <rPr>
        <b/>
        <sz val="10"/>
        <rFont val="Arial"/>
        <family val="2"/>
      </rPr>
      <t>2017</t>
    </r>
    <r>
      <rPr>
        <sz val="11"/>
        <color theme="1"/>
        <rFont val="Calibri"/>
        <family val="2"/>
        <scheme val="minor"/>
      </rPr>
      <t/>
    </r>
  </si>
  <si>
    <r>
      <rPr>
        <b/>
        <sz val="10"/>
        <color rgb="FF0000FF"/>
        <rFont val="Arial"/>
        <family val="2"/>
      </rPr>
      <t xml:space="preserve">N </t>
    </r>
    <r>
      <rPr>
        <b/>
        <sz val="10"/>
        <rFont val="Arial"/>
        <family val="2"/>
      </rPr>
      <t>2018</t>
    </r>
    <r>
      <rPr>
        <sz val="11"/>
        <color theme="1"/>
        <rFont val="Calibri"/>
        <family val="2"/>
        <scheme val="minor"/>
      </rPr>
      <t/>
    </r>
  </si>
  <si>
    <r>
      <rPr>
        <b/>
        <sz val="10"/>
        <color rgb="FF0000FF"/>
        <rFont val="Arial"/>
        <family val="2"/>
      </rPr>
      <t xml:space="preserve">N </t>
    </r>
    <r>
      <rPr>
        <b/>
        <sz val="10"/>
        <rFont val="Arial"/>
        <family val="2"/>
      </rPr>
      <t>2019</t>
    </r>
    <r>
      <rPr>
        <sz val="11"/>
        <color theme="1"/>
        <rFont val="Calibri"/>
        <family val="2"/>
        <scheme val="minor"/>
      </rPr>
      <t/>
    </r>
  </si>
  <si>
    <r>
      <rPr>
        <b/>
        <sz val="10"/>
        <color rgb="FF0000FF"/>
        <rFont val="Arial"/>
        <family val="2"/>
      </rPr>
      <t xml:space="preserve">N </t>
    </r>
    <r>
      <rPr>
        <b/>
        <sz val="10"/>
        <rFont val="Arial"/>
        <family val="2"/>
      </rPr>
      <t>2020</t>
    </r>
    <r>
      <rPr>
        <sz val="11"/>
        <color theme="1"/>
        <rFont val="Calibri"/>
        <family val="2"/>
        <scheme val="minor"/>
      </rPr>
      <t/>
    </r>
  </si>
  <si>
    <r>
      <rPr>
        <b/>
        <sz val="10"/>
        <color rgb="FF0000FF"/>
        <rFont val="Arial"/>
        <family val="2"/>
      </rPr>
      <t xml:space="preserve">N </t>
    </r>
    <r>
      <rPr>
        <b/>
        <sz val="10"/>
        <rFont val="Arial"/>
        <family val="2"/>
      </rPr>
      <t>2021</t>
    </r>
    <r>
      <rPr>
        <sz val="11"/>
        <color theme="1"/>
        <rFont val="Calibri"/>
        <family val="2"/>
        <scheme val="minor"/>
      </rPr>
      <t/>
    </r>
  </si>
  <si>
    <r>
      <rPr>
        <b/>
        <sz val="10"/>
        <color rgb="FF0000FF"/>
        <rFont val="Arial"/>
        <family val="2"/>
      </rPr>
      <t xml:space="preserve">N </t>
    </r>
    <r>
      <rPr>
        <b/>
        <sz val="10"/>
        <rFont val="Arial"/>
        <family val="2"/>
      </rPr>
      <t>2022</t>
    </r>
    <r>
      <rPr>
        <sz val="11"/>
        <color theme="1"/>
        <rFont val="Calibri"/>
        <family val="2"/>
        <scheme val="minor"/>
      </rPr>
      <t/>
    </r>
  </si>
  <si>
    <r>
      <rPr>
        <b/>
        <sz val="10"/>
        <color rgb="FF0000FF"/>
        <rFont val="Arial"/>
        <family val="2"/>
      </rPr>
      <t xml:space="preserve">N </t>
    </r>
    <r>
      <rPr>
        <b/>
        <sz val="10"/>
        <rFont val="Arial"/>
        <family val="2"/>
      </rPr>
      <t>2023</t>
    </r>
    <r>
      <rPr>
        <sz val="11"/>
        <color theme="1"/>
        <rFont val="Calibri"/>
        <family val="2"/>
        <scheme val="minor"/>
      </rPr>
      <t/>
    </r>
  </si>
  <si>
    <r>
      <rPr>
        <b/>
        <sz val="10"/>
        <color rgb="FF0000FF"/>
        <rFont val="Arial"/>
        <family val="2"/>
      </rPr>
      <t xml:space="preserve">N </t>
    </r>
    <r>
      <rPr>
        <b/>
        <sz val="10"/>
        <rFont val="Arial"/>
        <family val="2"/>
      </rPr>
      <t>2024</t>
    </r>
    <r>
      <rPr>
        <sz val="11"/>
        <color theme="1"/>
        <rFont val="Calibri"/>
        <family val="2"/>
        <scheme val="minor"/>
      </rPr>
      <t/>
    </r>
  </si>
  <si>
    <r>
      <rPr>
        <b/>
        <sz val="10"/>
        <color rgb="FF0000FF"/>
        <rFont val="Arial"/>
        <family val="2"/>
      </rPr>
      <t xml:space="preserve">N </t>
    </r>
    <r>
      <rPr>
        <b/>
        <sz val="10"/>
        <rFont val="Arial"/>
        <family val="2"/>
      </rPr>
      <t>2025</t>
    </r>
    <r>
      <rPr>
        <sz val="11"/>
        <color theme="1"/>
        <rFont val="Calibri"/>
        <family val="2"/>
        <scheme val="minor"/>
      </rPr>
      <t/>
    </r>
  </si>
  <si>
    <r>
      <rPr>
        <b/>
        <sz val="10"/>
        <color rgb="FF0000FF"/>
        <rFont val="Arial"/>
        <family val="2"/>
      </rPr>
      <t xml:space="preserve">N </t>
    </r>
    <r>
      <rPr>
        <b/>
        <sz val="10"/>
        <rFont val="Arial"/>
        <family val="2"/>
      </rPr>
      <t>2026</t>
    </r>
    <r>
      <rPr>
        <sz val="11"/>
        <color theme="1"/>
        <rFont val="Calibri"/>
        <family val="2"/>
        <scheme val="minor"/>
      </rPr>
      <t/>
    </r>
  </si>
  <si>
    <r>
      <rPr>
        <b/>
        <sz val="10"/>
        <color rgb="FF0000FF"/>
        <rFont val="Arial"/>
        <family val="2"/>
      </rPr>
      <t xml:space="preserve">N </t>
    </r>
    <r>
      <rPr>
        <b/>
        <sz val="10"/>
        <rFont val="Arial"/>
        <family val="2"/>
      </rPr>
      <t>2027</t>
    </r>
    <r>
      <rPr>
        <sz val="11"/>
        <color theme="1"/>
        <rFont val="Calibri"/>
        <family val="2"/>
        <scheme val="minor"/>
      </rPr>
      <t/>
    </r>
  </si>
  <si>
    <r>
      <rPr>
        <b/>
        <sz val="10"/>
        <color rgb="FF0000FF"/>
        <rFont val="Arial"/>
        <family val="2"/>
      </rPr>
      <t xml:space="preserve">N </t>
    </r>
    <r>
      <rPr>
        <b/>
        <sz val="10"/>
        <rFont val="Arial"/>
        <family val="2"/>
      </rPr>
      <t>2028</t>
    </r>
    <r>
      <rPr>
        <sz val="11"/>
        <color theme="1"/>
        <rFont val="Calibri"/>
        <family val="2"/>
        <scheme val="minor"/>
      </rPr>
      <t/>
    </r>
  </si>
  <si>
    <r>
      <rPr>
        <b/>
        <sz val="10"/>
        <color rgb="FF0000FF"/>
        <rFont val="Arial"/>
        <family val="2"/>
      </rPr>
      <t xml:space="preserve">N </t>
    </r>
    <r>
      <rPr>
        <b/>
        <sz val="10"/>
        <rFont val="Arial"/>
        <family val="2"/>
      </rPr>
      <t>2029</t>
    </r>
    <r>
      <rPr>
        <sz val="11"/>
        <color theme="1"/>
        <rFont val="Calibri"/>
        <family val="2"/>
        <scheme val="minor"/>
      </rPr>
      <t/>
    </r>
  </si>
  <si>
    <r>
      <rPr>
        <b/>
        <sz val="10"/>
        <color rgb="FF0000FF"/>
        <rFont val="Arial"/>
        <family val="2"/>
      </rPr>
      <t xml:space="preserve">N </t>
    </r>
    <r>
      <rPr>
        <b/>
        <sz val="10"/>
        <rFont val="Arial"/>
        <family val="2"/>
      </rPr>
      <t>2030</t>
    </r>
    <r>
      <rPr>
        <sz val="11"/>
        <color theme="1"/>
        <rFont val="Calibri"/>
        <family val="2"/>
        <scheme val="minor"/>
      </rPr>
      <t/>
    </r>
  </si>
  <si>
    <r>
      <rPr>
        <b/>
        <sz val="10"/>
        <color rgb="FF0000FF"/>
        <rFont val="Arial"/>
        <family val="2"/>
      </rPr>
      <t xml:space="preserve">N </t>
    </r>
    <r>
      <rPr>
        <b/>
        <sz val="10"/>
        <rFont val="Arial"/>
        <family val="2"/>
      </rPr>
      <t>2031</t>
    </r>
    <r>
      <rPr>
        <sz val="11"/>
        <color theme="1"/>
        <rFont val="Calibri"/>
        <family val="2"/>
        <scheme val="minor"/>
      </rPr>
      <t/>
    </r>
  </si>
  <si>
    <r>
      <rPr>
        <b/>
        <sz val="10"/>
        <color rgb="FF0000FF"/>
        <rFont val="Arial"/>
        <family val="2"/>
      </rPr>
      <t xml:space="preserve">N </t>
    </r>
    <r>
      <rPr>
        <b/>
        <sz val="10"/>
        <rFont val="Arial"/>
        <family val="2"/>
      </rPr>
      <t>2032</t>
    </r>
    <r>
      <rPr>
        <sz val="11"/>
        <color theme="1"/>
        <rFont val="Calibri"/>
        <family val="2"/>
        <scheme val="minor"/>
      </rPr>
      <t/>
    </r>
  </si>
  <si>
    <r>
      <rPr>
        <b/>
        <sz val="10"/>
        <color rgb="FF0000FF"/>
        <rFont val="Arial"/>
        <family val="2"/>
      </rPr>
      <t xml:space="preserve">N </t>
    </r>
    <r>
      <rPr>
        <b/>
        <sz val="10"/>
        <rFont val="Arial"/>
        <family val="2"/>
      </rPr>
      <t>2033</t>
    </r>
    <r>
      <rPr>
        <sz val="11"/>
        <color theme="1"/>
        <rFont val="Calibri"/>
        <family val="2"/>
        <scheme val="minor"/>
      </rPr>
      <t/>
    </r>
  </si>
  <si>
    <r>
      <rPr>
        <b/>
        <sz val="10"/>
        <color rgb="FF0000FF"/>
        <rFont val="Arial"/>
        <family val="2"/>
      </rPr>
      <t xml:space="preserve">N </t>
    </r>
    <r>
      <rPr>
        <b/>
        <sz val="10"/>
        <rFont val="Arial"/>
        <family val="2"/>
      </rPr>
      <t>2034</t>
    </r>
    <r>
      <rPr>
        <sz val="11"/>
        <color theme="1"/>
        <rFont val="Calibri"/>
        <family val="2"/>
        <scheme val="minor"/>
      </rPr>
      <t/>
    </r>
  </si>
  <si>
    <r>
      <rPr>
        <b/>
        <sz val="10"/>
        <color rgb="FF0000FF"/>
        <rFont val="Arial"/>
        <family val="2"/>
      </rPr>
      <t xml:space="preserve">N </t>
    </r>
    <r>
      <rPr>
        <b/>
        <sz val="10"/>
        <rFont val="Arial"/>
        <family val="2"/>
      </rPr>
      <t>2035</t>
    </r>
    <r>
      <rPr>
        <sz val="11"/>
        <color theme="1"/>
        <rFont val="Calibri"/>
        <family val="2"/>
        <scheme val="minor"/>
      </rPr>
      <t/>
    </r>
  </si>
  <si>
    <r>
      <rPr>
        <b/>
        <sz val="10"/>
        <color rgb="FF0000FF"/>
        <rFont val="Arial"/>
        <family val="2"/>
      </rPr>
      <t xml:space="preserve">N </t>
    </r>
    <r>
      <rPr>
        <b/>
        <sz val="10"/>
        <rFont val="Arial"/>
        <family val="2"/>
      </rPr>
      <t>2036</t>
    </r>
    <r>
      <rPr>
        <sz val="11"/>
        <color theme="1"/>
        <rFont val="Calibri"/>
        <family val="2"/>
        <scheme val="minor"/>
      </rPr>
      <t/>
    </r>
  </si>
  <si>
    <r>
      <rPr>
        <b/>
        <sz val="10"/>
        <color rgb="FF0000FF"/>
        <rFont val="Arial"/>
        <family val="2"/>
      </rPr>
      <t xml:space="preserve">N </t>
    </r>
    <r>
      <rPr>
        <b/>
        <sz val="10"/>
        <rFont val="Arial"/>
        <family val="2"/>
      </rPr>
      <t>2037</t>
    </r>
    <r>
      <rPr>
        <sz val="11"/>
        <color theme="1"/>
        <rFont val="Calibri"/>
        <family val="2"/>
        <scheme val="minor"/>
      </rPr>
      <t/>
    </r>
  </si>
  <si>
    <r>
      <rPr>
        <b/>
        <sz val="10"/>
        <color rgb="FF0000FF"/>
        <rFont val="Arial"/>
        <family val="2"/>
      </rPr>
      <t xml:space="preserve">N </t>
    </r>
    <r>
      <rPr>
        <b/>
        <sz val="10"/>
        <rFont val="Arial"/>
        <family val="2"/>
      </rPr>
      <t>2038</t>
    </r>
    <r>
      <rPr>
        <sz val="11"/>
        <color theme="1"/>
        <rFont val="Calibri"/>
        <family val="2"/>
        <scheme val="minor"/>
      </rPr>
      <t/>
    </r>
  </si>
  <si>
    <r>
      <rPr>
        <b/>
        <sz val="10"/>
        <color rgb="FF0000FF"/>
        <rFont val="Arial"/>
        <family val="2"/>
      </rPr>
      <t xml:space="preserve">N </t>
    </r>
    <r>
      <rPr>
        <b/>
        <sz val="10"/>
        <rFont val="Arial"/>
        <family val="2"/>
      </rPr>
      <t>2039</t>
    </r>
    <r>
      <rPr>
        <sz val="11"/>
        <color theme="1"/>
        <rFont val="Calibri"/>
        <family val="2"/>
        <scheme val="minor"/>
      </rPr>
      <t/>
    </r>
  </si>
  <si>
    <r>
      <rPr>
        <b/>
        <sz val="10"/>
        <color rgb="FF0000FF"/>
        <rFont val="Arial"/>
        <family val="2"/>
      </rPr>
      <t xml:space="preserve">N </t>
    </r>
    <r>
      <rPr>
        <b/>
        <sz val="10"/>
        <rFont val="Arial"/>
        <family val="2"/>
      </rPr>
      <t>2040</t>
    </r>
    <r>
      <rPr>
        <sz val="11"/>
        <color theme="1"/>
        <rFont val="Calibri"/>
        <family val="2"/>
        <scheme val="minor"/>
      </rPr>
      <t/>
    </r>
  </si>
  <si>
    <r>
      <rPr>
        <b/>
        <sz val="10"/>
        <color rgb="FF0000FF"/>
        <rFont val="Arial"/>
        <family val="2"/>
      </rPr>
      <t xml:space="preserve">N </t>
    </r>
    <r>
      <rPr>
        <b/>
        <sz val="10"/>
        <rFont val="Arial"/>
        <family val="2"/>
      </rPr>
      <t>2041</t>
    </r>
    <r>
      <rPr>
        <sz val="11"/>
        <color theme="1"/>
        <rFont val="Calibri"/>
        <family val="2"/>
        <scheme val="minor"/>
      </rPr>
      <t/>
    </r>
  </si>
  <si>
    <r>
      <rPr>
        <b/>
        <sz val="10"/>
        <color rgb="FF0000FF"/>
        <rFont val="Arial"/>
        <family val="2"/>
      </rPr>
      <t xml:space="preserve">N </t>
    </r>
    <r>
      <rPr>
        <b/>
        <sz val="10"/>
        <rFont val="Arial"/>
        <family val="2"/>
      </rPr>
      <t>2042</t>
    </r>
    <r>
      <rPr>
        <sz val="11"/>
        <color theme="1"/>
        <rFont val="Calibri"/>
        <family val="2"/>
        <scheme val="minor"/>
      </rPr>
      <t/>
    </r>
  </si>
  <si>
    <r>
      <rPr>
        <b/>
        <sz val="10"/>
        <color rgb="FF0000FF"/>
        <rFont val="Arial"/>
        <family val="2"/>
      </rPr>
      <t xml:space="preserve">N </t>
    </r>
    <r>
      <rPr>
        <b/>
        <sz val="10"/>
        <rFont val="Arial"/>
        <family val="2"/>
      </rPr>
      <t>2043</t>
    </r>
    <r>
      <rPr>
        <sz val="11"/>
        <color theme="1"/>
        <rFont val="Calibri"/>
        <family val="2"/>
        <scheme val="minor"/>
      </rPr>
      <t/>
    </r>
  </si>
  <si>
    <r>
      <rPr>
        <b/>
        <sz val="10"/>
        <color rgb="FF0000FF"/>
        <rFont val="Arial"/>
        <family val="2"/>
      </rPr>
      <t xml:space="preserve">N </t>
    </r>
    <r>
      <rPr>
        <b/>
        <sz val="10"/>
        <rFont val="Arial"/>
        <family val="2"/>
      </rPr>
      <t>2044</t>
    </r>
    <r>
      <rPr>
        <sz val="11"/>
        <color theme="1"/>
        <rFont val="Calibri"/>
        <family val="2"/>
        <scheme val="minor"/>
      </rPr>
      <t/>
    </r>
  </si>
  <si>
    <r>
      <rPr>
        <b/>
        <sz val="10"/>
        <color rgb="FF0000FF"/>
        <rFont val="Arial"/>
        <family val="2"/>
      </rPr>
      <t xml:space="preserve">N </t>
    </r>
    <r>
      <rPr>
        <b/>
        <sz val="10"/>
        <rFont val="Arial"/>
        <family val="2"/>
      </rPr>
      <t>2045</t>
    </r>
    <r>
      <rPr>
        <sz val="11"/>
        <color theme="1"/>
        <rFont val="Calibri"/>
        <family val="2"/>
        <scheme val="minor"/>
      </rPr>
      <t/>
    </r>
  </si>
  <si>
    <r>
      <rPr>
        <b/>
        <sz val="10"/>
        <color rgb="FF0000FF"/>
        <rFont val="Arial"/>
        <family val="2"/>
      </rPr>
      <t xml:space="preserve">N </t>
    </r>
    <r>
      <rPr>
        <b/>
        <sz val="10"/>
        <rFont val="Arial"/>
        <family val="2"/>
      </rPr>
      <t>2046</t>
    </r>
    <r>
      <rPr>
        <sz val="11"/>
        <color theme="1"/>
        <rFont val="Calibri"/>
        <family val="2"/>
        <scheme val="minor"/>
      </rPr>
      <t/>
    </r>
  </si>
  <si>
    <r>
      <rPr>
        <b/>
        <sz val="10"/>
        <color rgb="FF0000FF"/>
        <rFont val="Arial"/>
        <family val="2"/>
      </rPr>
      <t xml:space="preserve">N </t>
    </r>
    <r>
      <rPr>
        <b/>
        <sz val="10"/>
        <rFont val="Arial"/>
        <family val="2"/>
      </rPr>
      <t>2047</t>
    </r>
    <r>
      <rPr>
        <sz val="11"/>
        <color theme="1"/>
        <rFont val="Calibri"/>
        <family val="2"/>
        <scheme val="minor"/>
      </rPr>
      <t/>
    </r>
  </si>
  <si>
    <r>
      <rPr>
        <b/>
        <sz val="10"/>
        <color rgb="FF0000FF"/>
        <rFont val="Arial"/>
        <family val="2"/>
      </rPr>
      <t xml:space="preserve">N </t>
    </r>
    <r>
      <rPr>
        <b/>
        <sz val="10"/>
        <rFont val="Arial"/>
        <family val="2"/>
      </rPr>
      <t>2048</t>
    </r>
    <r>
      <rPr>
        <sz val="11"/>
        <color theme="1"/>
        <rFont val="Calibri"/>
        <family val="2"/>
        <scheme val="minor"/>
      </rPr>
      <t/>
    </r>
  </si>
  <si>
    <r>
      <rPr>
        <b/>
        <sz val="10"/>
        <color rgb="FF0000FF"/>
        <rFont val="Arial"/>
        <family val="2"/>
      </rPr>
      <t xml:space="preserve">N </t>
    </r>
    <r>
      <rPr>
        <b/>
        <sz val="10"/>
        <rFont val="Arial"/>
        <family val="2"/>
      </rPr>
      <t>2049</t>
    </r>
    <r>
      <rPr>
        <sz val="11"/>
        <color theme="1"/>
        <rFont val="Calibri"/>
        <family val="2"/>
        <scheme val="minor"/>
      </rPr>
      <t/>
    </r>
  </si>
  <si>
    <r>
      <rPr>
        <b/>
        <sz val="10"/>
        <color rgb="FF0000FF"/>
        <rFont val="Arial"/>
        <family val="2"/>
      </rPr>
      <t xml:space="preserve">N </t>
    </r>
    <r>
      <rPr>
        <b/>
        <sz val="10"/>
        <rFont val="Arial"/>
        <family val="2"/>
      </rPr>
      <t>2050</t>
    </r>
    <r>
      <rPr>
        <sz val="11"/>
        <color theme="1"/>
        <rFont val="Calibri"/>
        <family val="2"/>
        <scheme val="minor"/>
      </rPr>
      <t/>
    </r>
  </si>
  <si>
    <t>D000630360</t>
  </si>
  <si>
    <r>
      <rPr>
        <b/>
        <sz val="10"/>
        <color rgb="FF0000FF"/>
        <rFont val="Arial"/>
        <family val="2"/>
      </rPr>
      <t xml:space="preserve">N </t>
    </r>
    <r>
      <rPr>
        <b/>
        <sz val="10"/>
        <rFont val="Arial"/>
        <family val="2"/>
      </rPr>
      <t xml:space="preserve">1954 
</t>
    </r>
    <r>
      <rPr>
        <b/>
        <sz val="10"/>
        <color rgb="FF0000FF"/>
        <rFont val="Arial"/>
        <family val="2"/>
      </rPr>
      <t>Negotiated</t>
    </r>
    <r>
      <rPr>
        <b/>
        <sz val="10"/>
        <rFont val="Arial"/>
        <family val="2"/>
      </rPr>
      <t xml:space="preserve">
</t>
    </r>
    <r>
      <rPr>
        <i/>
        <sz val="10"/>
        <color rgb="FF0000FF"/>
        <rFont val="Arial"/>
        <family val="2"/>
      </rPr>
      <t xml:space="preserve">(Rev payment date to align with extn of lapse date </t>
    </r>
    <r>
      <rPr>
        <b/>
        <i/>
        <sz val="10"/>
        <color rgb="FF0000FF"/>
        <rFont val="Arial"/>
        <family val="2"/>
      </rPr>
      <t>Condition 65 = 18 January 2025)</t>
    </r>
  </si>
  <si>
    <r>
      <t xml:space="preserve">51988.63.02 (Change DNA108)
</t>
    </r>
    <r>
      <rPr>
        <b/>
        <sz val="10"/>
        <rFont val="Arial"/>
        <family val="2"/>
      </rPr>
      <t>STAGE 2</t>
    </r>
  </si>
  <si>
    <r>
      <rPr>
        <b/>
        <sz val="10"/>
        <color rgb="FF0000FF"/>
        <rFont val="Arial"/>
        <family val="2"/>
      </rPr>
      <t xml:space="preserve">N </t>
    </r>
    <r>
      <rPr>
        <b/>
        <sz val="10"/>
        <rFont val="Arial"/>
        <family val="2"/>
      </rPr>
      <t>1141
Stage 2</t>
    </r>
  </si>
  <si>
    <r>
      <rPr>
        <b/>
        <sz val="10"/>
        <color rgb="FF0000FF"/>
        <rFont val="Arial"/>
        <family val="2"/>
      </rPr>
      <t xml:space="preserve">N </t>
    </r>
    <r>
      <rPr>
        <b/>
        <sz val="10"/>
        <rFont val="Arial"/>
        <family val="2"/>
      </rPr>
      <t xml:space="preserve">1581
</t>
    </r>
    <r>
      <rPr>
        <sz val="10"/>
        <color rgb="FFFF0000"/>
        <rFont val="Arial"/>
        <family val="2"/>
      </rPr>
      <t>Looks completed from aerials but no building permit ?</t>
    </r>
  </si>
  <si>
    <t>20 topaz</t>
  </si>
  <si>
    <t>JUNE 2024
Total =</t>
  </si>
  <si>
    <t>D000631156</t>
  </si>
  <si>
    <t>D000631157</t>
  </si>
  <si>
    <t>Lot 1 RP 204163</t>
  </si>
  <si>
    <t>8 Acacia Lane
COOROY QLD 4563</t>
  </si>
  <si>
    <t>Building Work
Building Approvals United QLD
Permit Number: 24-4939</t>
  </si>
  <si>
    <t>D000632061</t>
  </si>
  <si>
    <t>D000632401</t>
  </si>
  <si>
    <r>
      <rPr>
        <b/>
        <sz val="10"/>
        <color rgb="FF0000FF"/>
        <rFont val="Arial"/>
        <family val="2"/>
      </rPr>
      <t xml:space="preserve">N </t>
    </r>
    <r>
      <rPr>
        <b/>
        <sz val="10"/>
        <rFont val="Arial"/>
        <family val="2"/>
      </rPr>
      <t xml:space="preserve">1729
</t>
    </r>
    <r>
      <rPr>
        <sz val="10"/>
        <color rgb="FFFF0000"/>
        <rFont val="Arial"/>
        <family val="2"/>
      </rPr>
      <t>requested to pay 13/06/2024</t>
    </r>
  </si>
  <si>
    <r>
      <rPr>
        <b/>
        <sz val="10"/>
        <color rgb="FF0000FF"/>
        <rFont val="Arial"/>
        <family val="2"/>
      </rPr>
      <t xml:space="preserve">N </t>
    </r>
    <r>
      <rPr>
        <b/>
        <sz val="10"/>
        <rFont val="Arial"/>
        <family val="2"/>
      </rPr>
      <t xml:space="preserve">1799
</t>
    </r>
    <r>
      <rPr>
        <i/>
        <sz val="10"/>
        <color rgb="FF0000FF"/>
        <rFont val="Arial"/>
        <family val="2"/>
      </rPr>
      <t xml:space="preserve">PC23/0187 </t>
    </r>
    <r>
      <rPr>
        <sz val="10"/>
        <color rgb="FF0000FF"/>
        <rFont val="Arial"/>
        <family val="2"/>
      </rPr>
      <t xml:space="preserve">Cert of Occ 17/11/2023
</t>
    </r>
    <r>
      <rPr>
        <b/>
        <sz val="10"/>
        <color rgb="FFFF0000"/>
        <rFont val="Arial"/>
        <family val="2"/>
      </rPr>
      <t xml:space="preserve">Use Commenced 20/05/2024
</t>
    </r>
    <r>
      <rPr>
        <b/>
        <sz val="12"/>
        <color rgb="FFFF0000"/>
        <rFont val="Arial"/>
        <family val="2"/>
      </rPr>
      <t>DUE 30 JUNE 2024</t>
    </r>
  </si>
  <si>
    <r>
      <rPr>
        <b/>
        <sz val="10"/>
        <color rgb="FF0000FF"/>
        <rFont val="Arial"/>
        <family val="2"/>
      </rPr>
      <t xml:space="preserve">N </t>
    </r>
    <r>
      <rPr>
        <b/>
        <sz val="10"/>
        <rFont val="Arial"/>
        <family val="2"/>
      </rPr>
      <t>1937</t>
    </r>
  </si>
  <si>
    <r>
      <rPr>
        <b/>
        <sz val="10"/>
        <color rgb="FF0000FF"/>
        <rFont val="Arial"/>
        <family val="2"/>
      </rPr>
      <t xml:space="preserve">N </t>
    </r>
    <r>
      <rPr>
        <b/>
        <sz val="10"/>
        <rFont val="Arial"/>
        <family val="2"/>
      </rPr>
      <t xml:space="preserve">1753
</t>
    </r>
    <r>
      <rPr>
        <i/>
        <sz val="10"/>
        <color rgb="FF0000FF"/>
        <rFont val="Arial"/>
        <family val="2"/>
      </rPr>
      <t>PC23/1099 issued</t>
    </r>
  </si>
  <si>
    <r>
      <rPr>
        <b/>
        <sz val="10"/>
        <color rgb="FF0000FF"/>
        <rFont val="Arial"/>
        <family val="2"/>
      </rPr>
      <t xml:space="preserve">N </t>
    </r>
    <r>
      <rPr>
        <b/>
        <sz val="10"/>
        <rFont val="Arial"/>
        <family val="2"/>
      </rPr>
      <t xml:space="preserve">1701
</t>
    </r>
    <r>
      <rPr>
        <i/>
        <sz val="10"/>
        <color rgb="FF0000FF"/>
        <rFont val="Arial"/>
        <family val="2"/>
      </rPr>
      <t xml:space="preserve">
PC22/0650 issued</t>
    </r>
  </si>
  <si>
    <r>
      <rPr>
        <b/>
        <sz val="10"/>
        <color rgb="FF0000FF"/>
        <rFont val="Arial"/>
        <family val="2"/>
      </rPr>
      <t xml:space="preserve">N </t>
    </r>
    <r>
      <rPr>
        <b/>
        <sz val="10"/>
        <rFont val="Arial"/>
        <family val="2"/>
      </rPr>
      <t xml:space="preserve">1700
</t>
    </r>
    <r>
      <rPr>
        <sz val="10"/>
        <color rgb="FF0000FF"/>
        <rFont val="Arial"/>
        <family val="2"/>
      </rPr>
      <t xml:space="preserve">
</t>
    </r>
    <r>
      <rPr>
        <i/>
        <sz val="10"/>
        <color rgb="FF0000FF"/>
        <rFont val="Arial"/>
        <family val="2"/>
      </rPr>
      <t>PC22/0942 issued</t>
    </r>
  </si>
  <si>
    <r>
      <rPr>
        <b/>
        <sz val="10"/>
        <color rgb="FF0000FF"/>
        <rFont val="Arial"/>
        <family val="2"/>
      </rPr>
      <t xml:space="preserve">N </t>
    </r>
    <r>
      <rPr>
        <b/>
        <sz val="10"/>
        <rFont val="Arial"/>
        <family val="2"/>
      </rPr>
      <t xml:space="preserve">1695
</t>
    </r>
    <r>
      <rPr>
        <i/>
        <sz val="10"/>
        <color rgb="FF0000FF"/>
        <rFont val="Arial"/>
        <family val="2"/>
      </rPr>
      <t>PC22/0299 issued</t>
    </r>
  </si>
  <si>
    <r>
      <rPr>
        <b/>
        <sz val="10"/>
        <color rgb="FF0000FF"/>
        <rFont val="Arial"/>
        <family val="2"/>
      </rPr>
      <t xml:space="preserve">N </t>
    </r>
    <r>
      <rPr>
        <b/>
        <sz val="10"/>
        <rFont val="Arial"/>
        <family val="2"/>
      </rPr>
      <t xml:space="preserve">1694
</t>
    </r>
    <r>
      <rPr>
        <i/>
        <sz val="10"/>
        <color rgb="FF0000FF"/>
        <rFont val="Arial"/>
        <family val="2"/>
      </rPr>
      <t xml:space="preserve">PC21/1187 issued
</t>
    </r>
  </si>
  <si>
    <r>
      <rPr>
        <b/>
        <sz val="10"/>
        <color rgb="FF0000FF"/>
        <rFont val="Arial"/>
        <family val="2"/>
      </rPr>
      <t xml:space="preserve">N </t>
    </r>
    <r>
      <rPr>
        <b/>
        <sz val="10"/>
        <rFont val="Arial"/>
        <family val="2"/>
      </rPr>
      <t xml:space="preserve">1584
</t>
    </r>
    <r>
      <rPr>
        <i/>
        <sz val="10"/>
        <color rgb="FF0000FF"/>
        <rFont val="Arial"/>
        <family val="2"/>
      </rPr>
      <t>PC21/0524 issued</t>
    </r>
  </si>
  <si>
    <r>
      <rPr>
        <b/>
        <sz val="10"/>
        <color rgb="FF0000FF"/>
        <rFont val="Arial"/>
        <family val="2"/>
      </rPr>
      <t xml:space="preserve">N </t>
    </r>
    <r>
      <rPr>
        <b/>
        <sz val="10"/>
        <rFont val="Arial"/>
        <family val="2"/>
      </rPr>
      <t xml:space="preserve">1763
</t>
    </r>
    <r>
      <rPr>
        <sz val="10"/>
        <color rgb="FF0000FF"/>
        <rFont val="Arial"/>
        <family val="2"/>
      </rPr>
      <t xml:space="preserve">
</t>
    </r>
    <r>
      <rPr>
        <sz val="10"/>
        <color rgb="FFFF0000"/>
        <rFont val="Arial"/>
        <family val="2"/>
      </rPr>
      <t>ONLY becomes payable following completion of future primary Detached House</t>
    </r>
  </si>
  <si>
    <r>
      <rPr>
        <b/>
        <sz val="10"/>
        <color rgb="FF0000FF"/>
        <rFont val="Arial"/>
        <family val="2"/>
      </rPr>
      <t xml:space="preserve">N </t>
    </r>
    <r>
      <rPr>
        <b/>
        <sz val="10"/>
        <rFont val="Arial"/>
        <family val="2"/>
      </rPr>
      <t xml:space="preserve">1788
</t>
    </r>
    <r>
      <rPr>
        <sz val="10"/>
        <color rgb="FFFF0000"/>
        <rFont val="Arial"/>
        <family val="2"/>
      </rPr>
      <t>ONLY becomes payable following completion of a future primary “detached house” on the property.</t>
    </r>
  </si>
  <si>
    <r>
      <rPr>
        <b/>
        <sz val="10"/>
        <color rgb="FF0000FF"/>
        <rFont val="Arial"/>
        <family val="2"/>
      </rPr>
      <t xml:space="preserve">N </t>
    </r>
    <r>
      <rPr>
        <b/>
        <sz val="10"/>
        <rFont val="Arial"/>
        <family val="2"/>
      </rPr>
      <t xml:space="preserve">1836
</t>
    </r>
    <r>
      <rPr>
        <i/>
        <sz val="10"/>
        <color rgb="FF0000FF"/>
        <rFont val="Arial"/>
        <family val="2"/>
      </rPr>
      <t>PC23/0466 issued</t>
    </r>
  </si>
  <si>
    <r>
      <rPr>
        <b/>
        <sz val="10"/>
        <color rgb="FF0000FF"/>
        <rFont val="Arial"/>
        <family val="2"/>
      </rPr>
      <t xml:space="preserve">N </t>
    </r>
    <r>
      <rPr>
        <b/>
        <sz val="10"/>
        <rFont val="Arial"/>
        <family val="2"/>
      </rPr>
      <t xml:space="preserve">1900
</t>
    </r>
    <r>
      <rPr>
        <i/>
        <sz val="10"/>
        <color rgb="FF0000FF"/>
        <rFont val="Arial"/>
        <family val="2"/>
      </rPr>
      <t>PC24/0146 issued</t>
    </r>
  </si>
  <si>
    <r>
      <rPr>
        <b/>
        <sz val="10"/>
        <color rgb="FF0000FF"/>
        <rFont val="Arial"/>
        <family val="2"/>
      </rPr>
      <t xml:space="preserve">N </t>
    </r>
    <r>
      <rPr>
        <b/>
        <sz val="10"/>
        <rFont val="Arial"/>
        <family val="2"/>
      </rPr>
      <t xml:space="preserve">1923
</t>
    </r>
    <r>
      <rPr>
        <i/>
        <sz val="10"/>
        <color rgb="FF0000FF"/>
        <rFont val="Arial"/>
        <family val="2"/>
      </rPr>
      <t>PC23/1039 issued</t>
    </r>
  </si>
  <si>
    <r>
      <rPr>
        <b/>
        <sz val="10"/>
        <color rgb="FF0000FF"/>
        <rFont val="Arial"/>
        <family val="2"/>
      </rPr>
      <t xml:space="preserve">N </t>
    </r>
    <r>
      <rPr>
        <b/>
        <sz val="10"/>
        <rFont val="Arial"/>
        <family val="2"/>
      </rPr>
      <t xml:space="preserve">1938
</t>
    </r>
    <r>
      <rPr>
        <sz val="10"/>
        <color rgb="FF0000FF"/>
        <rFont val="Arial"/>
        <family val="2"/>
      </rPr>
      <t xml:space="preserve">
PC24/0420 issued</t>
    </r>
  </si>
  <si>
    <r>
      <rPr>
        <b/>
        <sz val="10"/>
        <color rgb="FF0000FF"/>
        <rFont val="Arial"/>
        <family val="2"/>
      </rPr>
      <t xml:space="preserve">N </t>
    </r>
    <r>
      <rPr>
        <b/>
        <sz val="10"/>
        <rFont val="Arial"/>
        <family val="2"/>
      </rPr>
      <t xml:space="preserve">1920
</t>
    </r>
    <r>
      <rPr>
        <sz val="10"/>
        <color rgb="FF0000FF"/>
        <rFont val="Arial"/>
        <family val="2"/>
      </rPr>
      <t xml:space="preserve">
PC23/0912 issued</t>
    </r>
  </si>
  <si>
    <r>
      <rPr>
        <b/>
        <sz val="10"/>
        <color rgb="FF0000FF"/>
        <rFont val="Arial"/>
        <family val="2"/>
      </rPr>
      <t xml:space="preserve">N </t>
    </r>
    <r>
      <rPr>
        <b/>
        <sz val="10"/>
        <rFont val="Arial"/>
        <family val="2"/>
      </rPr>
      <t xml:space="preserve">1881
</t>
    </r>
    <r>
      <rPr>
        <i/>
        <sz val="10"/>
        <color rgb="FF0000FF"/>
        <rFont val="Arial"/>
        <family val="2"/>
      </rPr>
      <t xml:space="preserve">
PC24/0013 issued</t>
    </r>
  </si>
  <si>
    <r>
      <rPr>
        <b/>
        <sz val="10"/>
        <color rgb="FF0000FF"/>
        <rFont val="Arial"/>
        <family val="2"/>
      </rPr>
      <t xml:space="preserve">N </t>
    </r>
    <r>
      <rPr>
        <b/>
        <sz val="10"/>
        <rFont val="Arial"/>
        <family val="2"/>
      </rPr>
      <t xml:space="preserve">1876
</t>
    </r>
    <r>
      <rPr>
        <i/>
        <sz val="10"/>
        <color rgb="FF0000FF"/>
        <rFont val="Arial"/>
        <family val="2"/>
      </rPr>
      <t xml:space="preserve">
PC23/0676 issued</t>
    </r>
  </si>
  <si>
    <r>
      <rPr>
        <b/>
        <sz val="10"/>
        <color rgb="FF0000FF"/>
        <rFont val="Arial"/>
        <family val="2"/>
      </rPr>
      <t xml:space="preserve">N </t>
    </r>
    <r>
      <rPr>
        <b/>
        <sz val="10"/>
        <rFont val="Arial"/>
        <family val="2"/>
      </rPr>
      <t xml:space="preserve">1871
</t>
    </r>
    <r>
      <rPr>
        <i/>
        <sz val="10"/>
        <color rgb="FF0000FF"/>
        <rFont val="Arial"/>
        <family val="2"/>
      </rPr>
      <t xml:space="preserve">
PC22/1169 issued</t>
    </r>
  </si>
  <si>
    <r>
      <rPr>
        <b/>
        <sz val="10"/>
        <color rgb="FF0000FF"/>
        <rFont val="Arial"/>
        <family val="2"/>
      </rPr>
      <t xml:space="preserve">N </t>
    </r>
    <r>
      <rPr>
        <b/>
        <sz val="10"/>
        <rFont val="Arial"/>
        <family val="2"/>
      </rPr>
      <t xml:space="preserve">1869
</t>
    </r>
    <r>
      <rPr>
        <sz val="10"/>
        <color rgb="FF0000FF"/>
        <rFont val="Arial"/>
        <family val="2"/>
      </rPr>
      <t xml:space="preserve">
</t>
    </r>
    <r>
      <rPr>
        <i/>
        <sz val="10"/>
        <color rgb="FF0000FF"/>
        <rFont val="Arial"/>
        <family val="2"/>
      </rPr>
      <t>PC24/0395 issued</t>
    </r>
    <r>
      <rPr>
        <b/>
        <sz val="10"/>
        <rFont val="Arial"/>
        <family val="2"/>
      </rPr>
      <t xml:space="preserve">
</t>
    </r>
  </si>
  <si>
    <r>
      <rPr>
        <b/>
        <sz val="10"/>
        <color rgb="FF0000FF"/>
        <rFont val="Arial"/>
        <family val="2"/>
      </rPr>
      <t xml:space="preserve">N </t>
    </r>
    <r>
      <rPr>
        <b/>
        <sz val="10"/>
        <rFont val="Arial"/>
        <family val="2"/>
      </rPr>
      <t xml:space="preserve">1867
</t>
    </r>
    <r>
      <rPr>
        <i/>
        <sz val="10"/>
        <color rgb="FF0000FF"/>
        <rFont val="Arial"/>
        <family val="2"/>
      </rPr>
      <t xml:space="preserve">
PC23/1246 issued</t>
    </r>
  </si>
  <si>
    <r>
      <rPr>
        <b/>
        <sz val="10"/>
        <color rgb="FF0000FF"/>
        <rFont val="Arial"/>
        <family val="2"/>
      </rPr>
      <t xml:space="preserve">N </t>
    </r>
    <r>
      <rPr>
        <b/>
        <sz val="10"/>
        <rFont val="Arial"/>
        <family val="2"/>
      </rPr>
      <t xml:space="preserve">1859
</t>
    </r>
    <r>
      <rPr>
        <i/>
        <sz val="10"/>
        <color rgb="FF0000FF"/>
        <rFont val="Arial"/>
        <family val="2"/>
      </rPr>
      <t xml:space="preserve">
PC23/1066 issued</t>
    </r>
  </si>
  <si>
    <r>
      <rPr>
        <b/>
        <sz val="10"/>
        <color rgb="FF0000FF"/>
        <rFont val="Arial"/>
        <family val="2"/>
      </rPr>
      <t xml:space="preserve">N </t>
    </r>
    <r>
      <rPr>
        <b/>
        <sz val="10"/>
        <rFont val="Arial"/>
        <family val="2"/>
      </rPr>
      <t xml:space="preserve">1854
</t>
    </r>
    <r>
      <rPr>
        <i/>
        <sz val="10"/>
        <color rgb="FF0000FF"/>
        <rFont val="Arial"/>
        <family val="2"/>
      </rPr>
      <t xml:space="preserve">
PC23/0487 issued</t>
    </r>
  </si>
  <si>
    <r>
      <rPr>
        <b/>
        <sz val="10"/>
        <color rgb="FF0000FF"/>
        <rFont val="Arial"/>
        <family val="2"/>
      </rPr>
      <t xml:space="preserve">N </t>
    </r>
    <r>
      <rPr>
        <b/>
        <sz val="10"/>
        <rFont val="Arial"/>
        <family val="2"/>
      </rPr>
      <t xml:space="preserve">1849
</t>
    </r>
    <r>
      <rPr>
        <i/>
        <sz val="10"/>
        <color rgb="FF0000FF"/>
        <rFont val="Arial"/>
        <family val="2"/>
      </rPr>
      <t xml:space="preserve">
PC23/0643 issued</t>
    </r>
  </si>
  <si>
    <r>
      <rPr>
        <b/>
        <sz val="10"/>
        <color rgb="FF0000FF"/>
        <rFont val="Arial"/>
        <family val="2"/>
      </rPr>
      <t xml:space="preserve">N </t>
    </r>
    <r>
      <rPr>
        <b/>
        <sz val="10"/>
        <rFont val="Arial"/>
        <family val="2"/>
      </rPr>
      <t xml:space="preserve">1846
</t>
    </r>
    <r>
      <rPr>
        <i/>
        <sz val="10"/>
        <color rgb="FF0000FF"/>
        <rFont val="Arial"/>
        <family val="2"/>
      </rPr>
      <t xml:space="preserve">
PC23/0465 issued</t>
    </r>
  </si>
  <si>
    <r>
      <rPr>
        <b/>
        <sz val="10"/>
        <color rgb="FF0000FF"/>
        <rFont val="Arial"/>
        <family val="2"/>
      </rPr>
      <t xml:space="preserve">N </t>
    </r>
    <r>
      <rPr>
        <b/>
        <sz val="10"/>
        <rFont val="Arial"/>
        <family val="2"/>
      </rPr>
      <t xml:space="preserve">1832
</t>
    </r>
    <r>
      <rPr>
        <i/>
        <sz val="10"/>
        <color rgb="FF0000FF"/>
        <rFont val="Arial"/>
        <family val="2"/>
      </rPr>
      <t xml:space="preserve">
PC23/0467 issued</t>
    </r>
  </si>
  <si>
    <r>
      <rPr>
        <b/>
        <sz val="10"/>
        <color rgb="FF0000FF"/>
        <rFont val="Arial"/>
        <family val="2"/>
      </rPr>
      <t xml:space="preserve">N </t>
    </r>
    <r>
      <rPr>
        <b/>
        <sz val="10"/>
        <rFont val="Arial"/>
        <family val="2"/>
      </rPr>
      <t xml:space="preserve">1829
</t>
    </r>
    <r>
      <rPr>
        <i/>
        <sz val="10"/>
        <color rgb="FF0000FF"/>
        <rFont val="Arial"/>
        <family val="2"/>
      </rPr>
      <t xml:space="preserve">
PC23/0743 issued</t>
    </r>
  </si>
  <si>
    <r>
      <rPr>
        <b/>
        <sz val="10"/>
        <color rgb="FF0000FF"/>
        <rFont val="Arial"/>
        <family val="2"/>
      </rPr>
      <t xml:space="preserve">N </t>
    </r>
    <r>
      <rPr>
        <b/>
        <sz val="10"/>
        <rFont val="Arial"/>
        <family val="2"/>
      </rPr>
      <t xml:space="preserve">1826
</t>
    </r>
    <r>
      <rPr>
        <sz val="10"/>
        <color rgb="FF0000FF"/>
        <rFont val="Arial"/>
        <family val="2"/>
      </rPr>
      <t xml:space="preserve">
PC22/0956 issued</t>
    </r>
  </si>
  <si>
    <r>
      <rPr>
        <b/>
        <sz val="10"/>
        <color rgb="FF0000FF"/>
        <rFont val="Arial"/>
        <family val="2"/>
      </rPr>
      <t xml:space="preserve">N </t>
    </r>
    <r>
      <rPr>
        <b/>
        <sz val="10"/>
        <rFont val="Arial"/>
        <family val="2"/>
      </rPr>
      <t xml:space="preserve">1807
</t>
    </r>
    <r>
      <rPr>
        <i/>
        <sz val="10"/>
        <color rgb="FF0000FF"/>
        <rFont val="Arial"/>
        <family val="2"/>
      </rPr>
      <t xml:space="preserve">
PC22/0202 issued</t>
    </r>
  </si>
  <si>
    <r>
      <rPr>
        <b/>
        <sz val="10"/>
        <color rgb="FF0000FF"/>
        <rFont val="Arial"/>
        <family val="2"/>
      </rPr>
      <t xml:space="preserve">N </t>
    </r>
    <r>
      <rPr>
        <b/>
        <sz val="10"/>
        <rFont val="Arial"/>
        <family val="2"/>
      </rPr>
      <t xml:space="preserve">1805
</t>
    </r>
    <r>
      <rPr>
        <i/>
        <sz val="10"/>
        <color rgb="FF0000FF"/>
        <rFont val="Arial"/>
        <family val="2"/>
      </rPr>
      <t xml:space="preserve">
PC22/0880 issued</t>
    </r>
  </si>
  <si>
    <r>
      <rPr>
        <b/>
        <sz val="10"/>
        <color rgb="FF0000FF"/>
        <rFont val="Arial"/>
        <family val="2"/>
      </rPr>
      <t xml:space="preserve">N </t>
    </r>
    <r>
      <rPr>
        <b/>
        <sz val="10"/>
        <rFont val="Arial"/>
        <family val="2"/>
      </rPr>
      <t xml:space="preserve">1804
</t>
    </r>
    <r>
      <rPr>
        <i/>
        <sz val="10"/>
        <color rgb="FF0000FF"/>
        <rFont val="Arial"/>
        <family val="2"/>
      </rPr>
      <t xml:space="preserve">
PC23/0147 issued</t>
    </r>
    <r>
      <rPr>
        <b/>
        <sz val="10"/>
        <rFont val="Arial"/>
        <family val="2"/>
      </rPr>
      <t xml:space="preserve">
</t>
    </r>
    <r>
      <rPr>
        <b/>
        <sz val="10"/>
        <color rgb="FFFF0000"/>
        <rFont val="Arial"/>
        <family val="2"/>
      </rPr>
      <t>Completed ??</t>
    </r>
  </si>
  <si>
    <r>
      <rPr>
        <b/>
        <sz val="10"/>
        <color rgb="FF0000FF"/>
        <rFont val="Arial"/>
        <family val="2"/>
      </rPr>
      <t xml:space="preserve">N </t>
    </r>
    <r>
      <rPr>
        <b/>
        <sz val="10"/>
        <rFont val="Arial"/>
        <family val="2"/>
      </rPr>
      <t xml:space="preserve">1796
</t>
    </r>
    <r>
      <rPr>
        <sz val="10"/>
        <color rgb="FF0000FF"/>
        <rFont val="Arial"/>
        <family val="2"/>
      </rPr>
      <t xml:space="preserve">
PC23/0397</t>
    </r>
    <r>
      <rPr>
        <i/>
        <sz val="10"/>
        <color rgb="FF0000FF"/>
        <rFont val="Arial"/>
        <family val="2"/>
      </rPr>
      <t xml:space="preserve"> issued</t>
    </r>
  </si>
  <si>
    <r>
      <rPr>
        <b/>
        <sz val="10"/>
        <color rgb="FF0000FF"/>
        <rFont val="Arial"/>
        <family val="2"/>
      </rPr>
      <t xml:space="preserve">N </t>
    </r>
    <r>
      <rPr>
        <b/>
        <sz val="10"/>
        <rFont val="Arial"/>
        <family val="2"/>
      </rPr>
      <t xml:space="preserve">1789
</t>
    </r>
    <r>
      <rPr>
        <i/>
        <sz val="10"/>
        <color rgb="FF0000FF"/>
        <rFont val="Arial"/>
        <family val="2"/>
      </rPr>
      <t xml:space="preserve">
PC23/0623 issued</t>
    </r>
  </si>
  <si>
    <r>
      <rPr>
        <b/>
        <sz val="10"/>
        <color rgb="FF0000FF"/>
        <rFont val="Arial"/>
        <family val="2"/>
      </rPr>
      <t xml:space="preserve">N </t>
    </r>
    <r>
      <rPr>
        <b/>
        <sz val="10"/>
        <rFont val="Arial"/>
        <family val="2"/>
      </rPr>
      <t xml:space="preserve">1761
</t>
    </r>
    <r>
      <rPr>
        <i/>
        <sz val="10"/>
        <color rgb="FF0000FF"/>
        <rFont val="Arial"/>
        <family val="2"/>
      </rPr>
      <t xml:space="preserve">
PC23/0645 issued</t>
    </r>
  </si>
  <si>
    <r>
      <rPr>
        <b/>
        <sz val="10"/>
        <color rgb="FF0000FF"/>
        <rFont val="Arial"/>
        <family val="2"/>
      </rPr>
      <t xml:space="preserve">N </t>
    </r>
    <r>
      <rPr>
        <b/>
        <sz val="10"/>
        <rFont val="Arial"/>
        <family val="2"/>
      </rPr>
      <t xml:space="preserve">1757
</t>
    </r>
    <r>
      <rPr>
        <b/>
        <sz val="10"/>
        <color rgb="FF0000FF"/>
        <rFont val="Arial"/>
        <family val="2"/>
      </rPr>
      <t>Negotiated</t>
    </r>
    <r>
      <rPr>
        <b/>
        <sz val="10"/>
        <rFont val="Arial"/>
        <family val="2"/>
      </rPr>
      <t xml:space="preserve">
</t>
    </r>
    <r>
      <rPr>
        <i/>
        <sz val="10"/>
        <color rgb="FF0000FF"/>
        <rFont val="Arial"/>
        <family val="2"/>
      </rPr>
      <t xml:space="preserve">
PC24/0010 issued</t>
    </r>
  </si>
  <si>
    <r>
      <rPr>
        <b/>
        <sz val="10"/>
        <color rgb="FF0000FF"/>
        <rFont val="Arial"/>
        <family val="2"/>
      </rPr>
      <t xml:space="preserve">N </t>
    </r>
    <r>
      <rPr>
        <b/>
        <sz val="10"/>
        <rFont val="Arial"/>
        <family val="2"/>
      </rPr>
      <t xml:space="preserve">1752
</t>
    </r>
    <r>
      <rPr>
        <i/>
        <sz val="10"/>
        <color rgb="FF0000FF"/>
        <rFont val="Arial"/>
        <family val="2"/>
      </rPr>
      <t xml:space="preserve">
PC23/1256 issued</t>
    </r>
  </si>
  <si>
    <r>
      <rPr>
        <b/>
        <sz val="10"/>
        <color rgb="FF0000FF"/>
        <rFont val="Arial"/>
        <family val="2"/>
      </rPr>
      <t xml:space="preserve">N </t>
    </r>
    <r>
      <rPr>
        <b/>
        <sz val="10"/>
        <rFont val="Arial"/>
        <family val="2"/>
      </rPr>
      <t xml:space="preserve">1743
</t>
    </r>
    <r>
      <rPr>
        <sz val="10"/>
        <color rgb="FF0000FF"/>
        <rFont val="Arial"/>
        <family val="2"/>
      </rPr>
      <t xml:space="preserve">
</t>
    </r>
    <r>
      <rPr>
        <i/>
        <sz val="10"/>
        <color rgb="FF0000FF"/>
        <rFont val="Arial"/>
        <family val="2"/>
      </rPr>
      <t>PC22/0907 issued</t>
    </r>
  </si>
  <si>
    <r>
      <rPr>
        <b/>
        <sz val="10"/>
        <color rgb="FF0000FF"/>
        <rFont val="Arial"/>
        <family val="2"/>
      </rPr>
      <t xml:space="preserve">N </t>
    </r>
    <r>
      <rPr>
        <b/>
        <sz val="10"/>
        <rFont val="Arial"/>
        <family val="2"/>
      </rPr>
      <t xml:space="preserve">1712
</t>
    </r>
    <r>
      <rPr>
        <i/>
        <sz val="10"/>
        <color rgb="FF0000FF"/>
        <rFont val="Arial"/>
        <family val="2"/>
      </rPr>
      <t xml:space="preserve">
PC24/0017 issued</t>
    </r>
  </si>
  <si>
    <r>
      <rPr>
        <b/>
        <sz val="10"/>
        <color rgb="FF0000FF"/>
        <rFont val="Arial"/>
        <family val="2"/>
      </rPr>
      <t xml:space="preserve">N </t>
    </r>
    <r>
      <rPr>
        <b/>
        <sz val="10"/>
        <rFont val="Arial"/>
        <family val="2"/>
      </rPr>
      <t xml:space="preserve">1711
</t>
    </r>
    <r>
      <rPr>
        <i/>
        <sz val="10"/>
        <color rgb="FF0000FF"/>
        <rFont val="Arial"/>
        <family val="2"/>
      </rPr>
      <t xml:space="preserve">
PC22/0300 Finalised but 
</t>
    </r>
    <r>
      <rPr>
        <i/>
        <sz val="10"/>
        <color rgb="FFFF0000"/>
        <rFont val="Arial"/>
        <family val="2"/>
      </rPr>
      <t>IC payable on completion of new dwelling per MCU23/0013 &amp; PC23/1340</t>
    </r>
  </si>
  <si>
    <r>
      <rPr>
        <b/>
        <sz val="10"/>
        <color rgb="FF0000FF"/>
        <rFont val="Arial"/>
        <family val="2"/>
      </rPr>
      <t xml:space="preserve">N </t>
    </r>
    <r>
      <rPr>
        <b/>
        <sz val="10"/>
        <rFont val="Arial"/>
        <family val="2"/>
      </rPr>
      <t xml:space="preserve">1709
Stage 2
</t>
    </r>
    <r>
      <rPr>
        <sz val="10"/>
        <color rgb="FF0000FF"/>
        <rFont val="Arial"/>
        <family val="2"/>
      </rPr>
      <t xml:space="preserve">
PC23/0262 issued</t>
    </r>
  </si>
  <si>
    <r>
      <rPr>
        <b/>
        <sz val="10"/>
        <color rgb="FF0000FF"/>
        <rFont val="Arial"/>
        <family val="2"/>
      </rPr>
      <t xml:space="preserve">N </t>
    </r>
    <r>
      <rPr>
        <b/>
        <sz val="10"/>
        <rFont val="Arial"/>
        <family val="2"/>
      </rPr>
      <t xml:space="preserve">1693
</t>
    </r>
    <r>
      <rPr>
        <sz val="10"/>
        <color rgb="FF0000FF"/>
        <rFont val="Arial"/>
        <family val="2"/>
      </rPr>
      <t xml:space="preserve">
PC22/0572 Final inspect 23/03/2023
</t>
    </r>
    <r>
      <rPr>
        <sz val="10"/>
        <color rgb="FFFF0000"/>
        <rFont val="Arial"/>
        <family val="2"/>
      </rPr>
      <t>Due date for Payment amended to: "on completion of a future new primary dwelling house on the property"</t>
    </r>
  </si>
  <si>
    <r>
      <rPr>
        <b/>
        <sz val="10"/>
        <color rgb="FF0000FF"/>
        <rFont val="Arial"/>
        <family val="2"/>
      </rPr>
      <t xml:space="preserve">N </t>
    </r>
    <r>
      <rPr>
        <b/>
        <sz val="10"/>
        <rFont val="Arial"/>
        <family val="2"/>
      </rPr>
      <t xml:space="preserve">1691
</t>
    </r>
    <r>
      <rPr>
        <i/>
        <sz val="10"/>
        <color rgb="FF0000FF"/>
        <rFont val="Arial"/>
        <family val="2"/>
      </rPr>
      <t xml:space="preserve">
PC23/0314 Primary dwelling house issued 29/06/2023
</t>
    </r>
  </si>
  <si>
    <r>
      <rPr>
        <b/>
        <sz val="10"/>
        <color rgb="FF0000FF"/>
        <rFont val="Arial"/>
        <family val="2"/>
      </rPr>
      <t xml:space="preserve">N </t>
    </r>
    <r>
      <rPr>
        <b/>
        <sz val="10"/>
        <rFont val="Arial"/>
        <family val="2"/>
      </rPr>
      <t xml:space="preserve">1638
</t>
    </r>
    <r>
      <rPr>
        <i/>
        <sz val="10"/>
        <color rgb="FF0000FF"/>
        <rFont val="Arial"/>
        <family val="2"/>
      </rPr>
      <t xml:space="preserve">
PC20/0998 Secondary dwelling Final Inspection 12/12/2023
</t>
    </r>
    <r>
      <rPr>
        <i/>
        <sz val="10"/>
        <color rgb="FFFF0000"/>
        <rFont val="Arial"/>
        <family val="2"/>
      </rPr>
      <t>BUT only payable on completion of primary house PC22/1044</t>
    </r>
  </si>
  <si>
    <r>
      <rPr>
        <b/>
        <sz val="10"/>
        <color rgb="FF0000FF"/>
        <rFont val="Arial"/>
        <family val="2"/>
      </rPr>
      <t xml:space="preserve">N </t>
    </r>
    <r>
      <rPr>
        <b/>
        <sz val="10"/>
        <rFont val="Arial"/>
        <family val="2"/>
      </rPr>
      <t xml:space="preserve">1625
</t>
    </r>
    <r>
      <rPr>
        <sz val="10"/>
        <color rgb="FFFF0000"/>
        <rFont val="Arial"/>
        <family val="2"/>
      </rPr>
      <t xml:space="preserve">
Alternative PC22/0674 issued for dwelling house only &amp;
22/03/2023 Aerials appear constructed
</t>
    </r>
  </si>
  <si>
    <r>
      <rPr>
        <b/>
        <sz val="10"/>
        <color rgb="FF0000FF"/>
        <rFont val="Arial"/>
        <family val="2"/>
      </rPr>
      <t xml:space="preserve">N </t>
    </r>
    <r>
      <rPr>
        <b/>
        <sz val="10"/>
        <rFont val="Arial"/>
        <family val="2"/>
      </rPr>
      <t xml:space="preserve">1566
</t>
    </r>
    <r>
      <rPr>
        <i/>
        <sz val="10"/>
        <color rgb="FF0000FF"/>
        <rFont val="Arial"/>
        <family val="2"/>
      </rPr>
      <t>PC21/0078 NOE</t>
    </r>
    <r>
      <rPr>
        <b/>
        <i/>
        <sz val="10"/>
        <rFont val="Arial"/>
        <family val="2"/>
      </rPr>
      <t xml:space="preserve">
</t>
    </r>
    <r>
      <rPr>
        <b/>
        <i/>
        <sz val="10"/>
        <color rgb="FFFF0000"/>
        <rFont val="Arial"/>
        <family val="2"/>
      </rPr>
      <t>PC23/0092 Finalised 8/06/2023</t>
    </r>
  </si>
  <si>
    <r>
      <rPr>
        <b/>
        <sz val="10"/>
        <color rgb="FF0000FF"/>
        <rFont val="Arial"/>
        <family val="2"/>
      </rPr>
      <t xml:space="preserve">N </t>
    </r>
    <r>
      <rPr>
        <b/>
        <sz val="10"/>
        <rFont val="Arial"/>
        <family val="2"/>
      </rPr>
      <t xml:space="preserve">1482
</t>
    </r>
    <r>
      <rPr>
        <sz val="10"/>
        <color rgb="FF0000FF"/>
        <rFont val="Arial"/>
        <family val="2"/>
      </rPr>
      <t xml:space="preserve">
</t>
    </r>
    <r>
      <rPr>
        <sz val="10"/>
        <color rgb="FFFF0000"/>
        <rFont val="Arial"/>
        <family val="2"/>
      </rPr>
      <t>ONLY becomes payable following completion of future primary Detached House</t>
    </r>
  </si>
  <si>
    <r>
      <rPr>
        <b/>
        <sz val="10"/>
        <color rgb="FF0000FF"/>
        <rFont val="Arial"/>
        <family val="2"/>
      </rPr>
      <t xml:space="preserve">N </t>
    </r>
    <r>
      <rPr>
        <b/>
        <sz val="10"/>
        <rFont val="Arial"/>
        <family val="2"/>
      </rPr>
      <t xml:space="preserve">1374
</t>
    </r>
    <r>
      <rPr>
        <sz val="10"/>
        <color rgb="FF0000FF"/>
        <rFont val="Arial"/>
        <family val="2"/>
      </rPr>
      <t xml:space="preserve">
</t>
    </r>
    <r>
      <rPr>
        <i/>
        <sz val="10"/>
        <color rgb="FF0000FF"/>
        <rFont val="Arial"/>
        <family val="2"/>
      </rPr>
      <t xml:space="preserve">PC21/1470 issued </t>
    </r>
  </si>
  <si>
    <r>
      <rPr>
        <b/>
        <sz val="10"/>
        <color rgb="FF0000FF"/>
        <rFont val="Arial"/>
        <family val="2"/>
      </rPr>
      <t xml:space="preserve">N </t>
    </r>
    <r>
      <rPr>
        <b/>
        <sz val="10"/>
        <rFont val="Arial"/>
        <family val="2"/>
      </rPr>
      <t xml:space="preserve">1344
</t>
    </r>
    <r>
      <rPr>
        <b/>
        <sz val="10"/>
        <color rgb="FF0000FF"/>
        <rFont val="Arial"/>
        <family val="2"/>
      </rPr>
      <t xml:space="preserve">Amended 
</t>
    </r>
    <r>
      <rPr>
        <sz val="10"/>
        <color rgb="FFFF0000"/>
        <rFont val="Arial"/>
        <family val="2"/>
      </rPr>
      <t xml:space="preserve">Final inpection Certificate issued 29/03/2021 </t>
    </r>
    <r>
      <rPr>
        <b/>
        <sz val="10"/>
        <color rgb="FF0000FF"/>
        <rFont val="Arial"/>
        <family val="2"/>
      </rPr>
      <t xml:space="preserve">
</t>
    </r>
    <r>
      <rPr>
        <b/>
        <i/>
        <u/>
        <sz val="10"/>
        <color rgb="FFFF0000"/>
        <rFont val="Arial"/>
        <family val="2"/>
      </rPr>
      <t>ONLY</t>
    </r>
    <r>
      <rPr>
        <b/>
        <i/>
        <sz val="10"/>
        <color rgb="FFFF0000"/>
        <rFont val="Arial"/>
        <family val="2"/>
      </rPr>
      <t xml:space="preserve"> </t>
    </r>
    <r>
      <rPr>
        <i/>
        <sz val="10"/>
        <color rgb="FFFF0000"/>
        <rFont val="Arial"/>
        <family val="2"/>
      </rPr>
      <t>becomes payable following completion of future primary Detached House</t>
    </r>
  </si>
  <si>
    <r>
      <rPr>
        <b/>
        <sz val="10"/>
        <color rgb="FF0000FF"/>
        <rFont val="Arial"/>
        <family val="2"/>
      </rPr>
      <t xml:space="preserve">N </t>
    </r>
    <r>
      <rPr>
        <b/>
        <sz val="10"/>
        <rFont val="Arial"/>
        <family val="2"/>
      </rPr>
      <t xml:space="preserve">1837 
</t>
    </r>
    <r>
      <rPr>
        <sz val="10"/>
        <color rgb="FF0000FF"/>
        <rFont val="Arial"/>
        <family val="2"/>
      </rPr>
      <t>Negotiated</t>
    </r>
    <r>
      <rPr>
        <b/>
        <sz val="10"/>
        <rFont val="Arial"/>
        <family val="2"/>
      </rPr>
      <t xml:space="preserve">
</t>
    </r>
    <r>
      <rPr>
        <i/>
        <sz val="10"/>
        <color rgb="FF0000FF"/>
        <rFont val="Arial"/>
        <family val="2"/>
      </rPr>
      <t xml:space="preserve">
PC24/0408 issued</t>
    </r>
  </si>
  <si>
    <t>D000632782</t>
  </si>
  <si>
    <t>PC23/0287
Approved 6/06/2024
Received &amp; Registered: 7/06/2024</t>
  </si>
  <si>
    <t>PC24/0312
Approved: 22/05/2024
Received &amp; Registered: 29/05/2024</t>
  </si>
  <si>
    <t>Adela Bismark</t>
  </si>
  <si>
    <t>17 Tedford Drive
TEWANTIN QLD 4565</t>
  </si>
  <si>
    <t>Lot 245 SP 111785</t>
  </si>
  <si>
    <t>PC24/0318
Approved: 11/03/2024
Received &amp; Registered: 3/06/2024</t>
  </si>
  <si>
    <t>Building Works
JDBA Certifiers
Permit Number: 240090</t>
  </si>
  <si>
    <t>Building Works
Northshore Building Approvals
Permit Number: 23-030</t>
  </si>
  <si>
    <t>Lot 3 SP 334549</t>
  </si>
  <si>
    <t>2 Livistona Drive
DOONAN QLD 4562</t>
  </si>
  <si>
    <t>22 River Lily Court
COOROIBAH QLD 4565</t>
  </si>
  <si>
    <t>Building Works
Cornerstone Building Certification
Permit Number: 00008490</t>
  </si>
  <si>
    <t>PC24/0438
Approved: 5/06/2024
Received &amp; Approved: 7/06/2024</t>
  </si>
  <si>
    <t>PO Box 70
PETRIE QLD 4502</t>
  </si>
  <si>
    <t>Lot 7 GTP 1104</t>
  </si>
  <si>
    <t>Farne Court
7/5 Farne Court 
TEWANTIN QLD 4565</t>
  </si>
  <si>
    <t>Paid by credit card</t>
  </si>
  <si>
    <t>CC Payment 177549</t>
  </si>
  <si>
    <r>
      <rPr>
        <b/>
        <sz val="10"/>
        <color rgb="FF0000FF"/>
        <rFont val="Arial"/>
        <family val="2"/>
      </rPr>
      <t xml:space="preserve">N </t>
    </r>
    <r>
      <rPr>
        <b/>
        <sz val="10"/>
        <rFont val="Arial"/>
        <family val="2"/>
      </rPr>
      <t xml:space="preserve">1723
</t>
    </r>
    <r>
      <rPr>
        <sz val="10"/>
        <color rgb="FFFF0000"/>
        <rFont val="Arial"/>
        <family val="2"/>
      </rPr>
      <t xml:space="preserve">Final Inspection Cert  06/10/2023
</t>
    </r>
    <r>
      <rPr>
        <b/>
        <sz val="10"/>
        <color rgb="FFFF0000"/>
        <rFont val="Arial"/>
        <family val="2"/>
      </rPr>
      <t>CANCELLED on review</t>
    </r>
  </si>
  <si>
    <t>Cancelled on review that Studio is not a secondary dwelling</t>
  </si>
  <si>
    <r>
      <rPr>
        <b/>
        <sz val="10"/>
        <color rgb="FF0000FF"/>
        <rFont val="Arial"/>
        <family val="2"/>
      </rPr>
      <t xml:space="preserve">N </t>
    </r>
    <r>
      <rPr>
        <b/>
        <sz val="10"/>
        <rFont val="Arial"/>
        <family val="2"/>
      </rPr>
      <t xml:space="preserve">1425
</t>
    </r>
    <r>
      <rPr>
        <sz val="10"/>
        <color rgb="FFFF0000"/>
        <rFont val="Arial"/>
        <family val="2"/>
      </rPr>
      <t>Alternative PC21/0624 &amp; N1723  re Dwelling house &amp; Studio completed 6/10/2023</t>
    </r>
  </si>
  <si>
    <t>PC24/0410
Approved: 23/05/2024
Received &amp; Registered: 10/06/2024</t>
  </si>
  <si>
    <t>Building Work
Custom Building Approvals
Permit Number: 00012149</t>
  </si>
  <si>
    <t>PO Box 135
GOLDEN BEACH QLD 4551</t>
  </si>
  <si>
    <t>Lot 32 RP 200341</t>
  </si>
  <si>
    <t>12 Tea Tree Lane
TINBEERWAH QLD 4563</t>
  </si>
  <si>
    <t>PC24/0432
Approved: 3/06/2024
Received &amp; Registered: 10/06/2024</t>
  </si>
  <si>
    <t>Building Work
Pure Building Approvals
Permit Number: 20240242</t>
  </si>
  <si>
    <t>Recom Building</t>
  </si>
  <si>
    <t>88 Atkinson Road
BLI BLI QLD 4560</t>
  </si>
  <si>
    <t>Lot 186 RP 48113</t>
  </si>
  <si>
    <t>19 Elanda Street
SUNSHINE BEACH QLD 4567</t>
  </si>
  <si>
    <t>D000633653</t>
  </si>
  <si>
    <t>D000633847</t>
  </si>
  <si>
    <t>D000633918</t>
  </si>
  <si>
    <r>
      <rPr>
        <b/>
        <sz val="10"/>
        <color rgb="FF0000FF"/>
        <rFont val="Arial"/>
        <family val="2"/>
      </rPr>
      <t xml:space="preserve">N </t>
    </r>
    <r>
      <rPr>
        <b/>
        <sz val="10"/>
        <rFont val="Arial"/>
        <family val="2"/>
      </rPr>
      <t xml:space="preserve">1843
</t>
    </r>
    <r>
      <rPr>
        <sz val="10"/>
        <color rgb="FFFF0000"/>
        <rFont val="Arial"/>
        <family val="2"/>
      </rPr>
      <t xml:space="preserve">PC23/0553 Final Cert 10/06/2024
</t>
    </r>
    <r>
      <rPr>
        <b/>
        <sz val="12"/>
        <color rgb="FFFF0000"/>
        <rFont val="Arial"/>
        <family val="2"/>
      </rPr>
      <t>DUE 22 JULY</t>
    </r>
  </si>
  <si>
    <r>
      <rPr>
        <b/>
        <sz val="10"/>
        <color rgb="FF0000FF"/>
        <rFont val="Arial"/>
        <family val="2"/>
      </rPr>
      <t xml:space="preserve">N </t>
    </r>
    <r>
      <rPr>
        <b/>
        <sz val="10"/>
        <rFont val="Arial"/>
        <family val="2"/>
      </rPr>
      <t xml:space="preserve">1835
</t>
    </r>
    <r>
      <rPr>
        <sz val="10"/>
        <color rgb="FF0000FF"/>
        <rFont val="Arial"/>
        <family val="2"/>
      </rPr>
      <t xml:space="preserve">PC23/0762 issued for Mezzanine Final Cert 21/06/2024
</t>
    </r>
    <r>
      <rPr>
        <b/>
        <sz val="12"/>
        <color rgb="FFFF0000"/>
        <rFont val="Arial"/>
        <family val="2"/>
      </rPr>
      <t>DUE 25 JULY</t>
    </r>
  </si>
  <si>
    <t>D000634276</t>
  </si>
  <si>
    <r>
      <rPr>
        <b/>
        <sz val="10"/>
        <color rgb="FF0000FF"/>
        <rFont val="Arial"/>
        <family val="2"/>
      </rPr>
      <t xml:space="preserve">N </t>
    </r>
    <r>
      <rPr>
        <b/>
        <sz val="10"/>
        <rFont val="Arial"/>
        <family val="2"/>
      </rPr>
      <t xml:space="preserve">1376
</t>
    </r>
    <r>
      <rPr>
        <b/>
        <sz val="10"/>
        <color rgb="FFFF0000"/>
        <rFont val="Arial"/>
        <family val="2"/>
      </rPr>
      <t>Replaced by new approval MCU22/0144 &amp; IC-N1849</t>
    </r>
  </si>
  <si>
    <t>Replaced by new approval MCU22/0144 &amp; IC-N1849</t>
  </si>
  <si>
    <t>MCU16/0070.01
Approved: 20/06/2024
Issued: 26/05/2024</t>
  </si>
  <si>
    <t>PJ Serfontein TTE &amp; CB O'Donnell TTE</t>
  </si>
  <si>
    <t xml:space="preserve">Lot 1 RP 64833 </t>
  </si>
  <si>
    <t>69 Mary St, 
Noosaville QLD 4566</t>
  </si>
  <si>
    <t>Veterinary Service = 183 m2 gfa</t>
  </si>
  <si>
    <t>Veterinary Service = 240 m2 gfa
No change to existing impervious area</t>
  </si>
  <si>
    <t>MCU16/0070.01</t>
  </si>
  <si>
    <r>
      <rPr>
        <b/>
        <sz val="10"/>
        <color rgb="FF0000FF"/>
        <rFont val="Arial"/>
        <family val="2"/>
      </rPr>
      <t xml:space="preserve">N </t>
    </r>
    <r>
      <rPr>
        <b/>
        <sz val="10"/>
        <rFont val="Arial"/>
        <family val="2"/>
      </rPr>
      <t xml:space="preserve">1994
</t>
    </r>
    <r>
      <rPr>
        <b/>
        <sz val="10"/>
        <color rgb="FF0000FF"/>
        <rFont val="Arial"/>
        <family val="2"/>
      </rPr>
      <t>+
IA 130 carparking</t>
    </r>
  </si>
  <si>
    <r>
      <t xml:space="preserve">IA 130
</t>
    </r>
    <r>
      <rPr>
        <sz val="8"/>
        <color rgb="FFFF0000"/>
        <rFont val="Arial"/>
        <family val="2"/>
      </rPr>
      <t xml:space="preserve">+
</t>
    </r>
    <r>
      <rPr>
        <b/>
        <sz val="8"/>
        <color rgb="FFFF0000"/>
        <rFont val="Arial"/>
        <family val="2"/>
      </rPr>
      <t>ICN.N1994</t>
    </r>
  </si>
  <si>
    <t>1 carparking spaces in Lieu
2023-2024 financial year
@ CPI March 2023</t>
  </si>
  <si>
    <t>n/a Minor Change</t>
  </si>
  <si>
    <r>
      <rPr>
        <strike/>
        <sz val="10"/>
        <rFont val="Arial"/>
        <family val="2"/>
      </rPr>
      <t>12/11/2021</t>
    </r>
    <r>
      <rPr>
        <sz val="10"/>
        <rFont val="Arial"/>
        <family val="2"/>
      </rPr>
      <t xml:space="preserve">
</t>
    </r>
    <r>
      <rPr>
        <sz val="10"/>
        <color rgb="FF0000FF"/>
        <rFont val="Arial"/>
        <family val="2"/>
      </rPr>
      <t>XX/06/2024</t>
    </r>
  </si>
  <si>
    <r>
      <t>NSC CR (No.</t>
    </r>
    <r>
      <rPr>
        <strike/>
        <sz val="10"/>
        <rFont val="Arial"/>
        <family val="2"/>
      </rPr>
      <t>6</t>
    </r>
    <r>
      <rPr>
        <sz val="10"/>
        <color rgb="FF0000FF"/>
        <rFont val="Arial"/>
        <family val="2"/>
      </rPr>
      <t xml:space="preserve"> 7</t>
    </r>
    <r>
      <rPr>
        <sz val="10"/>
        <rFont val="Arial"/>
        <family val="2"/>
      </rPr>
      <t>)</t>
    </r>
  </si>
  <si>
    <r>
      <t xml:space="preserve">Planning Reg </t>
    </r>
    <r>
      <rPr>
        <strike/>
        <sz val="10"/>
        <rFont val="Arial"/>
        <family val="2"/>
      </rPr>
      <t>2021-2022</t>
    </r>
    <r>
      <rPr>
        <b/>
        <sz val="10"/>
        <rFont val="Arial"/>
        <family val="2"/>
      </rPr>
      <t xml:space="preserve">
</t>
    </r>
    <r>
      <rPr>
        <b/>
        <sz val="10"/>
        <color rgb="FF0000FF"/>
        <rFont val="Arial"/>
        <family val="2"/>
      </rPr>
      <t>2023-2024</t>
    </r>
  </si>
  <si>
    <r>
      <rPr>
        <strike/>
        <sz val="10"/>
        <rFont val="Arial"/>
        <family val="2"/>
      </rPr>
      <t>MCU21/0117</t>
    </r>
    <r>
      <rPr>
        <sz val="10"/>
        <rFont val="Arial"/>
        <family val="2"/>
      </rPr>
      <t xml:space="preserve">
</t>
    </r>
    <r>
      <rPr>
        <sz val="10"/>
        <color rgb="FF0000FF"/>
        <rFont val="Arial"/>
        <family val="2"/>
      </rPr>
      <t>MCU21/0117.01</t>
    </r>
    <r>
      <rPr>
        <sz val="10"/>
        <rFont val="Arial"/>
        <family val="2"/>
      </rPr>
      <t xml:space="preserve">
Approved: </t>
    </r>
    <r>
      <rPr>
        <strike/>
        <sz val="10"/>
        <color rgb="FF0000FF"/>
        <rFont val="Arial"/>
        <family val="2"/>
      </rPr>
      <t>8/11/2021</t>
    </r>
    <r>
      <rPr>
        <sz val="10"/>
        <rFont val="Arial"/>
        <family val="2"/>
      </rPr>
      <t xml:space="preserve">
Issued: </t>
    </r>
    <r>
      <rPr>
        <strike/>
        <sz val="10"/>
        <color rgb="FF0000FF"/>
        <rFont val="Arial"/>
        <family val="2"/>
      </rPr>
      <t>10/11/2021</t>
    </r>
  </si>
  <si>
    <r>
      <rPr>
        <b/>
        <sz val="10"/>
        <color rgb="FF0000FF"/>
        <rFont val="Arial"/>
        <family val="2"/>
      </rPr>
      <t xml:space="preserve">N </t>
    </r>
    <r>
      <rPr>
        <b/>
        <sz val="10"/>
        <rFont val="Arial"/>
        <family val="2"/>
      </rPr>
      <t xml:space="preserve">1847
</t>
    </r>
    <r>
      <rPr>
        <sz val="10"/>
        <color rgb="FFFF0000"/>
        <rFont val="Arial"/>
        <family val="2"/>
      </rPr>
      <t xml:space="preserve">Final Insp Cert 4/06/2024
</t>
    </r>
  </si>
  <si>
    <t xml:space="preserve"> D000634569</t>
  </si>
  <si>
    <r>
      <rPr>
        <b/>
        <sz val="10"/>
        <color rgb="FF0000FF"/>
        <rFont val="Arial"/>
        <family val="2"/>
      </rPr>
      <t xml:space="preserve">N </t>
    </r>
    <r>
      <rPr>
        <b/>
        <sz val="10"/>
        <rFont val="Arial"/>
        <family val="2"/>
      </rPr>
      <t xml:space="preserve">1973
</t>
    </r>
    <r>
      <rPr>
        <b/>
        <sz val="10"/>
        <color rgb="FFFF0000"/>
        <rFont val="Arial"/>
        <family val="2"/>
      </rPr>
      <t>CANCELLED on 27/06/2024 on review of representations</t>
    </r>
  </si>
  <si>
    <t>CANCELLED on 27/06/2024 on review of representations</t>
  </si>
  <si>
    <t>CC Receipt
D000634595</t>
  </si>
  <si>
    <t>v310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</si>
</sst>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8" formatCode="&quot;$&quot;#,##0.00;[Red]\-&quot;$&quot;#,##0.00"/>
    <numFmt numFmtId="44" formatCode="_-&quot;$&quot;* #,##0.00_-;\-&quot;$&quot;* #,##0.00_-;_-&quot;$&quot;* &quot;-&quot;??_-;_-@_-"/>
    <numFmt numFmtId="43" formatCode="_-* #,##0.00_-;\-* #,##0.00_-;_-* &quot;-&quot;??_-;_-@_-"/>
    <numFmt numFmtId="164" formatCode="&quot;$&quot;#,##0.00"/>
    <numFmt numFmtId="165" formatCode="mmm\-yyyy"/>
    <numFmt numFmtId="166" formatCode="d\-mmm\-yyyy"/>
    <numFmt numFmtId="167" formatCode="0.0"/>
    <numFmt numFmtId="168" formatCode="#,##0.0_ ;\-#,##0.0\ "/>
    <numFmt numFmtId="169" formatCode="_-* #,##0_-;\-* #,##0_-;_-* &quot;-&quot;??_-;_-@_-"/>
    <numFmt numFmtId="170" formatCode="#,##0_ ;\-#,##0\ "/>
    <numFmt numFmtId="171" formatCode="&quot;$&quot;#,##0"/>
    <numFmt numFmtId="172" formatCode="#,##0.00_ ;[Red]\-#,##0.00\ "/>
    <numFmt numFmtId="173" formatCode="d/mm/yyyy;@"/>
    <numFmt numFmtId="174" formatCode="_-&quot;$&quot;* #,##0_-;\-&quot;$&quot;* #,##0_-;_-&quot;$&quot;* &quot;-&quot;??_-;_-@_-"/>
    <numFmt numFmtId="176" formatCode="[$-C09]dd\-mmmm\-yyyy;@"/>
    <numFmt numFmtId="177" formatCode="0.000"/>
    <numFmt numFmtId="178" formatCode="0.0000"/>
    <numFmt numFmtId="179" formatCode="_-* #,##0.0000_-;\-* #,##0.0000_-;_-* &quot;-&quot;??_-;_-@_-"/>
    <numFmt numFmtId="180" formatCode="0.00000"/>
    <numFmt numFmtId="181" formatCode="_-* #,##0.00000_-;\-* #,##0.00000_-;_-* &quot;-&quot;??_-;_-@_-"/>
    <numFmt numFmtId="182" formatCode="_-* #,##0.000000_-;\-* #,##0.000000_-;_-* &quot;-&quot;??_-;_-@_-"/>
    <numFmt numFmtId="183" formatCode="0.000%"/>
    <numFmt numFmtId="184" formatCode="[$-C09]d\ mmmm\ yyyy;@"/>
  </numFmts>
  <fonts count="122">
    <font>
      <sz val="10"/>
      <name val="Arial"/>
    </font>
    <font>
      <sz val="10"/>
      <color theme="1"/>
      <name val="Arial"/>
      <family val="2"/>
    </font>
    <font>
      <sz val="11"/>
      <color theme="1"/>
      <name val="Calibri"/>
      <family val="2"/>
      <scheme val="minor"/>
    </font>
    <font>
      <sz val="10"/>
      <color theme="1"/>
      <name val="Arial"/>
      <family val="2"/>
    </font>
    <font>
      <sz val="10"/>
      <color theme="1"/>
      <name val="Arial"/>
      <family val="2"/>
    </font>
    <font>
      <sz val="10"/>
      <name val="Arial"/>
      <family val="2"/>
    </font>
    <font>
      <b/>
      <sz val="8"/>
      <name val="Arial"/>
      <family val="2"/>
    </font>
    <font>
      <sz val="8"/>
      <name val="Arial"/>
      <family val="2"/>
    </font>
    <font>
      <sz val="8"/>
      <color indexed="10"/>
      <name val="Arial"/>
      <family val="2"/>
    </font>
    <font>
      <b/>
      <sz val="8"/>
      <color indexed="10"/>
      <name val="Arial"/>
      <family val="2"/>
    </font>
    <font>
      <b/>
      <sz val="8"/>
      <color indexed="12"/>
      <name val="Arial"/>
      <family val="2"/>
    </font>
    <font>
      <sz val="8"/>
      <color indexed="12"/>
      <name val="Arial"/>
      <family val="2"/>
    </font>
    <font>
      <strike/>
      <sz val="8"/>
      <name val="Arial"/>
      <family val="2"/>
    </font>
    <font>
      <b/>
      <strike/>
      <sz val="8"/>
      <name val="Arial"/>
      <family val="2"/>
    </font>
    <font>
      <b/>
      <sz val="10"/>
      <name val="Arial"/>
      <family val="2"/>
    </font>
    <font>
      <sz val="10"/>
      <name val="Arial"/>
      <family val="2"/>
    </font>
    <font>
      <u/>
      <sz val="8"/>
      <name val="Arial"/>
      <family val="2"/>
    </font>
    <font>
      <i/>
      <sz val="8"/>
      <color indexed="12"/>
      <name val="Arial"/>
      <family val="2"/>
    </font>
    <font>
      <i/>
      <sz val="7"/>
      <name val="Arial"/>
      <family val="2"/>
    </font>
    <font>
      <sz val="8"/>
      <name val="Arial"/>
      <family val="2"/>
    </font>
    <font>
      <b/>
      <sz val="12"/>
      <name val="Arial"/>
      <family val="2"/>
    </font>
    <font>
      <sz val="6"/>
      <color indexed="10"/>
      <name val="Arial"/>
      <family val="2"/>
    </font>
    <font>
      <sz val="6"/>
      <name val="Arial"/>
      <family val="2"/>
    </font>
    <font>
      <b/>
      <sz val="8"/>
      <color rgb="FFFF0000"/>
      <name val="Arial"/>
      <family val="2"/>
    </font>
    <font>
      <sz val="8"/>
      <color rgb="FFFF0000"/>
      <name val="Arial"/>
      <family val="2"/>
    </font>
    <font>
      <sz val="8"/>
      <color rgb="FF0000FF"/>
      <name val="Arial"/>
      <family val="2"/>
    </font>
    <font>
      <b/>
      <sz val="8"/>
      <color rgb="FF0000FF"/>
      <name val="Arial"/>
      <family val="2"/>
    </font>
    <font>
      <b/>
      <i/>
      <sz val="8"/>
      <color rgb="FFFF0000"/>
      <name val="Arial"/>
      <family val="2"/>
    </font>
    <font>
      <b/>
      <sz val="10"/>
      <color rgb="FF0000FF"/>
      <name val="Arial"/>
      <family val="2"/>
    </font>
    <font>
      <b/>
      <sz val="10"/>
      <color rgb="FFFF0000"/>
      <name val="Arial"/>
      <family val="2"/>
    </font>
    <font>
      <b/>
      <strike/>
      <sz val="8"/>
      <color rgb="FF0000FF"/>
      <name val="Arial"/>
      <family val="2"/>
    </font>
    <font>
      <sz val="6"/>
      <color rgb="FF0000FF"/>
      <name val="Arial"/>
      <family val="2"/>
    </font>
    <font>
      <sz val="10"/>
      <color rgb="FFFF0000"/>
      <name val="Arial"/>
      <family val="2"/>
    </font>
    <font>
      <sz val="10"/>
      <color rgb="FF0000FF"/>
      <name val="Arial"/>
      <family val="2"/>
    </font>
    <font>
      <sz val="10"/>
      <name val="MS Sans Serif"/>
      <family val="2"/>
    </font>
    <font>
      <b/>
      <sz val="10"/>
      <color indexed="12"/>
      <name val="Arial"/>
      <family val="2"/>
    </font>
    <font>
      <b/>
      <sz val="14"/>
      <name val="Arial"/>
      <family val="2"/>
    </font>
    <font>
      <strike/>
      <sz val="10"/>
      <color rgb="FFFF0000"/>
      <name val="Arial"/>
      <family val="2"/>
    </font>
    <font>
      <b/>
      <u/>
      <sz val="8"/>
      <color rgb="FF0000FF"/>
      <name val="Arial"/>
      <family val="2"/>
    </font>
    <font>
      <b/>
      <sz val="9"/>
      <color rgb="FFFF0000"/>
      <name val="Arial"/>
      <family val="2"/>
    </font>
    <font>
      <strike/>
      <sz val="8"/>
      <color rgb="FF0000FF"/>
      <name val="Arial"/>
      <family val="2"/>
    </font>
    <font>
      <i/>
      <sz val="6"/>
      <color rgb="FF0000FF"/>
      <name val="Arial"/>
      <family val="2"/>
    </font>
    <font>
      <b/>
      <i/>
      <sz val="8"/>
      <color rgb="FF0000FF"/>
      <name val="Arial"/>
      <family val="2"/>
    </font>
    <font>
      <b/>
      <sz val="12"/>
      <color rgb="FFFF0000"/>
      <name val="Arial"/>
      <family val="2"/>
    </font>
    <font>
      <strike/>
      <sz val="10"/>
      <name val="Arial"/>
      <family val="2"/>
    </font>
    <font>
      <sz val="9"/>
      <color rgb="FF0000FF"/>
      <name val="Arial"/>
      <family val="2"/>
    </font>
    <font>
      <sz val="9"/>
      <color rgb="FFFF0000"/>
      <name val="Arial"/>
      <family val="2"/>
    </font>
    <font>
      <i/>
      <sz val="8"/>
      <color rgb="FFFF0000"/>
      <name val="Arial"/>
      <family val="2"/>
    </font>
    <font>
      <sz val="10"/>
      <color indexed="10"/>
      <name val="Arial"/>
      <family val="2"/>
    </font>
    <font>
      <u/>
      <sz val="8"/>
      <color rgb="FF0000FF"/>
      <name val="Arial"/>
      <family val="2"/>
    </font>
    <font>
      <b/>
      <sz val="20"/>
      <color rgb="FF0000FF"/>
      <name val="Arial"/>
      <family val="2"/>
    </font>
    <font>
      <sz val="20"/>
      <name val="Arial"/>
      <family val="2"/>
    </font>
    <font>
      <b/>
      <sz val="20"/>
      <name val="Arial"/>
      <family val="2"/>
    </font>
    <font>
      <b/>
      <sz val="9"/>
      <color rgb="FF0000FF"/>
      <name val="Arial"/>
      <family val="2"/>
    </font>
    <font>
      <i/>
      <sz val="10"/>
      <name val="Arial"/>
      <family val="2"/>
    </font>
    <font>
      <b/>
      <strike/>
      <sz val="10"/>
      <name val="Arial"/>
      <family val="2"/>
    </font>
    <font>
      <u/>
      <sz val="10"/>
      <color rgb="FF0000FF"/>
      <name val="Arial"/>
      <family val="2"/>
    </font>
    <font>
      <b/>
      <u/>
      <sz val="10"/>
      <color rgb="FF0000FF"/>
      <name val="Arial"/>
      <family val="2"/>
    </font>
    <font>
      <i/>
      <sz val="8"/>
      <color rgb="FF0000FF"/>
      <name val="Arial"/>
      <family val="2"/>
    </font>
    <font>
      <i/>
      <sz val="10"/>
      <color rgb="FFFF0000"/>
      <name val="Arial"/>
      <family val="2"/>
    </font>
    <font>
      <i/>
      <sz val="10"/>
      <color rgb="FF0000FF"/>
      <name val="Arial"/>
      <family val="2"/>
    </font>
    <font>
      <i/>
      <u/>
      <sz val="10"/>
      <color rgb="FF0000FF"/>
      <name val="Arial"/>
      <family val="2"/>
    </font>
    <font>
      <strike/>
      <sz val="10"/>
      <color rgb="FF0000FF"/>
      <name val="Arial"/>
      <family val="2"/>
    </font>
    <font>
      <u/>
      <sz val="10"/>
      <name val="Arial"/>
      <family val="2"/>
    </font>
    <font>
      <b/>
      <strike/>
      <u/>
      <sz val="10"/>
      <color rgb="FFFF0000"/>
      <name val="Arial"/>
      <family val="2"/>
    </font>
    <font>
      <sz val="7"/>
      <color rgb="FF0000FF"/>
      <name val="Arial"/>
      <family val="2"/>
    </font>
    <font>
      <b/>
      <i/>
      <sz val="9"/>
      <color rgb="FFFF0000"/>
      <name val="Arial"/>
      <family val="2"/>
    </font>
    <font>
      <b/>
      <u/>
      <sz val="8"/>
      <color rgb="FFFF0000"/>
      <name val="Arial"/>
      <family val="2"/>
    </font>
    <font>
      <b/>
      <sz val="12"/>
      <color rgb="FF0000FF"/>
      <name val="Arial"/>
      <family val="2"/>
    </font>
    <font>
      <b/>
      <i/>
      <sz val="12"/>
      <color rgb="FFFF0000"/>
      <name val="Arial"/>
      <family val="2"/>
    </font>
    <font>
      <b/>
      <i/>
      <u/>
      <sz val="12"/>
      <color rgb="FFFF0000"/>
      <name val="Arial"/>
      <family val="2"/>
    </font>
    <font>
      <sz val="12"/>
      <name val="Arial"/>
      <family val="2"/>
    </font>
    <font>
      <sz val="12"/>
      <color rgb="FF0000FF"/>
      <name val="Arial"/>
      <family val="2"/>
    </font>
    <font>
      <sz val="12"/>
      <color rgb="FFFF0000"/>
      <name val="Arial"/>
      <family val="2"/>
    </font>
    <font>
      <b/>
      <i/>
      <sz val="12"/>
      <color rgb="FF0000FF"/>
      <name val="Arial"/>
      <family val="2"/>
    </font>
    <font>
      <b/>
      <i/>
      <sz val="10"/>
      <color rgb="FF0000FF"/>
      <name val="Arial"/>
      <family val="2"/>
    </font>
    <font>
      <b/>
      <i/>
      <sz val="8"/>
      <name val="Arial"/>
      <family val="2"/>
    </font>
    <font>
      <u/>
      <sz val="10"/>
      <color rgb="FFFF0000"/>
      <name val="Arial"/>
      <family val="2"/>
    </font>
    <font>
      <b/>
      <i/>
      <sz val="10"/>
      <color rgb="FFFF0000"/>
      <name val="Arial"/>
      <family val="2"/>
    </font>
    <font>
      <b/>
      <u/>
      <sz val="10"/>
      <color rgb="FFFF0000"/>
      <name val="Arial"/>
      <family val="2"/>
    </font>
    <font>
      <b/>
      <sz val="12"/>
      <color rgb="FF0000FF"/>
      <name val="Arial Black"/>
      <family val="2"/>
    </font>
    <font>
      <sz val="12"/>
      <color rgb="FF0000FF"/>
      <name val="Arial Black"/>
      <family val="2"/>
    </font>
    <font>
      <b/>
      <strike/>
      <sz val="10"/>
      <color rgb="FFFF0000"/>
      <name val="Arial"/>
      <family val="2"/>
    </font>
    <font>
      <b/>
      <u/>
      <sz val="12"/>
      <color rgb="FF0000FF"/>
      <name val="Arial Black"/>
      <family val="2"/>
    </font>
    <font>
      <b/>
      <sz val="10"/>
      <name val="Arial Black"/>
      <family val="2"/>
    </font>
    <font>
      <b/>
      <sz val="11"/>
      <name val="Arial"/>
      <family val="2"/>
    </font>
    <font>
      <b/>
      <sz val="11"/>
      <color rgb="FF0000FF"/>
      <name val="Arial"/>
      <family val="2"/>
    </font>
    <font>
      <b/>
      <sz val="11"/>
      <color rgb="FFFF0000"/>
      <name val="Arial"/>
      <family val="2"/>
    </font>
    <font>
      <i/>
      <sz val="12"/>
      <color rgb="FFFF0000"/>
      <name val="Arial"/>
      <family val="2"/>
    </font>
    <font>
      <sz val="10"/>
      <color rgb="FFFF5050"/>
      <name val="Arial"/>
      <family val="2"/>
    </font>
    <font>
      <strike/>
      <sz val="10"/>
      <color rgb="FFFF5050"/>
      <name val="Arial"/>
      <family val="2"/>
    </font>
    <font>
      <b/>
      <sz val="10"/>
      <color rgb="FFFF5050"/>
      <name val="Arial"/>
      <family val="2"/>
    </font>
    <font>
      <strike/>
      <sz val="9"/>
      <color rgb="FFFF0000"/>
      <name val="Arial"/>
      <family val="2"/>
    </font>
    <font>
      <b/>
      <sz val="10"/>
      <color rgb="FFFF0000"/>
      <name val="Arial Black"/>
      <family val="2"/>
    </font>
    <font>
      <b/>
      <i/>
      <u/>
      <sz val="10"/>
      <color rgb="FFFF0000"/>
      <name val="Arial Black"/>
      <family val="2"/>
    </font>
    <font>
      <b/>
      <sz val="12"/>
      <name val="Arial Black"/>
      <family val="2"/>
    </font>
    <font>
      <sz val="12"/>
      <name val="Arial Black"/>
      <family val="2"/>
    </font>
    <font>
      <sz val="10"/>
      <name val="Arial"/>
      <family val="2"/>
    </font>
    <font>
      <b/>
      <u/>
      <sz val="14"/>
      <color theme="1"/>
      <name val="Arial"/>
      <family val="2"/>
    </font>
    <font>
      <sz val="11"/>
      <color theme="1"/>
      <name val="Arial"/>
      <family val="2"/>
    </font>
    <font>
      <b/>
      <sz val="11"/>
      <color theme="1"/>
      <name val="Arial"/>
      <family val="2"/>
    </font>
    <font>
      <sz val="12"/>
      <color theme="1"/>
      <name val="Arial"/>
      <family val="2"/>
    </font>
    <font>
      <sz val="11"/>
      <name val="Arial"/>
      <family val="2"/>
    </font>
    <font>
      <sz val="10"/>
      <color rgb="FF0000FF"/>
      <name val="Calibri"/>
      <family val="2"/>
      <scheme val="minor"/>
    </font>
    <font>
      <u/>
      <sz val="11"/>
      <color theme="10"/>
      <name val="Calibri"/>
      <family val="2"/>
      <scheme val="minor"/>
    </font>
    <font>
      <u/>
      <sz val="11"/>
      <color rgb="FF0000FF"/>
      <name val="Calibri"/>
      <family val="2"/>
      <scheme val="minor"/>
    </font>
    <font>
      <sz val="11"/>
      <color rgb="FF0000FF"/>
      <name val="Arial"/>
      <family val="2"/>
    </font>
    <font>
      <b/>
      <u/>
      <sz val="12"/>
      <name val="Arial"/>
      <family val="2"/>
    </font>
    <font>
      <u/>
      <sz val="11"/>
      <name val="Arial"/>
      <family val="2"/>
    </font>
    <font>
      <i/>
      <sz val="11"/>
      <color theme="1"/>
      <name val="Arial"/>
      <family val="2"/>
    </font>
    <font>
      <u/>
      <sz val="8"/>
      <color rgb="FFFF0000"/>
      <name val="Arial"/>
      <family val="2"/>
    </font>
    <font>
      <sz val="9"/>
      <color indexed="81"/>
      <name val="Tahoma"/>
      <family val="2"/>
    </font>
    <font>
      <b/>
      <sz val="9"/>
      <color indexed="81"/>
      <name val="Tahoma"/>
      <family val="2"/>
    </font>
    <font>
      <strike/>
      <sz val="8"/>
      <color rgb="FFFF0000"/>
      <name val="Arial"/>
      <family val="2"/>
    </font>
    <font>
      <b/>
      <strike/>
      <sz val="10"/>
      <color rgb="FF0000FF"/>
      <name val="Arial"/>
      <family val="2"/>
    </font>
    <font>
      <sz val="8"/>
      <name val="Arial"/>
      <family val="2"/>
    </font>
    <font>
      <u/>
      <sz val="10"/>
      <color rgb="FFFF5050"/>
      <name val="Arial"/>
      <family val="2"/>
    </font>
    <font>
      <sz val="11"/>
      <color rgb="FFFF0000"/>
      <name val="Arial"/>
      <family val="2"/>
    </font>
    <font>
      <sz val="7"/>
      <name val="Arial"/>
      <family val="2"/>
    </font>
    <font>
      <sz val="7"/>
      <color rgb="FFFF0000"/>
      <name val="Arial"/>
      <family val="2"/>
    </font>
    <font>
      <b/>
      <i/>
      <sz val="10"/>
      <name val="Arial"/>
      <family val="2"/>
    </font>
    <font>
      <b/>
      <i/>
      <u/>
      <sz val="10"/>
      <color rgb="FFFF0000"/>
      <name val="Arial"/>
      <family val="2"/>
    </font>
  </fonts>
  <fills count="30">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15"/>
        <bgColor indexed="64"/>
      </patternFill>
    </fill>
    <fill>
      <patternFill patternType="solid">
        <fgColor indexed="44"/>
        <bgColor indexed="64"/>
      </patternFill>
    </fill>
    <fill>
      <patternFill patternType="solid">
        <fgColor rgb="FFBFFCBA"/>
        <bgColor indexed="64"/>
      </patternFill>
    </fill>
    <fill>
      <patternFill patternType="solid">
        <fgColor rgb="FFFF0000"/>
        <bgColor indexed="64"/>
      </patternFill>
    </fill>
    <fill>
      <patternFill patternType="solid">
        <fgColor rgb="FFFFFF00"/>
        <bgColor indexed="64"/>
      </patternFill>
    </fill>
    <fill>
      <patternFill patternType="solid">
        <fgColor rgb="FFFF99CC"/>
        <bgColor indexed="64"/>
      </patternFill>
    </fill>
    <fill>
      <patternFill patternType="solid">
        <fgColor rgb="FF00FFFF"/>
        <bgColor indexed="64"/>
      </patternFill>
    </fill>
    <fill>
      <patternFill patternType="solid">
        <fgColor rgb="FFFFFF99"/>
        <bgColor indexed="64"/>
      </patternFill>
    </fill>
    <fill>
      <patternFill patternType="solid">
        <fgColor rgb="FF00FF00"/>
        <bgColor indexed="64"/>
      </patternFill>
    </fill>
    <fill>
      <patternFill patternType="solid">
        <fgColor rgb="FFFFC000"/>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
      <patternFill patternType="solid">
        <fgColor theme="9" tint="0.59999389629810485"/>
        <bgColor indexed="64"/>
      </patternFill>
    </fill>
    <fill>
      <patternFill patternType="solid">
        <fgColor rgb="FF99FF66"/>
        <bgColor indexed="64"/>
      </patternFill>
    </fill>
    <fill>
      <patternFill patternType="solid">
        <fgColor rgb="FFFF99FF"/>
        <bgColor indexed="64"/>
      </patternFill>
    </fill>
    <fill>
      <patternFill patternType="solid">
        <fgColor theme="9" tint="0.39997558519241921"/>
        <bgColor indexed="64"/>
      </patternFill>
    </fill>
    <fill>
      <patternFill patternType="solid">
        <fgColor rgb="FFFFFFCC"/>
        <bgColor indexed="64"/>
      </patternFill>
    </fill>
    <fill>
      <patternFill patternType="solid">
        <fgColor theme="1"/>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66FF3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CCFF"/>
        <bgColor indexed="64"/>
      </patternFill>
    </fill>
    <fill>
      <patternFill patternType="solid">
        <fgColor rgb="FFFF66CC"/>
        <bgColor indexed="64"/>
      </patternFill>
    </fill>
  </fills>
  <borders count="497">
    <border>
      <left/>
      <right/>
      <top/>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top/>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indexed="64"/>
      </right>
      <top style="thin">
        <color indexed="64"/>
      </top>
      <bottom style="medium">
        <color indexed="64"/>
      </bottom>
      <diagonal/>
    </border>
    <border>
      <left style="thin">
        <color auto="1"/>
      </left>
      <right style="medium">
        <color indexed="64"/>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auto="1"/>
      </left>
      <right style="medium">
        <color indexed="64"/>
      </right>
      <top style="thin">
        <color auto="1"/>
      </top>
      <bottom style="medium">
        <color indexed="64"/>
      </bottom>
      <diagonal/>
    </border>
    <border>
      <left style="thin">
        <color auto="1"/>
      </left>
      <right style="thin">
        <color indexed="64"/>
      </right>
      <top style="thin">
        <color auto="1"/>
      </top>
      <bottom style="thin">
        <color indexed="64"/>
      </bottom>
      <diagonal/>
    </border>
    <border>
      <left style="thin">
        <color auto="1"/>
      </left>
      <right style="medium">
        <color indexed="64"/>
      </right>
      <top style="thin">
        <color auto="1"/>
      </top>
      <bottom style="thin">
        <color indexed="64"/>
      </bottom>
      <diagonal/>
    </border>
    <border>
      <left style="medium">
        <color indexed="64"/>
      </left>
      <right style="thin">
        <color indexed="64"/>
      </right>
      <top style="thin">
        <color auto="1"/>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medium">
        <color indexed="64"/>
      </right>
      <top style="thin">
        <color auto="1"/>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auto="1"/>
      </top>
      <bottom style="thin">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top style="thin">
        <color auto="1"/>
      </top>
      <bottom style="thin">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thin">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auto="1"/>
      </left>
      <right style="medium">
        <color indexed="64"/>
      </right>
      <top style="thin">
        <color auto="1"/>
      </top>
      <bottom style="medium">
        <color auto="1"/>
      </bottom>
      <diagonal/>
    </border>
    <border>
      <left style="medium">
        <color indexed="64"/>
      </left>
      <right style="thin">
        <color indexed="64"/>
      </right>
      <top style="thin">
        <color auto="1"/>
      </top>
      <bottom style="medium">
        <color auto="1"/>
      </bottom>
      <diagonal/>
    </border>
    <border>
      <left style="thin">
        <color indexed="64"/>
      </left>
      <right style="thin">
        <color indexed="64"/>
      </right>
      <top style="thin">
        <color auto="1"/>
      </top>
      <bottom style="medium">
        <color auto="1"/>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auto="1"/>
      </top>
      <bottom/>
      <diagonal/>
    </border>
    <border>
      <left style="medium">
        <color indexed="64"/>
      </left>
      <right style="thin">
        <color indexed="64"/>
      </right>
      <top style="thin">
        <color auto="1"/>
      </top>
      <bottom/>
      <diagonal/>
    </border>
    <border>
      <left style="thin">
        <color indexed="64"/>
      </left>
      <right style="thin">
        <color indexed="64"/>
      </right>
      <top style="thin">
        <color auto="1"/>
      </top>
      <bottom/>
      <diagonal/>
    </border>
    <border>
      <left/>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indexed="64"/>
      </right>
      <top style="thin">
        <color auto="1"/>
      </top>
      <bottom style="thin">
        <color indexed="64"/>
      </bottom>
      <diagonal/>
    </border>
    <border>
      <left style="thin">
        <color auto="1"/>
      </left>
      <right style="medium">
        <color indexed="64"/>
      </right>
      <top style="thin">
        <color auto="1"/>
      </top>
      <bottom style="thin">
        <color indexed="64"/>
      </bottom>
      <diagonal/>
    </border>
    <border>
      <left style="medium">
        <color indexed="64"/>
      </left>
      <right style="thin">
        <color indexed="64"/>
      </right>
      <top style="thin">
        <color auto="1"/>
      </top>
      <bottom style="thin">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thin">
        <color auto="1"/>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thick">
        <color indexed="64"/>
      </left>
      <right/>
      <top style="thick">
        <color indexed="64"/>
      </top>
      <bottom style="thin">
        <color indexed="64"/>
      </bottom>
      <diagonal/>
    </border>
    <border>
      <left/>
      <right style="medium">
        <color indexed="64"/>
      </right>
      <top style="thick">
        <color indexed="64"/>
      </top>
      <bottom style="thin">
        <color indexed="64"/>
      </bottom>
      <diagonal/>
    </border>
    <border>
      <left style="thick">
        <color indexed="64"/>
      </left>
      <right/>
      <top/>
      <bottom style="thick">
        <color indexed="64"/>
      </bottom>
      <diagonal/>
    </border>
    <border>
      <left style="thin">
        <color auto="1"/>
      </left>
      <right style="medium">
        <color indexed="64"/>
      </right>
      <top style="thin">
        <color auto="1"/>
      </top>
      <bottom style="thick">
        <color indexed="64"/>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right/>
      <top style="thin">
        <color auto="1"/>
      </top>
      <bottom style="medium">
        <color indexed="64"/>
      </bottom>
      <diagonal/>
    </border>
    <border>
      <left style="thin">
        <color indexed="64"/>
      </left>
      <right style="medium">
        <color indexed="64"/>
      </right>
      <top style="thin">
        <color auto="1"/>
      </top>
      <bottom style="thin">
        <color indexed="64"/>
      </bottom>
      <diagonal/>
    </border>
    <border>
      <left style="medium">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medium">
        <color indexed="64"/>
      </right>
      <top style="thin">
        <color auto="1"/>
      </top>
      <bottom style="thin">
        <color indexed="64"/>
      </bottom>
      <diagonal/>
    </border>
    <border>
      <left style="medium">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right/>
      <top style="thin">
        <color auto="1"/>
      </top>
      <bottom style="medium">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thin">
        <color indexed="64"/>
      </bottom>
      <diagonal/>
    </border>
    <border>
      <left style="medium">
        <color indexed="64"/>
      </left>
      <right style="medium">
        <color indexed="64"/>
      </right>
      <top style="thin">
        <color indexed="64"/>
      </top>
      <bottom/>
      <diagonal/>
    </border>
    <border>
      <left style="thin">
        <color indexed="64"/>
      </left>
      <right/>
      <top style="thin">
        <color auto="1"/>
      </top>
      <bottom style="thin">
        <color indexed="64"/>
      </bottom>
      <diagonal/>
    </border>
    <border>
      <left style="thin">
        <color auto="1"/>
      </left>
      <right/>
      <top style="thin">
        <color auto="1"/>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right/>
      <top style="thin">
        <color auto="1"/>
      </top>
      <bottom style="medium">
        <color indexed="64"/>
      </bottom>
      <diagonal/>
    </border>
    <border>
      <left style="thin">
        <color auto="1"/>
      </left>
      <right style="thin">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auto="1"/>
      </left>
      <right style="medium">
        <color indexed="64"/>
      </right>
      <top style="thin">
        <color auto="1"/>
      </top>
      <bottom style="thin">
        <color indexed="64"/>
      </bottom>
      <diagonal/>
    </border>
    <border>
      <left style="thin">
        <color auto="1"/>
      </left>
      <right style="medium">
        <color indexed="64"/>
      </right>
      <top style="thin">
        <color auto="1"/>
      </top>
      <bottom style="medium">
        <color indexed="64"/>
      </bottom>
      <diagonal/>
    </border>
    <border>
      <left style="thin">
        <color indexed="64"/>
      </left>
      <right/>
      <top style="thin">
        <color auto="1"/>
      </top>
      <bottom style="medium">
        <color indexed="64"/>
      </bottom>
      <diagonal/>
    </border>
    <border>
      <left style="thin">
        <color auto="1"/>
      </left>
      <right style="medium">
        <color indexed="64"/>
      </right>
      <top style="thin">
        <color auto="1"/>
      </top>
      <bottom style="thin">
        <color indexed="64"/>
      </bottom>
      <diagonal/>
    </border>
    <border>
      <left style="thin">
        <color auto="1"/>
      </left>
      <right style="medium">
        <color indexed="64"/>
      </right>
      <top style="thin">
        <color auto="1"/>
      </top>
      <bottom style="thin">
        <color indexed="64"/>
      </bottom>
      <diagonal/>
    </border>
    <border>
      <left style="thin">
        <color auto="1"/>
      </left>
      <right style="medium">
        <color indexed="64"/>
      </right>
      <top style="thin">
        <color auto="1"/>
      </top>
      <bottom style="medium">
        <color indexed="64"/>
      </bottom>
      <diagonal/>
    </border>
    <border>
      <left style="thin">
        <color indexed="64"/>
      </left>
      <right/>
      <top style="thin">
        <color auto="1"/>
      </top>
      <bottom style="medium">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auto="1"/>
      </top>
      <bottom style="medium">
        <color indexed="64"/>
      </bottom>
      <diagonal/>
    </border>
    <border>
      <left style="thin">
        <color auto="1"/>
      </left>
      <right style="medium">
        <color indexed="64"/>
      </right>
      <top style="thin">
        <color auto="1"/>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auto="1"/>
      </top>
      <bottom/>
      <diagonal/>
    </border>
    <border>
      <left style="medium">
        <color indexed="64"/>
      </left>
      <right style="medium">
        <color indexed="64"/>
      </right>
      <top style="thin">
        <color auto="1"/>
      </top>
      <bottom/>
      <diagonal/>
    </border>
    <border>
      <left style="thin">
        <color auto="1"/>
      </left>
      <right style="medium">
        <color indexed="64"/>
      </right>
      <top style="thin">
        <color auto="1"/>
      </top>
      <bottom style="thin">
        <color indexed="64"/>
      </bottom>
      <diagonal/>
    </border>
    <border>
      <left style="medium">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medium">
        <color indexed="64"/>
      </left>
      <right style="medium">
        <color indexed="64"/>
      </right>
      <top style="thin">
        <color auto="1"/>
      </top>
      <bottom style="thin">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auto="1"/>
      </top>
      <bottom style="thin">
        <color indexed="64"/>
      </bottom>
      <diagonal/>
    </border>
    <border>
      <left style="thin">
        <color auto="1"/>
      </left>
      <right style="medium">
        <color indexed="64"/>
      </right>
      <top style="thin">
        <color auto="1"/>
      </top>
      <bottom style="thin">
        <color indexed="64"/>
      </bottom>
      <diagonal/>
    </border>
    <border>
      <left style="medium">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style="medium">
        <color indexed="64"/>
      </left>
      <right style="medium">
        <color indexed="64"/>
      </right>
      <top style="thin">
        <color auto="1"/>
      </top>
      <bottom style="thin">
        <color indexed="64"/>
      </bottom>
      <diagonal/>
    </border>
    <border>
      <left style="thin">
        <color auto="1"/>
      </left>
      <right style="medium">
        <color indexed="64"/>
      </right>
      <top style="thin">
        <color auto="1"/>
      </top>
      <bottom style="thin">
        <color indexed="64"/>
      </bottom>
      <diagonal/>
    </border>
    <border>
      <left style="medium">
        <color indexed="64"/>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style="thin">
        <color indexed="64"/>
      </bottom>
      <diagonal/>
    </border>
    <border>
      <left style="medium">
        <color indexed="64"/>
      </left>
      <right style="medium">
        <color indexed="64"/>
      </right>
      <top style="thin">
        <color auto="1"/>
      </top>
      <bottom style="thin">
        <color indexed="64"/>
      </bottom>
      <diagonal/>
    </border>
    <border>
      <left style="thin">
        <color auto="1"/>
      </left>
      <right style="medium">
        <color indexed="64"/>
      </right>
      <top style="thin">
        <color auto="1"/>
      </top>
      <bottom style="thin">
        <color auto="1"/>
      </bottom>
      <diagonal/>
    </border>
    <border>
      <left/>
      <right/>
      <top style="thin">
        <color indexed="64"/>
      </top>
      <bottom style="thin">
        <color indexed="64"/>
      </bottom>
      <diagonal/>
    </border>
    <border>
      <left style="thin">
        <color indexed="64"/>
      </left>
      <right/>
      <top style="thin">
        <color auto="1"/>
      </top>
      <bottom/>
      <diagonal/>
    </border>
    <border>
      <left style="thin">
        <color indexed="64"/>
      </left>
      <right/>
      <top style="thin">
        <color auto="1"/>
      </top>
      <bottom style="medium">
        <color auto="1"/>
      </bottom>
      <diagonal/>
    </border>
    <border>
      <left style="thin">
        <color indexed="64"/>
      </left>
      <right/>
      <top style="thin">
        <color indexed="64"/>
      </top>
      <bottom style="thin">
        <color indexed="64"/>
      </bottom>
      <diagonal/>
    </border>
    <border>
      <left style="thin">
        <color auto="1"/>
      </left>
      <right/>
      <top style="thin">
        <color auto="1"/>
      </top>
      <bottom style="medium">
        <color indexed="64"/>
      </bottom>
      <diagonal/>
    </border>
    <border>
      <left style="thin">
        <color indexed="64"/>
      </left>
      <right style="medium">
        <color indexed="64"/>
      </right>
      <top style="thin">
        <color auto="1"/>
      </top>
      <bottom style="thin">
        <color auto="1"/>
      </bottom>
      <diagonal/>
    </border>
    <border>
      <left style="thin">
        <color indexed="64"/>
      </left>
      <right style="medium">
        <color indexed="64"/>
      </right>
      <top style="thin">
        <color auto="1"/>
      </top>
      <bottom style="medium">
        <color indexed="64"/>
      </bottom>
      <diagonal/>
    </border>
    <border>
      <left/>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thin">
        <color indexed="64"/>
      </left>
      <right/>
      <top style="thin">
        <color auto="1"/>
      </top>
      <bottom style="medium">
        <color indexed="64"/>
      </bottom>
      <diagonal/>
    </border>
    <border>
      <left style="thin">
        <color indexed="64"/>
      </left>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auto="1"/>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auto="1"/>
      </top>
      <bottom style="thin">
        <color indexed="64"/>
      </bottom>
      <diagonal/>
    </border>
    <border>
      <left style="thin">
        <color indexed="64"/>
      </left>
      <right/>
      <top style="thin">
        <color auto="1"/>
      </top>
      <bottom style="thin">
        <color indexed="64"/>
      </bottom>
      <diagonal/>
    </border>
    <border>
      <left style="medium">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medium">
        <color indexed="64"/>
      </left>
      <right/>
      <top style="thin">
        <color auto="1"/>
      </top>
      <bottom style="thin">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style="thin">
        <color indexed="64"/>
      </bottom>
      <diagonal/>
    </border>
    <border>
      <left style="thick">
        <color auto="1"/>
      </left>
      <right/>
      <top/>
      <bottom/>
      <diagonal/>
    </border>
    <border>
      <left style="thick">
        <color auto="1"/>
      </left>
      <right/>
      <top style="medium">
        <color indexed="64"/>
      </top>
      <bottom style="medium">
        <color indexed="64"/>
      </bottom>
      <diagonal/>
    </border>
    <border>
      <left style="thick">
        <color auto="1"/>
      </left>
      <right/>
      <top/>
      <bottom style="medium">
        <color indexed="64"/>
      </bottom>
      <diagonal/>
    </border>
    <border>
      <left/>
      <right style="thick">
        <color auto="1"/>
      </right>
      <top/>
      <bottom/>
      <diagonal/>
    </border>
    <border>
      <left/>
      <right style="thick">
        <color auto="1"/>
      </right>
      <top style="medium">
        <color indexed="64"/>
      </top>
      <bottom style="medium">
        <color indexed="64"/>
      </bottom>
      <diagonal/>
    </border>
    <border>
      <left/>
      <right style="thick">
        <color auto="1"/>
      </right>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medium">
        <color indexed="64"/>
      </right>
      <top style="thin">
        <color auto="1"/>
      </top>
      <bottom style="thin">
        <color indexed="64"/>
      </bottom>
      <diagonal/>
    </border>
    <border>
      <left style="medium">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style="thin">
        <color indexed="64"/>
      </bottom>
      <diagonal/>
    </border>
    <border>
      <left style="thin">
        <color indexed="64"/>
      </left>
      <right/>
      <top style="thin">
        <color auto="1"/>
      </top>
      <bottom style="thin">
        <color indexed="64"/>
      </bottom>
      <diagonal/>
    </border>
    <border>
      <left style="medium">
        <color indexed="64"/>
      </left>
      <right style="medium">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thin">
        <color indexed="64"/>
      </bottom>
      <diagonal/>
    </border>
    <border>
      <left style="medium">
        <color indexed="64"/>
      </left>
      <right style="medium">
        <color indexed="64"/>
      </right>
      <top style="thin">
        <color auto="1"/>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thin">
        <color indexed="64"/>
      </right>
      <top style="thin">
        <color auto="1"/>
      </top>
      <bottom style="thin">
        <color indexed="64"/>
      </bottom>
      <diagonal/>
    </border>
    <border>
      <left style="thin">
        <color auto="1"/>
      </left>
      <right style="medium">
        <color indexed="64"/>
      </right>
      <top style="thin">
        <color auto="1"/>
      </top>
      <bottom style="thin">
        <color indexed="64"/>
      </bottom>
      <diagonal/>
    </border>
    <border>
      <left style="medium">
        <color indexed="64"/>
      </left>
      <right style="thin">
        <color indexed="64"/>
      </right>
      <top style="thin">
        <color auto="1"/>
      </top>
      <bottom style="thin">
        <color indexed="64"/>
      </bottom>
      <diagonal/>
    </border>
    <border>
      <left/>
      <right/>
      <top style="thin">
        <color auto="1"/>
      </top>
      <bottom style="thin">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thin">
        <color indexed="64"/>
      </bottom>
      <diagonal/>
    </border>
    <border>
      <left style="medium">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style="thin">
        <color indexed="64"/>
      </bottom>
      <diagonal/>
    </border>
    <border>
      <left style="thin">
        <color indexed="64"/>
      </left>
      <right/>
      <top style="thin">
        <color auto="1"/>
      </top>
      <bottom style="thin">
        <color indexed="64"/>
      </bottom>
      <diagonal/>
    </border>
    <border>
      <left style="medium">
        <color indexed="64"/>
      </left>
      <right style="medium">
        <color indexed="64"/>
      </right>
      <top style="thin">
        <color auto="1"/>
      </top>
      <bottom style="thin">
        <color indexed="64"/>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thin">
        <color indexed="64"/>
      </left>
      <right/>
      <top style="thin">
        <color auto="1"/>
      </top>
      <bottom style="medium">
        <color indexed="64"/>
      </bottom>
      <diagonal/>
    </border>
    <border>
      <left/>
      <right/>
      <top style="thin">
        <color indexed="64"/>
      </top>
      <bottom style="medium">
        <color indexed="64"/>
      </bottom>
      <diagonal/>
    </border>
    <border>
      <left style="thin">
        <color auto="1"/>
      </left>
      <right style="medium">
        <color indexed="64"/>
      </right>
      <top style="thin">
        <color auto="1"/>
      </top>
      <bottom style="thin">
        <color indexed="64"/>
      </bottom>
      <diagonal/>
    </border>
    <border>
      <left style="thin">
        <color auto="1"/>
      </left>
      <right style="thin">
        <color indexed="64"/>
      </right>
      <top style="thin">
        <color auto="1"/>
      </top>
      <bottom style="thin">
        <color indexed="64"/>
      </bottom>
      <diagonal/>
    </border>
    <border>
      <left style="thin">
        <color indexed="64"/>
      </left>
      <right/>
      <top style="thin">
        <color auto="1"/>
      </top>
      <bottom style="thin">
        <color indexed="64"/>
      </bottom>
      <diagonal/>
    </border>
    <border>
      <left style="medium">
        <color indexed="64"/>
      </left>
      <right style="medium">
        <color indexed="64"/>
      </right>
      <top style="thin">
        <color auto="1"/>
      </top>
      <bottom style="thin">
        <color indexed="64"/>
      </bottom>
      <diagonal/>
    </border>
    <border>
      <left style="medium">
        <color indexed="64"/>
      </left>
      <right style="thin">
        <color indexed="64"/>
      </right>
      <top style="thin">
        <color auto="1"/>
      </top>
      <bottom style="thin">
        <color indexed="64"/>
      </bottom>
      <diagonal/>
    </border>
    <border>
      <left/>
      <right/>
      <top style="thin">
        <color auto="1"/>
      </top>
      <bottom style="thin">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thin">
        <color auto="1"/>
      </top>
      <bottom style="thin">
        <color indexed="64"/>
      </bottom>
      <diagonal/>
    </border>
    <border>
      <left style="medium">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style="medium">
        <color indexed="64"/>
      </left>
      <right style="medium">
        <color indexed="64"/>
      </right>
      <top style="thin">
        <color auto="1"/>
      </top>
      <bottom style="thin">
        <color indexed="64"/>
      </bottom>
      <diagonal/>
    </border>
    <border>
      <left style="thin">
        <color auto="1"/>
      </left>
      <right style="medium">
        <color indexed="64"/>
      </right>
      <top style="thin">
        <color auto="1"/>
      </top>
      <bottom style="thin">
        <color indexed="64"/>
      </bottom>
      <diagonal/>
    </border>
    <border>
      <left style="medium">
        <color indexed="64"/>
      </left>
      <right style="medium">
        <color indexed="64"/>
      </right>
      <top style="thin">
        <color auto="1"/>
      </top>
      <bottom style="thin">
        <color indexed="64"/>
      </bottom>
      <diagonal/>
    </border>
    <border>
      <left style="medium">
        <color indexed="64"/>
      </left>
      <right style="thin">
        <color indexed="64"/>
      </right>
      <top style="thin">
        <color auto="1"/>
      </top>
      <bottom style="thin">
        <color indexed="64"/>
      </bottom>
      <diagonal/>
    </border>
    <border>
      <left/>
      <right style="medium">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auto="1"/>
      </left>
      <right style="medium">
        <color indexed="64"/>
      </right>
      <top style="thin">
        <color auto="1"/>
      </top>
      <bottom style="medium">
        <color indexed="64"/>
      </bottom>
      <diagonal/>
    </border>
    <border>
      <left style="thin">
        <color indexed="64"/>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right/>
      <top style="thin">
        <color auto="1"/>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thin">
        <color indexed="64"/>
      </bottom>
      <diagonal/>
    </border>
    <border>
      <left style="medium">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style="medium">
        <color indexed="64"/>
      </left>
      <right style="medium">
        <color indexed="64"/>
      </right>
      <top style="thin">
        <color auto="1"/>
      </top>
      <bottom style="thin">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auto="1"/>
      </top>
      <bottom/>
      <diagonal/>
    </border>
    <border>
      <left style="thin">
        <color indexed="64"/>
      </left>
      <right style="thin">
        <color indexed="64"/>
      </right>
      <top style="thin">
        <color indexed="64"/>
      </top>
      <bottom/>
      <diagonal/>
    </border>
    <border>
      <left style="thin">
        <color auto="1"/>
      </left>
      <right style="medium">
        <color indexed="64"/>
      </right>
      <top style="thin">
        <color auto="1"/>
      </top>
      <bottom/>
      <diagonal/>
    </border>
    <border>
      <left style="thin">
        <color indexed="64"/>
      </left>
      <right/>
      <top style="thin">
        <color indexed="64"/>
      </top>
      <bottom/>
      <diagonal/>
    </border>
    <border>
      <left style="medium">
        <color indexed="64"/>
      </left>
      <right style="medium">
        <color indexed="64"/>
      </right>
      <top style="thin">
        <color auto="1"/>
      </top>
      <bottom/>
      <diagonal/>
    </border>
    <border>
      <left style="thin">
        <color auto="1"/>
      </left>
      <right style="medium">
        <color indexed="64"/>
      </right>
      <top style="thin">
        <color auto="1"/>
      </top>
      <bottom style="medium">
        <color indexed="64"/>
      </bottom>
      <diagonal/>
    </border>
    <border>
      <left style="thin">
        <color indexed="64"/>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auto="1"/>
      </right>
      <top style="medium">
        <color indexed="64"/>
      </top>
      <bottom/>
      <diagonal/>
    </border>
    <border>
      <left style="thin">
        <color auto="1"/>
      </left>
      <right style="medium">
        <color indexed="64"/>
      </right>
      <top style="thin">
        <color auto="1"/>
      </top>
      <bottom style="thin">
        <color indexed="64"/>
      </bottom>
      <diagonal/>
    </border>
    <border>
      <left style="medium">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style="medium">
        <color indexed="64"/>
      </left>
      <right style="medium">
        <color indexed="64"/>
      </right>
      <top style="thin">
        <color auto="1"/>
      </top>
      <bottom style="thin">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thin">
        <color indexed="64"/>
      </left>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thin">
        <color indexed="64"/>
      </bottom>
      <diagonal/>
    </border>
    <border>
      <left style="thin">
        <color auto="1"/>
      </left>
      <right style="medium">
        <color indexed="64"/>
      </right>
      <top style="thin">
        <color auto="1"/>
      </top>
      <bottom style="medium">
        <color indexed="64"/>
      </bottom>
      <diagonal/>
    </border>
    <border>
      <left style="thin">
        <color indexed="64"/>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auto="1"/>
      </top>
      <bottom/>
      <diagonal/>
    </border>
    <border>
      <left style="thin">
        <color auto="1"/>
      </left>
      <right style="thin">
        <color indexed="64"/>
      </right>
      <top style="thin">
        <color auto="1"/>
      </top>
      <bottom style="thin">
        <color indexed="64"/>
      </bottom>
      <diagonal/>
    </border>
    <border>
      <left style="thin">
        <color auto="1"/>
      </left>
      <right style="medium">
        <color indexed="64"/>
      </right>
      <top style="thin">
        <color auto="1"/>
      </top>
      <bottom style="thin">
        <color indexed="64"/>
      </bottom>
      <diagonal/>
    </border>
    <border>
      <left style="medium">
        <color indexed="64"/>
      </left>
      <right style="thin">
        <color indexed="64"/>
      </right>
      <top style="thin">
        <color auto="1"/>
      </top>
      <bottom style="thin">
        <color indexed="64"/>
      </bottom>
      <diagonal/>
    </border>
    <border>
      <left/>
      <right/>
      <top style="thin">
        <color auto="1"/>
      </top>
      <bottom style="thin">
        <color indexed="64"/>
      </bottom>
      <diagonal/>
    </border>
    <border>
      <left style="thin">
        <color indexed="64"/>
      </left>
      <right/>
      <top style="thin">
        <color auto="1"/>
      </top>
      <bottom style="thin">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medium">
        <color auto="1"/>
      </bottom>
      <diagonal/>
    </border>
    <border>
      <left style="thin">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medium">
        <color auto="1"/>
      </bottom>
      <diagonal/>
    </border>
    <border>
      <left style="medium">
        <color indexed="64"/>
      </left>
      <right style="thin">
        <color indexed="64"/>
      </right>
      <top style="thin">
        <color auto="1"/>
      </top>
      <bottom style="medium">
        <color auto="1"/>
      </bottom>
      <diagonal/>
    </border>
    <border>
      <left style="thin">
        <color indexed="64"/>
      </left>
      <right style="thin">
        <color indexed="64"/>
      </right>
      <top style="thin">
        <color auto="1"/>
      </top>
      <bottom style="medium">
        <color auto="1"/>
      </bottom>
      <diagonal/>
    </border>
    <border>
      <left style="thin">
        <color indexed="64"/>
      </left>
      <right/>
      <top style="thin">
        <color auto="1"/>
      </top>
      <bottom style="medium">
        <color auto="1"/>
      </bottom>
      <diagonal/>
    </border>
    <border>
      <left style="medium">
        <color indexed="64"/>
      </left>
      <right style="medium">
        <color indexed="64"/>
      </right>
      <top style="thin">
        <color auto="1"/>
      </top>
      <bottom style="medium">
        <color auto="1"/>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3">
    <xf numFmtId="0" fontId="0" fillId="0" borderId="0"/>
    <xf numFmtId="43" fontId="5" fillId="0" borderId="0" applyFont="0" applyFill="0" applyBorder="0" applyAlignment="0" applyProtection="0"/>
    <xf numFmtId="44" fontId="5" fillId="0" borderId="0" applyFont="0" applyFill="0" applyBorder="0" applyAlignment="0" applyProtection="0"/>
    <xf numFmtId="0" fontId="34" fillId="0" borderId="0"/>
    <xf numFmtId="0" fontId="5"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9" fontId="97" fillId="0" borderId="0" applyFont="0" applyFill="0" applyBorder="0" applyAlignment="0" applyProtection="0"/>
    <xf numFmtId="0" fontId="104" fillId="0" borderId="0" applyNumberFormat="0" applyFill="0" applyBorder="0" applyAlignment="0" applyProtection="0"/>
  </cellStyleXfs>
  <cellXfs count="6694">
    <xf numFmtId="0" fontId="0" fillId="0" borderId="0" xfId="0"/>
    <xf numFmtId="0" fontId="8" fillId="0" borderId="0" xfId="0" applyFont="1" applyAlignment="1">
      <alignment horizontal="right" vertical="top"/>
    </xf>
    <xf numFmtId="0" fontId="6" fillId="2" borderId="1" xfId="0" applyFont="1" applyFill="1" applyBorder="1" applyAlignment="1">
      <alignment horizontal="center" vertical="top"/>
    </xf>
    <xf numFmtId="0" fontId="10" fillId="3" borderId="1" xfId="0" applyFont="1" applyFill="1" applyBorder="1" applyAlignment="1">
      <alignment horizontal="center" vertical="top"/>
    </xf>
    <xf numFmtId="0" fontId="10" fillId="3" borderId="0" xfId="0" applyFont="1" applyFill="1" applyAlignment="1">
      <alignment horizontal="center" vertical="top"/>
    </xf>
    <xf numFmtId="0" fontId="6" fillId="2" borderId="2" xfId="0" applyFont="1" applyFill="1" applyBorder="1" applyAlignment="1">
      <alignment horizontal="left" vertical="top"/>
    </xf>
    <xf numFmtId="0" fontId="10" fillId="3" borderId="3" xfId="0" applyFont="1" applyFill="1" applyBorder="1" applyAlignment="1">
      <alignment horizontal="center" vertical="top"/>
    </xf>
    <xf numFmtId="0" fontId="10" fillId="3" borderId="2" xfId="0" applyFont="1" applyFill="1" applyBorder="1" applyAlignment="1">
      <alignment horizontal="left" vertical="top"/>
    </xf>
    <xf numFmtId="44" fontId="6" fillId="0" borderId="4" xfId="0" applyNumberFormat="1" applyFont="1" applyBorder="1" applyAlignment="1">
      <alignment horizontal="left" vertical="top"/>
    </xf>
    <xf numFmtId="44" fontId="6" fillId="2" borderId="5" xfId="0" applyNumberFormat="1" applyFont="1" applyFill="1" applyBorder="1" applyAlignment="1">
      <alignment horizontal="center" vertical="top"/>
    </xf>
    <xf numFmtId="44" fontId="6" fillId="2" borderId="6" xfId="0" applyNumberFormat="1" applyFont="1" applyFill="1" applyBorder="1" applyAlignment="1">
      <alignment horizontal="center" vertical="top"/>
    </xf>
    <xf numFmtId="44" fontId="10" fillId="3" borderId="6" xfId="0" applyNumberFormat="1" applyFont="1" applyFill="1" applyBorder="1" applyAlignment="1">
      <alignment horizontal="center" vertical="top"/>
    </xf>
    <xf numFmtId="0" fontId="7" fillId="0" borderId="8" xfId="0" applyFont="1" applyBorder="1" applyAlignment="1">
      <alignment horizontal="left" vertical="top" wrapText="1"/>
    </xf>
    <xf numFmtId="0" fontId="7" fillId="0" borderId="4" xfId="0" applyFont="1" applyBorder="1" applyAlignment="1">
      <alignment vertical="top" wrapText="1"/>
    </xf>
    <xf numFmtId="0" fontId="7" fillId="0" borderId="8" xfId="0" applyFont="1" applyBorder="1" applyAlignment="1">
      <alignment vertical="top" wrapText="1"/>
    </xf>
    <xf numFmtId="44" fontId="11" fillId="0" borderId="4" xfId="0" applyNumberFormat="1" applyFont="1" applyBorder="1" applyAlignment="1">
      <alignment horizontal="left" vertical="top"/>
    </xf>
    <xf numFmtId="44" fontId="11" fillId="0" borderId="9" xfId="0" applyNumberFormat="1" applyFont="1" applyBorder="1" applyAlignment="1">
      <alignment horizontal="left" vertical="top"/>
    </xf>
    <xf numFmtId="44" fontId="11" fillId="0" borderId="0" xfId="0" applyNumberFormat="1" applyFont="1" applyAlignment="1">
      <alignment horizontal="left" vertical="top"/>
    </xf>
    <xf numFmtId="8" fontId="11" fillId="0" borderId="0" xfId="0" applyNumberFormat="1" applyFont="1" applyAlignment="1">
      <alignment horizontal="right" vertical="top"/>
    </xf>
    <xf numFmtId="8" fontId="11" fillId="0" borderId="4" xfId="0" applyNumberFormat="1" applyFont="1" applyBorder="1" applyAlignment="1">
      <alignment horizontal="right" vertical="top"/>
    </xf>
    <xf numFmtId="8" fontId="10" fillId="0" borderId="4" xfId="0" applyNumberFormat="1" applyFont="1" applyBorder="1" applyAlignment="1">
      <alignment horizontal="right" vertical="top"/>
    </xf>
    <xf numFmtId="0" fontId="6" fillId="0" borderId="0" xfId="0" applyFont="1" applyAlignment="1">
      <alignment horizontal="centerContinuous" vertical="top" wrapText="1"/>
    </xf>
    <xf numFmtId="0" fontId="6" fillId="0" borderId="0" xfId="0" applyFont="1" applyAlignment="1">
      <alignment horizontal="left" vertical="top" wrapText="1"/>
    </xf>
    <xf numFmtId="0" fontId="6" fillId="2" borderId="11" xfId="0" applyFont="1" applyFill="1" applyBorder="1" applyAlignment="1">
      <alignment horizontal="center" vertical="top"/>
    </xf>
    <xf numFmtId="0" fontId="6" fillId="2" borderId="12" xfId="0" applyFont="1" applyFill="1" applyBorder="1" applyAlignment="1">
      <alignment horizontal="left" vertical="top"/>
    </xf>
    <xf numFmtId="0" fontId="6" fillId="2" borderId="1" xfId="0" applyFont="1" applyFill="1" applyBorder="1" applyAlignment="1">
      <alignment horizontal="left" vertical="top"/>
    </xf>
    <xf numFmtId="15" fontId="10" fillId="3" borderId="11" xfId="0" applyNumberFormat="1" applyFont="1" applyFill="1" applyBorder="1" applyAlignment="1">
      <alignment horizontal="center" vertical="top"/>
    </xf>
    <xf numFmtId="0" fontId="7" fillId="0" borderId="7" xfId="0" applyFont="1" applyBorder="1" applyAlignment="1">
      <alignment vertical="top" wrapText="1"/>
    </xf>
    <xf numFmtId="44" fontId="7" fillId="0" borderId="4" xfId="0" applyNumberFormat="1" applyFont="1" applyBorder="1" applyAlignment="1">
      <alignment vertical="top" wrapText="1"/>
    </xf>
    <xf numFmtId="0" fontId="7" fillId="0" borderId="10" xfId="0" applyFont="1" applyBorder="1" applyAlignment="1">
      <alignment vertical="top" wrapText="1"/>
    </xf>
    <xf numFmtId="0" fontId="10" fillId="0" borderId="0" xfId="0" applyFont="1" applyAlignment="1">
      <alignment horizontal="center" vertical="top" wrapText="1"/>
    </xf>
    <xf numFmtId="44" fontId="11" fillId="0" borderId="9" xfId="0" applyNumberFormat="1" applyFont="1" applyBorder="1" applyAlignment="1">
      <alignment horizontal="right" vertical="top"/>
    </xf>
    <xf numFmtId="0" fontId="10" fillId="3" borderId="11" xfId="0" applyFont="1" applyFill="1" applyBorder="1" applyAlignment="1">
      <alignment horizontal="center" vertical="top"/>
    </xf>
    <xf numFmtId="0" fontId="10" fillId="3" borderId="12" xfId="0" applyFont="1" applyFill="1" applyBorder="1" applyAlignment="1">
      <alignment horizontal="left" vertical="top"/>
    </xf>
    <xf numFmtId="15" fontId="10" fillId="0" borderId="0" xfId="0" applyNumberFormat="1" applyFont="1" applyAlignment="1">
      <alignment horizontal="center" vertical="top"/>
    </xf>
    <xf numFmtId="15" fontId="10" fillId="3" borderId="10" xfId="0" applyNumberFormat="1" applyFont="1" applyFill="1" applyBorder="1" applyAlignment="1">
      <alignment horizontal="center" vertical="top"/>
    </xf>
    <xf numFmtId="15" fontId="10" fillId="3" borderId="12" xfId="0" applyNumberFormat="1" applyFont="1" applyFill="1" applyBorder="1" applyAlignment="1">
      <alignment horizontal="center" vertical="top"/>
    </xf>
    <xf numFmtId="8" fontId="10" fillId="0" borderId="0" xfId="0" applyNumberFormat="1" applyFont="1" applyAlignment="1">
      <alignment horizontal="right" vertical="top"/>
    </xf>
    <xf numFmtId="44" fontId="10" fillId="3" borderId="3" xfId="0" applyNumberFormat="1" applyFont="1" applyFill="1" applyBorder="1" applyAlignment="1">
      <alignment horizontal="center" vertical="top"/>
    </xf>
    <xf numFmtId="8" fontId="11" fillId="0" borderId="9" xfId="0" applyNumberFormat="1" applyFont="1" applyBorder="1" applyAlignment="1">
      <alignment horizontal="right" vertical="top"/>
    </xf>
    <xf numFmtId="0" fontId="10" fillId="3" borderId="15" xfId="0" applyFont="1" applyFill="1" applyBorder="1" applyAlignment="1">
      <alignment horizontal="center" vertical="top"/>
    </xf>
    <xf numFmtId="0" fontId="10" fillId="3" borderId="0" xfId="0" applyFont="1" applyFill="1" applyAlignment="1">
      <alignment horizontal="right" vertical="top"/>
    </xf>
    <xf numFmtId="8" fontId="10" fillId="3" borderId="13" xfId="0" applyNumberFormat="1" applyFont="1" applyFill="1" applyBorder="1" applyAlignment="1">
      <alignment horizontal="right" vertical="top"/>
    </xf>
    <xf numFmtId="8" fontId="10" fillId="3" borderId="14" xfId="2" applyNumberFormat="1" applyFont="1" applyFill="1" applyBorder="1" applyAlignment="1" applyProtection="1">
      <alignment horizontal="right" vertical="top"/>
    </xf>
    <xf numFmtId="8" fontId="10" fillId="3" borderId="16" xfId="0" applyNumberFormat="1" applyFont="1" applyFill="1" applyBorder="1" applyAlignment="1">
      <alignment horizontal="right" vertical="top"/>
    </xf>
    <xf numFmtId="8" fontId="10" fillId="3" borderId="16" xfId="2" applyNumberFormat="1" applyFont="1" applyFill="1" applyBorder="1" applyAlignment="1" applyProtection="1">
      <alignment horizontal="right" vertical="top"/>
    </xf>
    <xf numFmtId="0" fontId="11" fillId="0" borderId="0" xfId="0" applyFont="1" applyAlignment="1">
      <alignment vertical="top" wrapText="1"/>
    </xf>
    <xf numFmtId="0" fontId="7" fillId="0" borderId="0" xfId="0" applyFont="1" applyAlignment="1">
      <alignment vertical="top" wrapText="1"/>
    </xf>
    <xf numFmtId="17" fontId="7" fillId="0" borderId="8" xfId="0" applyNumberFormat="1" applyFont="1" applyBorder="1" applyAlignment="1">
      <alignment vertical="top" wrapText="1"/>
    </xf>
    <xf numFmtId="0" fontId="6" fillId="0" borderId="7" xfId="0" applyFont="1" applyBorder="1" applyAlignment="1">
      <alignment horizontal="center" vertical="top" wrapText="1"/>
    </xf>
    <xf numFmtId="49" fontId="6" fillId="0" borderId="0" xfId="0" applyNumberFormat="1" applyFont="1" applyAlignment="1">
      <alignment horizontal="left" vertical="top"/>
    </xf>
    <xf numFmtId="44" fontId="10" fillId="3" borderId="13" xfId="2" applyFont="1" applyFill="1" applyBorder="1" applyAlignment="1" applyProtection="1">
      <alignment horizontal="right" vertical="top"/>
    </xf>
    <xf numFmtId="44" fontId="11" fillId="0" borderId="4" xfId="2" applyFont="1" applyFill="1" applyBorder="1" applyAlignment="1" applyProtection="1">
      <alignment horizontal="right" vertical="top"/>
    </xf>
    <xf numFmtId="44" fontId="10" fillId="0" borderId="4" xfId="2" applyFont="1" applyFill="1" applyBorder="1" applyAlignment="1" applyProtection="1">
      <alignment horizontal="right" vertical="top"/>
    </xf>
    <xf numFmtId="44" fontId="10" fillId="3" borderId="6" xfId="2" applyFont="1" applyFill="1" applyBorder="1" applyAlignment="1" applyProtection="1">
      <alignment horizontal="center" vertical="top"/>
    </xf>
    <xf numFmtId="0" fontId="7" fillId="0" borderId="0" xfId="0" applyFont="1" applyAlignment="1">
      <alignment vertical="top"/>
    </xf>
    <xf numFmtId="44" fontId="11" fillId="0" borderId="7" xfId="2" applyFont="1" applyBorder="1" applyAlignment="1" applyProtection="1">
      <alignment horizontal="right" vertical="top" wrapText="1"/>
    </xf>
    <xf numFmtId="44" fontId="11" fillId="0" borderId="18" xfId="2" applyFont="1" applyBorder="1" applyAlignment="1" applyProtection="1">
      <alignment horizontal="right" vertical="top" wrapText="1"/>
    </xf>
    <xf numFmtId="44" fontId="6" fillId="0" borderId="7" xfId="2" applyFont="1" applyFill="1" applyBorder="1" applyAlignment="1" applyProtection="1">
      <alignment vertical="top"/>
    </xf>
    <xf numFmtId="8" fontId="10" fillId="3" borderId="0" xfId="0" applyNumberFormat="1" applyFont="1" applyFill="1" applyAlignment="1">
      <alignment horizontal="right" vertical="top"/>
    </xf>
    <xf numFmtId="0" fontId="11" fillId="0" borderId="7" xfId="0" applyFont="1" applyBorder="1" applyAlignment="1">
      <alignment horizontal="right" vertical="top"/>
    </xf>
    <xf numFmtId="44" fontId="7" fillId="0" borderId="0" xfId="0" applyNumberFormat="1" applyFont="1" applyAlignment="1">
      <alignment horizontal="center" vertical="top"/>
    </xf>
    <xf numFmtId="8" fontId="11" fillId="0" borderId="7" xfId="0" applyNumberFormat="1" applyFont="1" applyBorder="1" applyAlignment="1">
      <alignment horizontal="right" vertical="top"/>
    </xf>
    <xf numFmtId="15" fontId="11" fillId="3" borderId="19" xfId="0" applyNumberFormat="1" applyFont="1" applyFill="1" applyBorder="1" applyAlignment="1">
      <alignment horizontal="center" vertical="top"/>
    </xf>
    <xf numFmtId="44" fontId="6" fillId="0" borderId="4" xfId="0" applyNumberFormat="1" applyFont="1" applyBorder="1" applyAlignment="1">
      <alignment vertical="top" wrapText="1"/>
    </xf>
    <xf numFmtId="17" fontId="6" fillId="0" borderId="8" xfId="0" applyNumberFormat="1" applyFont="1" applyBorder="1" applyAlignment="1">
      <alignment horizontal="left" vertical="top" wrapText="1"/>
    </xf>
    <xf numFmtId="0" fontId="7" fillId="0" borderId="9" xfId="0" applyFont="1" applyBorder="1" applyAlignment="1">
      <alignment vertical="top" wrapText="1"/>
    </xf>
    <xf numFmtId="0" fontId="6" fillId="0" borderId="4" xfId="0" applyFont="1" applyBorder="1" applyAlignment="1">
      <alignment horizontal="centerContinuous" vertical="top" wrapText="1"/>
    </xf>
    <xf numFmtId="0" fontId="6" fillId="0" borderId="9" xfId="0" applyFont="1" applyBorder="1" applyAlignment="1">
      <alignment horizontal="centerContinuous" vertical="top" wrapText="1"/>
    </xf>
    <xf numFmtId="0" fontId="7" fillId="0" borderId="13" xfId="0" applyFont="1" applyBorder="1" applyAlignment="1">
      <alignment vertical="top" wrapText="1"/>
    </xf>
    <xf numFmtId="0" fontId="11" fillId="0" borderId="4" xfId="0" applyFont="1" applyBorder="1" applyAlignment="1">
      <alignment vertical="top" wrapText="1"/>
    </xf>
    <xf numFmtId="0" fontId="8" fillId="0" borderId="4" xfId="0" applyFont="1" applyBorder="1" applyAlignment="1">
      <alignment vertical="top" wrapText="1"/>
    </xf>
    <xf numFmtId="49" fontId="6" fillId="2" borderId="16" xfId="0" applyNumberFormat="1" applyFont="1" applyFill="1" applyBorder="1" applyAlignment="1">
      <alignment horizontal="left" vertical="top"/>
    </xf>
    <xf numFmtId="49" fontId="6" fillId="2" borderId="0" xfId="0" applyNumberFormat="1" applyFont="1" applyFill="1" applyAlignment="1">
      <alignment horizontal="left" vertical="top"/>
    </xf>
    <xf numFmtId="49" fontId="6" fillId="2" borderId="3" xfId="0" applyNumberFormat="1" applyFont="1" applyFill="1" applyBorder="1" applyAlignment="1">
      <alignment horizontal="left" vertical="top"/>
    </xf>
    <xf numFmtId="0" fontId="7" fillId="0" borderId="7" xfId="0" applyFont="1" applyBorder="1" applyAlignment="1">
      <alignment horizontal="centerContinuous" vertical="top" wrapText="1"/>
    </xf>
    <xf numFmtId="0" fontId="6" fillId="2" borderId="25" xfId="0" applyFont="1" applyFill="1" applyBorder="1" applyAlignment="1">
      <alignment horizontal="left" vertical="top"/>
    </xf>
    <xf numFmtId="0" fontId="6" fillId="2" borderId="7" xfId="0" applyFont="1" applyFill="1" applyBorder="1" applyAlignment="1">
      <alignment horizontal="left" vertical="top"/>
    </xf>
    <xf numFmtId="0" fontId="6" fillId="2" borderId="7" xfId="0" applyFont="1" applyFill="1" applyBorder="1" applyAlignment="1">
      <alignment horizontal="left" vertical="top" wrapText="1"/>
    </xf>
    <xf numFmtId="0" fontId="7" fillId="0" borderId="7" xfId="0" applyFont="1" applyBorder="1" applyAlignment="1">
      <alignment vertical="top"/>
    </xf>
    <xf numFmtId="0" fontId="6" fillId="0" borderId="0" xfId="0" applyFont="1" applyAlignment="1">
      <alignment horizontal="center" vertical="top" wrapText="1"/>
    </xf>
    <xf numFmtId="44" fontId="7" fillId="0" borderId="0" xfId="0" applyNumberFormat="1" applyFont="1" applyAlignment="1">
      <alignment vertical="top" wrapText="1"/>
    </xf>
    <xf numFmtId="0" fontId="6" fillId="0" borderId="0" xfId="0" applyFont="1" applyAlignment="1">
      <alignment vertical="top" wrapText="1"/>
    </xf>
    <xf numFmtId="0" fontId="6" fillId="2" borderId="2" xfId="0" applyFont="1" applyFill="1" applyBorder="1" applyAlignment="1">
      <alignment vertical="top"/>
    </xf>
    <xf numFmtId="0" fontId="6" fillId="0" borderId="0" xfId="0" applyFont="1" applyAlignment="1">
      <alignment horizontal="left" vertical="top"/>
    </xf>
    <xf numFmtId="0" fontId="11" fillId="0" borderId="0" xfId="0" applyFont="1" applyAlignment="1">
      <alignment horizontal="right" vertical="top"/>
    </xf>
    <xf numFmtId="8" fontId="11" fillId="0" borderId="0" xfId="0" applyNumberFormat="1" applyFont="1" applyAlignment="1">
      <alignment vertical="top"/>
    </xf>
    <xf numFmtId="0" fontId="11" fillId="0" borderId="0" xfId="0" applyFont="1" applyAlignment="1">
      <alignment vertical="top"/>
    </xf>
    <xf numFmtId="0" fontId="10" fillId="0" borderId="0" xfId="0" applyFont="1" applyAlignment="1">
      <alignment horizontal="center" vertical="top"/>
    </xf>
    <xf numFmtId="15" fontId="11" fillId="0" borderId="10" xfId="0" applyNumberFormat="1" applyFont="1" applyBorder="1" applyAlignment="1">
      <alignment horizontal="center" vertical="top"/>
    </xf>
    <xf numFmtId="0" fontId="11" fillId="0" borderId="8" xfId="0" applyFont="1" applyBorder="1" applyAlignment="1">
      <alignment vertical="top"/>
    </xf>
    <xf numFmtId="44" fontId="11" fillId="0" borderId="4" xfId="2" applyFont="1" applyFill="1" applyBorder="1" applyAlignment="1" applyProtection="1">
      <alignment vertical="top"/>
    </xf>
    <xf numFmtId="44" fontId="11" fillId="0" borderId="0" xfId="0" applyNumberFormat="1" applyFont="1" applyAlignment="1">
      <alignment vertical="top"/>
    </xf>
    <xf numFmtId="44" fontId="11" fillId="0" borderId="4" xfId="0" applyNumberFormat="1" applyFont="1" applyBorder="1" applyAlignment="1">
      <alignment vertical="top"/>
    </xf>
    <xf numFmtId="0" fontId="11" fillId="0" borderId="10" xfId="0" applyFont="1" applyBorder="1" applyAlignment="1">
      <alignment vertical="top"/>
    </xf>
    <xf numFmtId="44" fontId="7" fillId="0" borderId="4" xfId="0" applyNumberFormat="1" applyFont="1" applyBorder="1" applyAlignment="1">
      <alignment vertical="top"/>
    </xf>
    <xf numFmtId="0" fontId="7" fillId="0" borderId="8" xfId="0" applyFont="1" applyBorder="1" applyAlignment="1">
      <alignment vertical="top"/>
    </xf>
    <xf numFmtId="0" fontId="7" fillId="0" borderId="8" xfId="0" applyFont="1" applyBorder="1" applyAlignment="1">
      <alignment horizontal="left" vertical="top"/>
    </xf>
    <xf numFmtId="0" fontId="7" fillId="0" borderId="10" xfId="0" applyFont="1" applyBorder="1" applyAlignment="1">
      <alignment vertical="top"/>
    </xf>
    <xf numFmtId="44" fontId="10" fillId="0" borderId="7" xfId="0" applyNumberFormat="1" applyFont="1" applyBorder="1" applyAlignment="1">
      <alignment vertical="top"/>
    </xf>
    <xf numFmtId="0" fontId="7" fillId="0" borderId="14" xfId="0" applyFont="1" applyBorder="1" applyAlignment="1">
      <alignment vertical="top" wrapText="1"/>
    </xf>
    <xf numFmtId="0" fontId="6" fillId="0" borderId="9" xfId="0" applyFont="1" applyBorder="1" applyAlignment="1">
      <alignment horizontal="left" vertical="top" wrapText="1"/>
    </xf>
    <xf numFmtId="0" fontId="6" fillId="2" borderId="13"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6" xfId="0" applyFont="1" applyFill="1" applyBorder="1" applyAlignment="1">
      <alignment horizontal="left" vertical="top" wrapText="1"/>
    </xf>
    <xf numFmtId="0" fontId="6" fillId="2" borderId="37" xfId="0" applyFont="1" applyFill="1" applyBorder="1" applyAlignment="1">
      <alignment horizontal="left" vertical="top" wrapText="1"/>
    </xf>
    <xf numFmtId="44" fontId="10" fillId="0" borderId="4" xfId="0" applyNumberFormat="1" applyFont="1" applyBorder="1" applyAlignment="1">
      <alignment horizontal="left" vertical="top"/>
    </xf>
    <xf numFmtId="44" fontId="10" fillId="0" borderId="9" xfId="0" applyNumberFormat="1" applyFont="1" applyBorder="1" applyAlignment="1">
      <alignment horizontal="left" vertical="top"/>
    </xf>
    <xf numFmtId="44" fontId="6" fillId="0" borderId="4" xfId="0" applyNumberFormat="1" applyFont="1" applyBorder="1" applyAlignment="1">
      <alignment vertical="top"/>
    </xf>
    <xf numFmtId="0" fontId="6" fillId="0" borderId="8" xfId="0" applyFont="1" applyBorder="1" applyAlignment="1">
      <alignment horizontal="left" vertical="top"/>
    </xf>
    <xf numFmtId="8" fontId="10" fillId="3" borderId="14" xfId="2" applyNumberFormat="1" applyFont="1" applyFill="1" applyBorder="1" applyAlignment="1" applyProtection="1">
      <alignment vertical="top"/>
    </xf>
    <xf numFmtId="169" fontId="10" fillId="0" borderId="0" xfId="1" applyNumberFormat="1" applyFont="1" applyAlignment="1" applyProtection="1">
      <alignment vertical="top"/>
    </xf>
    <xf numFmtId="0" fontId="6" fillId="2" borderId="13" xfId="0" applyFont="1" applyFill="1" applyBorder="1" applyAlignment="1">
      <alignment horizontal="left" vertical="top"/>
    </xf>
    <xf numFmtId="15" fontId="9" fillId="0" borderId="0" xfId="0" applyNumberFormat="1" applyFont="1" applyAlignment="1">
      <alignment horizontal="center" vertical="top" wrapText="1"/>
    </xf>
    <xf numFmtId="0" fontId="10" fillId="3" borderId="31" xfId="0" applyFont="1" applyFill="1" applyBorder="1" applyAlignment="1">
      <alignment horizontal="right" vertical="top"/>
    </xf>
    <xf numFmtId="0" fontId="10" fillId="3" borderId="8" xfId="0" applyFont="1" applyFill="1" applyBorder="1" applyAlignment="1">
      <alignment horizontal="right" vertical="top"/>
    </xf>
    <xf numFmtId="0" fontId="10" fillId="3" borderId="2" xfId="0" applyFont="1" applyFill="1" applyBorder="1" applyAlignment="1">
      <alignment horizontal="right" vertical="top"/>
    </xf>
    <xf numFmtId="0" fontId="11" fillId="0" borderId="8" xfId="0" applyFont="1" applyBorder="1" applyAlignment="1">
      <alignment horizontal="right" vertical="top"/>
    </xf>
    <xf numFmtId="0" fontId="6" fillId="2" borderId="25" xfId="0" applyFont="1" applyFill="1" applyBorder="1" applyAlignment="1">
      <alignment horizontal="center" vertical="top" wrapText="1"/>
    </xf>
    <xf numFmtId="44" fontId="6" fillId="2" borderId="5" xfId="0" applyNumberFormat="1" applyFont="1" applyFill="1" applyBorder="1" applyAlignment="1">
      <alignment horizontal="left" vertical="top"/>
    </xf>
    <xf numFmtId="0" fontId="6" fillId="2" borderId="1" xfId="0" applyFont="1" applyFill="1" applyBorder="1" applyAlignment="1">
      <alignment vertical="top"/>
    </xf>
    <xf numFmtId="44" fontId="10" fillId="3" borderId="5" xfId="2" applyFont="1" applyFill="1" applyBorder="1" applyAlignment="1" applyProtection="1">
      <alignment horizontal="left" vertical="top"/>
    </xf>
    <xf numFmtId="44" fontId="10" fillId="3" borderId="11" xfId="0" applyNumberFormat="1" applyFont="1" applyFill="1" applyBorder="1" applyAlignment="1">
      <alignment horizontal="left" vertical="top"/>
    </xf>
    <xf numFmtId="44" fontId="10" fillId="3" borderId="5" xfId="0" applyNumberFormat="1" applyFont="1" applyFill="1" applyBorder="1" applyAlignment="1">
      <alignment horizontal="left" vertical="top"/>
    </xf>
    <xf numFmtId="0" fontId="7" fillId="2" borderId="25" xfId="0" applyFont="1" applyFill="1" applyBorder="1" applyAlignment="1">
      <alignment vertical="top" wrapText="1"/>
    </xf>
    <xf numFmtId="0" fontId="6" fillId="2" borderId="7" xfId="0" applyFont="1" applyFill="1" applyBorder="1" applyAlignment="1">
      <alignment horizontal="center" vertical="top" wrapText="1"/>
    </xf>
    <xf numFmtId="0" fontId="7" fillId="2" borderId="18" xfId="0" applyFont="1" applyFill="1" applyBorder="1" applyAlignment="1">
      <alignment vertical="top" wrapText="1"/>
    </xf>
    <xf numFmtId="0" fontId="6" fillId="2" borderId="18" xfId="0" applyFont="1" applyFill="1" applyBorder="1" applyAlignment="1">
      <alignment horizontal="center" vertical="top" wrapText="1"/>
    </xf>
    <xf numFmtId="49" fontId="14" fillId="0" borderId="16" xfId="0" applyNumberFormat="1" applyFont="1" applyBorder="1" applyAlignment="1">
      <alignment horizontal="left" vertical="top"/>
    </xf>
    <xf numFmtId="0" fontId="15" fillId="0" borderId="25" xfId="0" applyFont="1" applyBorder="1" applyAlignment="1">
      <alignment vertical="top"/>
    </xf>
    <xf numFmtId="0" fontId="15" fillId="0" borderId="13" xfId="0" applyFont="1" applyBorder="1" applyAlignment="1">
      <alignment vertical="top" wrapText="1"/>
    </xf>
    <xf numFmtId="0" fontId="7" fillId="2" borderId="18" xfId="0" applyFont="1" applyFill="1" applyBorder="1" applyAlignment="1">
      <alignment horizontal="left" vertical="top"/>
    </xf>
    <xf numFmtId="0" fontId="7" fillId="0" borderId="44" xfId="0" applyFont="1" applyBorder="1" applyAlignment="1">
      <alignment horizontal="center" vertical="top" wrapText="1"/>
    </xf>
    <xf numFmtId="0" fontId="11" fillId="0" borderId="8" xfId="0" applyFont="1" applyBorder="1" applyAlignment="1">
      <alignment horizontal="center" vertical="top" wrapText="1"/>
    </xf>
    <xf numFmtId="0" fontId="8" fillId="0" borderId="2" xfId="0" applyFont="1" applyBorder="1" applyAlignment="1">
      <alignment horizontal="center" vertical="top" wrapText="1"/>
    </xf>
    <xf numFmtId="166" fontId="6" fillId="4" borderId="29" xfId="0" applyNumberFormat="1" applyFont="1" applyFill="1" applyBorder="1" applyAlignment="1">
      <alignment horizontal="center" vertical="top"/>
    </xf>
    <xf numFmtId="166" fontId="6" fillId="4" borderId="45" xfId="0" applyNumberFormat="1" applyFont="1" applyFill="1" applyBorder="1" applyAlignment="1">
      <alignment horizontal="center" vertical="top"/>
    </xf>
    <xf numFmtId="166" fontId="6" fillId="4" borderId="8" xfId="0" applyNumberFormat="1" applyFont="1" applyFill="1" applyBorder="1" applyAlignment="1">
      <alignment horizontal="center" vertical="top"/>
    </xf>
    <xf numFmtId="166" fontId="6" fillId="4" borderId="46" xfId="0" applyNumberFormat="1" applyFont="1" applyFill="1" applyBorder="1" applyAlignment="1">
      <alignment horizontal="center" vertical="top"/>
    </xf>
    <xf numFmtId="44" fontId="7" fillId="0" borderId="9" xfId="0" applyNumberFormat="1" applyFont="1" applyBorder="1" applyAlignment="1">
      <alignment horizontal="center" vertical="top"/>
    </xf>
    <xf numFmtId="44" fontId="7" fillId="0" borderId="0" xfId="2" applyFont="1" applyBorder="1" applyAlignment="1" applyProtection="1">
      <alignment horizontal="center" vertical="top"/>
    </xf>
    <xf numFmtId="44" fontId="7" fillId="0" borderId="3" xfId="0" applyNumberFormat="1" applyFont="1" applyBorder="1" applyAlignment="1">
      <alignment horizontal="center" vertical="top"/>
    </xf>
    <xf numFmtId="0" fontId="7" fillId="0" borderId="28" xfId="0" applyFont="1" applyBorder="1" applyAlignment="1">
      <alignment vertical="top"/>
    </xf>
    <xf numFmtId="0" fontId="7" fillId="0" borderId="3" xfId="0" applyFont="1" applyBorder="1" applyAlignment="1">
      <alignment vertical="top" wrapText="1"/>
    </xf>
    <xf numFmtId="0" fontId="8" fillId="0" borderId="0" xfId="0" applyFont="1" applyAlignment="1">
      <alignment vertical="top" wrapText="1"/>
    </xf>
    <xf numFmtId="0" fontId="7" fillId="0" borderId="28" xfId="0" applyFont="1" applyBorder="1" applyAlignment="1">
      <alignment vertical="top" wrapText="1"/>
    </xf>
    <xf numFmtId="0" fontId="11" fillId="0" borderId="0" xfId="0" applyFont="1" applyAlignment="1">
      <alignment horizontal="left" vertical="top" wrapText="1"/>
    </xf>
    <xf numFmtId="166" fontId="7" fillId="0" borderId="10" xfId="0" applyNumberFormat="1" applyFont="1" applyBorder="1" applyAlignment="1">
      <alignment horizontal="center" vertical="top"/>
    </xf>
    <xf numFmtId="166" fontId="7" fillId="0" borderId="8" xfId="0" applyNumberFormat="1" applyFont="1" applyBorder="1" applyAlignment="1">
      <alignment horizontal="center" vertical="top"/>
    </xf>
    <xf numFmtId="0" fontId="7" fillId="0" borderId="9" xfId="0" applyFont="1" applyBorder="1" applyAlignment="1">
      <alignment horizontal="center" vertical="top"/>
    </xf>
    <xf numFmtId="166" fontId="6" fillId="4" borderId="47" xfId="0" applyNumberFormat="1" applyFont="1" applyFill="1" applyBorder="1" applyAlignment="1">
      <alignment horizontal="center" vertical="top"/>
    </xf>
    <xf numFmtId="166" fontId="6" fillId="4" borderId="44" xfId="0" applyNumberFormat="1" applyFont="1" applyFill="1" applyBorder="1" applyAlignment="1">
      <alignment horizontal="center" vertical="top"/>
    </xf>
    <xf numFmtId="44" fontId="6" fillId="4" borderId="16" xfId="2" applyFont="1" applyFill="1" applyBorder="1" applyAlignment="1" applyProtection="1">
      <alignment horizontal="left" vertical="top"/>
    </xf>
    <xf numFmtId="166" fontId="6" fillId="4" borderId="28" xfId="0" applyNumberFormat="1" applyFont="1" applyFill="1" applyBorder="1" applyAlignment="1">
      <alignment horizontal="left" vertical="top"/>
    </xf>
    <xf numFmtId="166" fontId="6" fillId="4" borderId="3" xfId="0" applyNumberFormat="1" applyFont="1" applyFill="1" applyBorder="1" applyAlignment="1">
      <alignment horizontal="left" vertical="top"/>
    </xf>
    <xf numFmtId="166" fontId="7" fillId="0" borderId="0" xfId="0" applyNumberFormat="1" applyFont="1" applyAlignment="1">
      <alignment horizontal="left" vertical="top"/>
    </xf>
    <xf numFmtId="44" fontId="11" fillId="0" borderId="7" xfId="2" applyFont="1" applyFill="1" applyBorder="1" applyAlignment="1" applyProtection="1">
      <alignment horizontal="right" vertical="top" wrapText="1"/>
    </xf>
    <xf numFmtId="44" fontId="11" fillId="0" borderId="18" xfId="2" applyFont="1" applyFill="1" applyBorder="1" applyAlignment="1" applyProtection="1">
      <alignment horizontal="right" vertical="top" wrapText="1"/>
    </xf>
    <xf numFmtId="166" fontId="7" fillId="0" borderId="9" xfId="0" applyNumberFormat="1" applyFont="1" applyBorder="1" applyAlignment="1">
      <alignment horizontal="center" vertical="top"/>
    </xf>
    <xf numFmtId="44" fontId="7" fillId="0" borderId="4" xfId="0" applyNumberFormat="1" applyFont="1" applyBorder="1" applyAlignment="1">
      <alignment horizontal="center" vertical="top"/>
    </xf>
    <xf numFmtId="169" fontId="10" fillId="0" borderId="17" xfId="1" applyNumberFormat="1" applyFont="1" applyBorder="1" applyAlignment="1" applyProtection="1">
      <alignment vertical="top"/>
    </xf>
    <xf numFmtId="44" fontId="11" fillId="0" borderId="0" xfId="0" applyNumberFormat="1" applyFont="1" applyAlignment="1">
      <alignment horizontal="center" vertical="top"/>
    </xf>
    <xf numFmtId="49" fontId="6" fillId="0" borderId="0" xfId="0" applyNumberFormat="1" applyFont="1" applyAlignment="1">
      <alignment horizontal="right" vertical="top"/>
    </xf>
    <xf numFmtId="0" fontId="11" fillId="0" borderId="4" xfId="0" applyFont="1" applyBorder="1" applyAlignment="1">
      <alignment horizontal="right" vertical="top"/>
    </xf>
    <xf numFmtId="44" fontId="11" fillId="0" borderId="9" xfId="0" applyNumberFormat="1" applyFont="1" applyBorder="1" applyAlignment="1">
      <alignment vertical="top"/>
    </xf>
    <xf numFmtId="0" fontId="6" fillId="0" borderId="6" xfId="0" applyFont="1" applyBorder="1" applyAlignment="1">
      <alignment horizontal="left" vertical="top"/>
    </xf>
    <xf numFmtId="0" fontId="6" fillId="0" borderId="17" xfId="0" applyFont="1" applyBorder="1" applyAlignment="1">
      <alignment horizontal="left" vertical="top" wrapText="1"/>
    </xf>
    <xf numFmtId="170" fontId="6" fillId="0" borderId="9" xfId="0" applyNumberFormat="1" applyFont="1" applyBorder="1" applyAlignment="1">
      <alignment horizontal="right" vertical="top"/>
    </xf>
    <xf numFmtId="170" fontId="6" fillId="0" borderId="6" xfId="0" applyNumberFormat="1" applyFont="1" applyBorder="1" applyAlignment="1">
      <alignment horizontal="right" vertical="top"/>
    </xf>
    <xf numFmtId="0" fontId="7" fillId="0" borderId="4" xfId="0" applyFont="1" applyBorder="1" applyAlignment="1">
      <alignment horizontal="centerContinuous" vertical="top" wrapText="1"/>
    </xf>
    <xf numFmtId="170" fontId="7" fillId="0" borderId="6" xfId="0" applyNumberFormat="1" applyFont="1" applyBorder="1" applyAlignment="1">
      <alignment horizontal="center" vertical="top"/>
    </xf>
    <xf numFmtId="170" fontId="6" fillId="0" borderId="3" xfId="0" applyNumberFormat="1" applyFont="1" applyBorder="1" applyAlignment="1">
      <alignment horizontal="right" vertical="top"/>
    </xf>
    <xf numFmtId="1" fontId="6" fillId="0" borderId="4" xfId="0" applyNumberFormat="1" applyFont="1" applyBorder="1" applyAlignment="1">
      <alignment horizontal="center" vertical="top"/>
    </xf>
    <xf numFmtId="0" fontId="6" fillId="0" borderId="3" xfId="0" applyFont="1" applyBorder="1" applyAlignment="1">
      <alignment horizontal="left" vertical="top" wrapText="1"/>
    </xf>
    <xf numFmtId="169" fontId="6" fillId="0" borderId="17" xfId="1" applyNumberFormat="1" applyFont="1" applyBorder="1" applyAlignment="1" applyProtection="1">
      <alignment vertical="top"/>
    </xf>
    <xf numFmtId="0" fontId="10" fillId="3" borderId="25" xfId="0" applyFont="1" applyFill="1" applyBorder="1" applyAlignment="1">
      <alignment horizontal="right" vertical="top"/>
    </xf>
    <xf numFmtId="0" fontId="6" fillId="2" borderId="16" xfId="0" applyFont="1" applyFill="1" applyBorder="1" applyAlignment="1">
      <alignment horizontal="right" vertical="top"/>
    </xf>
    <xf numFmtId="44" fontId="7" fillId="2" borderId="4" xfId="0" applyNumberFormat="1" applyFont="1" applyFill="1" applyBorder="1" applyAlignment="1">
      <alignment vertical="top"/>
    </xf>
    <xf numFmtId="44" fontId="6" fillId="2" borderId="14" xfId="2" applyFont="1" applyFill="1" applyBorder="1" applyAlignment="1" applyProtection="1">
      <alignment vertical="top"/>
    </xf>
    <xf numFmtId="44" fontId="6" fillId="2" borderId="13" xfId="0" applyNumberFormat="1" applyFont="1" applyFill="1" applyBorder="1" applyAlignment="1">
      <alignment horizontal="left" vertical="top"/>
    </xf>
    <xf numFmtId="44" fontId="6" fillId="2" borderId="14" xfId="2" applyFont="1" applyFill="1" applyBorder="1" applyAlignment="1" applyProtection="1">
      <alignment horizontal="left" vertical="top"/>
    </xf>
    <xf numFmtId="44" fontId="7" fillId="2" borderId="13" xfId="0" applyNumberFormat="1" applyFont="1" applyFill="1" applyBorder="1" applyAlignment="1">
      <alignment horizontal="left" vertical="top"/>
    </xf>
    <xf numFmtId="44" fontId="6" fillId="2" borderId="14" xfId="2" applyFont="1" applyFill="1" applyBorder="1" applyAlignment="1" applyProtection="1">
      <alignment horizontal="right" vertical="top"/>
    </xf>
    <xf numFmtId="44" fontId="6" fillId="2" borderId="16" xfId="2" applyFont="1" applyFill="1" applyBorder="1" applyAlignment="1" applyProtection="1">
      <alignment horizontal="left" vertical="top"/>
    </xf>
    <xf numFmtId="44" fontId="6" fillId="2" borderId="25" xfId="2" applyFont="1" applyFill="1" applyBorder="1" applyAlignment="1" applyProtection="1">
      <alignment horizontal="right" vertical="top"/>
    </xf>
    <xf numFmtId="44" fontId="6" fillId="2" borderId="4" xfId="0" applyNumberFormat="1" applyFont="1" applyFill="1" applyBorder="1" applyAlignment="1">
      <alignment horizontal="left" vertical="top"/>
    </xf>
    <xf numFmtId="44" fontId="7" fillId="2" borderId="13" xfId="0" applyNumberFormat="1" applyFont="1" applyFill="1" applyBorder="1" applyAlignment="1">
      <alignment vertical="top"/>
    </xf>
    <xf numFmtId="44" fontId="6" fillId="2" borderId="0" xfId="0" applyNumberFormat="1" applyFont="1" applyFill="1" applyAlignment="1">
      <alignment horizontal="left" vertical="top"/>
    </xf>
    <xf numFmtId="171" fontId="7" fillId="0" borderId="10" xfId="0" applyNumberFormat="1" applyFont="1" applyBorder="1" applyAlignment="1">
      <alignment horizontal="center" vertical="top"/>
    </xf>
    <xf numFmtId="0" fontId="7" fillId="0" borderId="8" xfId="0" applyFont="1" applyBorder="1" applyAlignment="1">
      <alignment horizontal="right" vertical="top"/>
    </xf>
    <xf numFmtId="0" fontId="7" fillId="0" borderId="3" xfId="0" applyFont="1" applyBorder="1" applyAlignment="1">
      <alignment vertical="top"/>
    </xf>
    <xf numFmtId="0" fontId="7" fillId="6" borderId="8" xfId="0" applyFont="1" applyFill="1" applyBorder="1" applyAlignment="1">
      <alignment vertical="top" wrapText="1"/>
    </xf>
    <xf numFmtId="0" fontId="7" fillId="6" borderId="10" xfId="0" applyFont="1" applyFill="1" applyBorder="1" applyAlignment="1">
      <alignment vertical="top" wrapText="1"/>
    </xf>
    <xf numFmtId="44" fontId="7" fillId="6" borderId="4" xfId="0" applyNumberFormat="1" applyFont="1" applyFill="1" applyBorder="1" applyAlignment="1">
      <alignment vertical="top" wrapText="1"/>
    </xf>
    <xf numFmtId="17" fontId="7" fillId="6" borderId="8" xfId="0" applyNumberFormat="1" applyFont="1" applyFill="1" applyBorder="1" applyAlignment="1">
      <alignment vertical="top" wrapText="1"/>
    </xf>
    <xf numFmtId="0" fontId="7" fillId="6" borderId="8" xfId="0" applyFont="1" applyFill="1" applyBorder="1" applyAlignment="1">
      <alignment horizontal="left" vertical="top" wrapText="1"/>
    </xf>
    <xf numFmtId="0" fontId="6" fillId="6" borderId="18" xfId="0" applyFont="1" applyFill="1" applyBorder="1" applyAlignment="1">
      <alignment horizontal="center" vertical="top" wrapText="1"/>
    </xf>
    <xf numFmtId="49" fontId="6" fillId="6" borderId="3" xfId="0" applyNumberFormat="1" applyFont="1" applyFill="1" applyBorder="1" applyAlignment="1">
      <alignment horizontal="left" vertical="top" wrapText="1"/>
    </xf>
    <xf numFmtId="0" fontId="7" fillId="6" borderId="18" xfId="0" applyFont="1" applyFill="1" applyBorder="1" applyAlignment="1">
      <alignment vertical="top" wrapText="1"/>
    </xf>
    <xf numFmtId="0" fontId="7" fillId="6" borderId="2" xfId="0" applyFont="1" applyFill="1" applyBorder="1" applyAlignment="1">
      <alignment vertical="top" wrapText="1"/>
    </xf>
    <xf numFmtId="0" fontId="7" fillId="6" borderId="6" xfId="0" applyFont="1" applyFill="1" applyBorder="1" applyAlignment="1">
      <alignment vertical="top" wrapText="1"/>
    </xf>
    <xf numFmtId="0" fontId="7" fillId="6" borderId="12" xfId="0" applyFont="1" applyFill="1" applyBorder="1" applyAlignment="1">
      <alignment vertical="top" wrapText="1"/>
    </xf>
    <xf numFmtId="44" fontId="7" fillId="6" borderId="6" xfId="0" applyNumberFormat="1" applyFont="1" applyFill="1" applyBorder="1" applyAlignment="1">
      <alignment vertical="top" wrapText="1"/>
    </xf>
    <xf numFmtId="17" fontId="7" fillId="6" borderId="2" xfId="0" applyNumberFormat="1" applyFont="1" applyFill="1" applyBorder="1" applyAlignment="1">
      <alignment vertical="top" wrapText="1"/>
    </xf>
    <xf numFmtId="44" fontId="6" fillId="6" borderId="6" xfId="0" applyNumberFormat="1" applyFont="1" applyFill="1" applyBorder="1" applyAlignment="1">
      <alignment vertical="top" wrapText="1"/>
    </xf>
    <xf numFmtId="0" fontId="7" fillId="6" borderId="2" xfId="0" applyFont="1" applyFill="1" applyBorder="1" applyAlignment="1">
      <alignment horizontal="left" vertical="top" wrapText="1"/>
    </xf>
    <xf numFmtId="44" fontId="6" fillId="6" borderId="18" xfId="2" applyFont="1" applyFill="1" applyBorder="1" applyAlignment="1" applyProtection="1">
      <alignment vertical="top" wrapText="1"/>
    </xf>
    <xf numFmtId="166" fontId="7" fillId="6" borderId="2" xfId="0" applyNumberFormat="1" applyFont="1" applyFill="1" applyBorder="1" applyAlignment="1">
      <alignment horizontal="center" vertical="top" wrapText="1"/>
    </xf>
    <xf numFmtId="17" fontId="25" fillId="6" borderId="8" xfId="0" applyNumberFormat="1" applyFont="1" applyFill="1" applyBorder="1" applyAlignment="1">
      <alignment vertical="top" wrapText="1"/>
    </xf>
    <xf numFmtId="166" fontId="7" fillId="4" borderId="51" xfId="0" applyNumberFormat="1" applyFont="1" applyFill="1" applyBorder="1" applyAlignment="1">
      <alignment horizontal="center" vertical="top" wrapText="1"/>
    </xf>
    <xf numFmtId="166" fontId="7" fillId="4" borderId="34" xfId="0" applyNumberFormat="1" applyFont="1" applyFill="1" applyBorder="1" applyAlignment="1">
      <alignment horizontal="center" vertical="top" wrapText="1"/>
    </xf>
    <xf numFmtId="49" fontId="6" fillId="0" borderId="22" xfId="0" applyNumberFormat="1" applyFont="1" applyBorder="1" applyAlignment="1">
      <alignment horizontal="left" vertical="top" wrapText="1"/>
    </xf>
    <xf numFmtId="0" fontId="25" fillId="0" borderId="0" xfId="0" applyFont="1" applyAlignment="1">
      <alignment horizontal="right" vertical="top"/>
    </xf>
    <xf numFmtId="44" fontId="25" fillId="0" borderId="0" xfId="0" applyNumberFormat="1" applyFont="1" applyAlignment="1">
      <alignment vertical="top"/>
    </xf>
    <xf numFmtId="0" fontId="25" fillId="0" borderId="8" xfId="0" applyFont="1" applyBorder="1" applyAlignment="1">
      <alignment vertical="top"/>
    </xf>
    <xf numFmtId="44" fontId="25" fillId="0" borderId="4" xfId="0" applyNumberFormat="1" applyFont="1" applyBorder="1" applyAlignment="1">
      <alignment vertical="top"/>
    </xf>
    <xf numFmtId="44" fontId="25" fillId="0" borderId="0" xfId="0" applyNumberFormat="1" applyFont="1" applyAlignment="1">
      <alignment horizontal="center" vertical="top"/>
    </xf>
    <xf numFmtId="15" fontId="25" fillId="0" borderId="0" xfId="0" applyNumberFormat="1" applyFont="1" applyAlignment="1">
      <alignment horizontal="center" vertical="top"/>
    </xf>
    <xf numFmtId="0" fontId="26" fillId="3" borderId="0" xfId="0" applyFont="1" applyFill="1" applyAlignment="1">
      <alignment horizontal="right" vertical="top"/>
    </xf>
    <xf numFmtId="44" fontId="26" fillId="3" borderId="13" xfId="2" applyFont="1" applyFill="1" applyBorder="1" applyAlignment="1" applyProtection="1">
      <alignment horizontal="right" vertical="top"/>
    </xf>
    <xf numFmtId="8" fontId="26" fillId="3" borderId="16" xfId="0" applyNumberFormat="1" applyFont="1" applyFill="1" applyBorder="1" applyAlignment="1">
      <alignment horizontal="right" vertical="top"/>
    </xf>
    <xf numFmtId="8" fontId="26" fillId="3" borderId="14" xfId="2" applyNumberFormat="1" applyFont="1" applyFill="1" applyBorder="1" applyAlignment="1" applyProtection="1">
      <alignment horizontal="right" vertical="top"/>
    </xf>
    <xf numFmtId="8" fontId="26" fillId="3" borderId="13" xfId="0" applyNumberFormat="1" applyFont="1" applyFill="1" applyBorder="1" applyAlignment="1">
      <alignment horizontal="right" vertical="top"/>
    </xf>
    <xf numFmtId="8" fontId="26" fillId="3" borderId="14" xfId="2" applyNumberFormat="1" applyFont="1" applyFill="1" applyBorder="1" applyAlignment="1" applyProtection="1">
      <alignment vertical="top"/>
    </xf>
    <xf numFmtId="8" fontId="26" fillId="3" borderId="16" xfId="2" applyNumberFormat="1" applyFont="1" applyFill="1" applyBorder="1" applyAlignment="1" applyProtection="1">
      <alignment horizontal="right" vertical="top"/>
    </xf>
    <xf numFmtId="0" fontId="26" fillId="3" borderId="25" xfId="0" applyFont="1" applyFill="1" applyBorder="1" applyAlignment="1">
      <alignment horizontal="right" vertical="top"/>
    </xf>
    <xf numFmtId="0" fontId="25" fillId="0" borderId="0" xfId="0" applyFont="1" applyAlignment="1">
      <alignment vertical="top"/>
    </xf>
    <xf numFmtId="8" fontId="25" fillId="0" borderId="0" xfId="0" applyNumberFormat="1" applyFont="1" applyAlignment="1">
      <alignment horizontal="right" vertical="top"/>
    </xf>
    <xf numFmtId="44" fontId="25" fillId="0" borderId="4" xfId="2" applyFont="1" applyFill="1" applyBorder="1" applyAlignment="1" applyProtection="1">
      <alignment horizontal="right" vertical="top"/>
    </xf>
    <xf numFmtId="44" fontId="25" fillId="0" borderId="9" xfId="0" applyNumberFormat="1" applyFont="1" applyBorder="1" applyAlignment="1">
      <alignment horizontal="right" vertical="top"/>
    </xf>
    <xf numFmtId="8" fontId="25" fillId="0" borderId="4" xfId="0" applyNumberFormat="1" applyFont="1" applyBorder="1" applyAlignment="1">
      <alignment horizontal="right" vertical="top"/>
    </xf>
    <xf numFmtId="8" fontId="25" fillId="0" borderId="9" xfId="0" applyNumberFormat="1" applyFont="1" applyBorder="1" applyAlignment="1">
      <alignment horizontal="right" vertical="top"/>
    </xf>
    <xf numFmtId="44" fontId="25" fillId="0" borderId="7" xfId="0" applyNumberFormat="1" applyFont="1" applyBorder="1" applyAlignment="1">
      <alignment horizontal="right" vertical="top"/>
    </xf>
    <xf numFmtId="8" fontId="26" fillId="0" borderId="0" xfId="0" applyNumberFormat="1" applyFont="1" applyAlignment="1">
      <alignment horizontal="center" vertical="top" wrapText="1"/>
    </xf>
    <xf numFmtId="0" fontId="25" fillId="0" borderId="0" xfId="0" applyFont="1" applyAlignment="1">
      <alignment horizontal="right" vertical="top" wrapText="1"/>
    </xf>
    <xf numFmtId="44" fontId="26" fillId="0" borderId="4" xfId="2" applyFont="1" applyFill="1" applyBorder="1" applyAlignment="1" applyProtection="1">
      <alignment horizontal="right" vertical="top"/>
    </xf>
    <xf numFmtId="15" fontId="26" fillId="3" borderId="11" xfId="0" applyNumberFormat="1" applyFont="1" applyFill="1" applyBorder="1" applyAlignment="1">
      <alignment horizontal="center" vertical="top"/>
    </xf>
    <xf numFmtId="15" fontId="25" fillId="3" borderId="19" xfId="0" applyNumberFormat="1" applyFont="1" applyFill="1" applyBorder="1" applyAlignment="1">
      <alignment horizontal="center" vertical="top"/>
    </xf>
    <xf numFmtId="0" fontId="26" fillId="3" borderId="31" xfId="0" applyFont="1" applyFill="1" applyBorder="1" applyAlignment="1">
      <alignment horizontal="right" vertical="top"/>
    </xf>
    <xf numFmtId="44" fontId="26" fillId="3" borderId="5" xfId="2" applyFont="1" applyFill="1" applyBorder="1" applyAlignment="1" applyProtection="1">
      <alignment horizontal="left" vertical="top"/>
    </xf>
    <xf numFmtId="0" fontId="26" fillId="3" borderId="15" xfId="0" applyFont="1" applyFill="1" applyBorder="1" applyAlignment="1">
      <alignment horizontal="center" vertical="top"/>
    </xf>
    <xf numFmtId="0" fontId="26" fillId="3" borderId="0" xfId="0" applyFont="1" applyFill="1" applyAlignment="1">
      <alignment horizontal="center" vertical="top"/>
    </xf>
    <xf numFmtId="15" fontId="26" fillId="3" borderId="10" xfId="0" applyNumberFormat="1" applyFont="1" applyFill="1" applyBorder="1" applyAlignment="1">
      <alignment horizontal="center" vertical="top"/>
    </xf>
    <xf numFmtId="0" fontId="26" fillId="3" borderId="8" xfId="0" applyFont="1" applyFill="1" applyBorder="1" applyAlignment="1">
      <alignment horizontal="right" vertical="top"/>
    </xf>
    <xf numFmtId="0" fontId="26" fillId="3" borderId="3" xfId="0" applyFont="1" applyFill="1" applyBorder="1" applyAlignment="1">
      <alignment horizontal="center" vertical="top"/>
    </xf>
    <xf numFmtId="15" fontId="26" fillId="3" borderId="12" xfId="0" applyNumberFormat="1" applyFont="1" applyFill="1" applyBorder="1" applyAlignment="1">
      <alignment horizontal="center" vertical="top"/>
    </xf>
    <xf numFmtId="0" fontId="26" fillId="3" borderId="2" xfId="0" applyFont="1" applyFill="1" applyBorder="1" applyAlignment="1">
      <alignment horizontal="right" vertical="top"/>
    </xf>
    <xf numFmtId="44" fontId="26" fillId="3" borderId="6" xfId="2" applyFont="1" applyFill="1" applyBorder="1" applyAlignment="1" applyProtection="1">
      <alignment horizontal="center" vertical="top"/>
    </xf>
    <xf numFmtId="0" fontId="26" fillId="3" borderId="2" xfId="0" applyFont="1" applyFill="1" applyBorder="1" applyAlignment="1">
      <alignment horizontal="left" vertical="top"/>
    </xf>
    <xf numFmtId="44" fontId="26" fillId="3" borderId="3" xfId="0" applyNumberFormat="1" applyFont="1" applyFill="1" applyBorder="1" applyAlignment="1">
      <alignment horizontal="center" vertical="top"/>
    </xf>
    <xf numFmtId="44" fontId="26" fillId="3" borderId="6" xfId="0" applyNumberFormat="1" applyFont="1" applyFill="1" applyBorder="1" applyAlignment="1">
      <alignment horizontal="center" vertical="top"/>
    </xf>
    <xf numFmtId="0" fontId="26" fillId="3" borderId="12" xfId="0" applyFont="1" applyFill="1" applyBorder="1" applyAlignment="1">
      <alignment horizontal="left" vertical="top"/>
    </xf>
    <xf numFmtId="0" fontId="25" fillId="0" borderId="0" xfId="0" applyFont="1" applyAlignment="1">
      <alignment vertical="top" wrapText="1"/>
    </xf>
    <xf numFmtId="0" fontId="26" fillId="0" borderId="0" xfId="0" applyFont="1" applyAlignment="1">
      <alignment horizontal="center" vertical="top"/>
    </xf>
    <xf numFmtId="15" fontId="25" fillId="0" borderId="10" xfId="0" applyNumberFormat="1" applyFont="1" applyBorder="1" applyAlignment="1">
      <alignment horizontal="center" vertical="top"/>
    </xf>
    <xf numFmtId="0" fontId="25" fillId="0" borderId="8" xfId="0" applyFont="1" applyBorder="1" applyAlignment="1">
      <alignment horizontal="right" vertical="top"/>
    </xf>
    <xf numFmtId="44" fontId="25" fillId="0" borderId="4" xfId="2" applyFont="1" applyFill="1" applyBorder="1" applyAlignment="1" applyProtection="1">
      <alignment vertical="top"/>
    </xf>
    <xf numFmtId="0" fontId="25" fillId="0" borderId="10" xfId="0" applyFont="1" applyBorder="1" applyAlignment="1">
      <alignment vertical="top"/>
    </xf>
    <xf numFmtId="17" fontId="25" fillId="6" borderId="8" xfId="0" applyNumberFormat="1" applyFont="1" applyFill="1" applyBorder="1" applyAlignment="1">
      <alignment vertical="top"/>
    </xf>
    <xf numFmtId="44" fontId="25" fillId="6" borderId="4" xfId="0" applyNumberFormat="1" applyFont="1" applyFill="1" applyBorder="1" applyAlignment="1">
      <alignment vertical="top"/>
    </xf>
    <xf numFmtId="44" fontId="26" fillId="0" borderId="7" xfId="0" applyNumberFormat="1" applyFont="1" applyBorder="1" applyAlignment="1">
      <alignment vertical="top"/>
    </xf>
    <xf numFmtId="0" fontId="25" fillId="6" borderId="8" xfId="0" applyFont="1" applyFill="1" applyBorder="1" applyAlignment="1">
      <alignment vertical="top"/>
    </xf>
    <xf numFmtId="0" fontId="25" fillId="6" borderId="10" xfId="0" applyFont="1" applyFill="1" applyBorder="1" applyAlignment="1">
      <alignment vertical="top"/>
    </xf>
    <xf numFmtId="0" fontId="5" fillId="0" borderId="0" xfId="0" applyFont="1" applyAlignment="1">
      <alignment vertical="top" wrapText="1"/>
    </xf>
    <xf numFmtId="0" fontId="36" fillId="7" borderId="54" xfId="0" applyFont="1" applyFill="1" applyBorder="1" applyAlignment="1">
      <alignment horizontal="left" vertical="top"/>
    </xf>
    <xf numFmtId="0" fontId="14" fillId="7" borderId="55" xfId="0" applyFont="1" applyFill="1" applyBorder="1" applyAlignment="1">
      <alignment horizontal="center" vertical="top" wrapText="1"/>
    </xf>
    <xf numFmtId="0" fontId="5" fillId="7" borderId="55" xfId="0" applyFont="1" applyFill="1" applyBorder="1" applyAlignment="1">
      <alignment horizontal="center" vertical="top" wrapText="1"/>
    </xf>
    <xf numFmtId="165" fontId="5" fillId="7" borderId="55" xfId="0" applyNumberFormat="1" applyFont="1" applyFill="1" applyBorder="1" applyAlignment="1">
      <alignment horizontal="center" vertical="top" wrapText="1"/>
    </xf>
    <xf numFmtId="0" fontId="5" fillId="7" borderId="55" xfId="0" applyFont="1" applyFill="1" applyBorder="1" applyAlignment="1">
      <alignment vertical="top" wrapText="1"/>
    </xf>
    <xf numFmtId="0" fontId="5" fillId="7" borderId="56" xfId="0" applyFont="1" applyFill="1" applyBorder="1" applyAlignment="1">
      <alignment horizontal="center" vertical="top" wrapText="1"/>
    </xf>
    <xf numFmtId="0" fontId="33" fillId="7" borderId="55" xfId="0" applyFont="1" applyFill="1" applyBorder="1" applyAlignment="1">
      <alignment vertical="top" wrapText="1"/>
    </xf>
    <xf numFmtId="0" fontId="32" fillId="7" borderId="55" xfId="0" applyFont="1" applyFill="1" applyBorder="1" applyAlignment="1">
      <alignment vertical="top" wrapText="1"/>
    </xf>
    <xf numFmtId="0" fontId="33" fillId="7" borderId="56" xfId="0" applyFont="1" applyFill="1" applyBorder="1" applyAlignment="1">
      <alignment vertical="top" wrapText="1"/>
    </xf>
    <xf numFmtId="0" fontId="5" fillId="7" borderId="56" xfId="0" applyFont="1" applyFill="1" applyBorder="1" applyAlignment="1">
      <alignment vertical="top" wrapText="1"/>
    </xf>
    <xf numFmtId="0" fontId="28" fillId="7" borderId="55" xfId="0" applyFont="1" applyFill="1" applyBorder="1" applyAlignment="1">
      <alignment horizontal="center" vertical="top" wrapText="1"/>
    </xf>
    <xf numFmtId="0" fontId="32" fillId="7" borderId="54" xfId="0" applyFont="1" applyFill="1" applyBorder="1" applyAlignment="1">
      <alignment vertical="top" wrapText="1"/>
    </xf>
    <xf numFmtId="0" fontId="29" fillId="7" borderId="56" xfId="0" applyFont="1" applyFill="1" applyBorder="1" applyAlignment="1">
      <alignment vertical="top" wrapText="1"/>
    </xf>
    <xf numFmtId="4" fontId="33" fillId="0" borderId="9" xfId="0" applyNumberFormat="1" applyFont="1" applyBorder="1" applyAlignment="1">
      <alignment vertical="top" wrapText="1"/>
    </xf>
    <xf numFmtId="4" fontId="5" fillId="0" borderId="9" xfId="0" applyNumberFormat="1" applyFont="1" applyBorder="1" applyAlignment="1">
      <alignment vertical="top" wrapText="1"/>
    </xf>
    <xf numFmtId="4" fontId="5" fillId="0" borderId="4" xfId="0" applyNumberFormat="1" applyFont="1" applyBorder="1" applyAlignment="1">
      <alignment vertical="top" wrapText="1"/>
    </xf>
    <xf numFmtId="4" fontId="32" fillId="0" borderId="0" xfId="0" applyNumberFormat="1" applyFont="1" applyAlignment="1">
      <alignment vertical="top" wrapText="1"/>
    </xf>
    <xf numFmtId="0" fontId="14" fillId="0" borderId="0" xfId="0" applyFont="1" applyAlignment="1">
      <alignment horizontal="center" vertical="top" wrapText="1"/>
    </xf>
    <xf numFmtId="0" fontId="5" fillId="0" borderId="0" xfId="0" applyFont="1" applyAlignment="1">
      <alignment horizontal="center" vertical="top" wrapText="1"/>
    </xf>
    <xf numFmtId="165" fontId="5" fillId="0" borderId="0" xfId="0" applyNumberFormat="1" applyFont="1" applyAlignment="1">
      <alignment horizontal="center" vertical="top" wrapText="1"/>
    </xf>
    <xf numFmtId="0" fontId="5" fillId="0" borderId="9" xfId="0" applyFont="1" applyBorder="1" applyAlignment="1">
      <alignment horizontal="center" vertical="top" wrapText="1"/>
    </xf>
    <xf numFmtId="0" fontId="5" fillId="0" borderId="4" xfId="0" applyFont="1" applyBorder="1" applyAlignment="1">
      <alignment vertical="top" wrapText="1"/>
    </xf>
    <xf numFmtId="0" fontId="33" fillId="0" borderId="0" xfId="0" applyFont="1" applyAlignment="1">
      <alignment vertical="top" wrapText="1"/>
    </xf>
    <xf numFmtId="0" fontId="28" fillId="0" borderId="0" xfId="0" applyFont="1" applyAlignment="1">
      <alignment horizontal="center" vertical="top" wrapText="1"/>
    </xf>
    <xf numFmtId="165" fontId="28" fillId="0" borderId="10" xfId="0" applyNumberFormat="1" applyFont="1" applyBorder="1" applyAlignment="1">
      <alignment horizontal="center" vertical="top" wrapText="1"/>
    </xf>
    <xf numFmtId="40" fontId="33" fillId="0" borderId="4" xfId="0" applyNumberFormat="1" applyFont="1" applyBorder="1" applyAlignment="1">
      <alignment vertical="top" wrapText="1"/>
    </xf>
    <xf numFmtId="40" fontId="33" fillId="0" borderId="0" xfId="0" applyNumberFormat="1" applyFont="1" applyAlignment="1">
      <alignment vertical="top" wrapText="1"/>
    </xf>
    <xf numFmtId="0" fontId="14" fillId="0" borderId="4" xfId="0" applyFont="1" applyBorder="1" applyAlignment="1">
      <alignment horizontal="center" vertical="top" wrapText="1"/>
    </xf>
    <xf numFmtId="44" fontId="29" fillId="0" borderId="0" xfId="2" applyFont="1" applyFill="1" applyAlignment="1" applyProtection="1">
      <alignment horizontal="center" vertical="top" wrapText="1"/>
    </xf>
    <xf numFmtId="0" fontId="5" fillId="0" borderId="16" xfId="0" applyFont="1" applyBorder="1" applyAlignment="1">
      <alignment vertical="top" wrapText="1"/>
    </xf>
    <xf numFmtId="0" fontId="5" fillId="0" borderId="14" xfId="0" applyFont="1" applyBorder="1" applyAlignment="1">
      <alignment vertical="top" wrapText="1"/>
    </xf>
    <xf numFmtId="168" fontId="28" fillId="0" borderId="9" xfId="1" applyNumberFormat="1" applyFont="1" applyFill="1" applyBorder="1" applyAlignment="1" applyProtection="1">
      <alignment horizontal="center" vertical="top" wrapText="1"/>
    </xf>
    <xf numFmtId="0" fontId="5" fillId="0" borderId="47" xfId="0" applyFont="1" applyBorder="1" applyAlignment="1">
      <alignment vertical="top" wrapText="1"/>
    </xf>
    <xf numFmtId="0" fontId="5" fillId="0" borderId="13" xfId="0" applyFont="1" applyBorder="1" applyAlignment="1">
      <alignment vertical="top" wrapText="1"/>
    </xf>
    <xf numFmtId="173" fontId="5" fillId="0" borderId="16" xfId="0" applyNumberFormat="1" applyFont="1" applyBorder="1" applyAlignment="1">
      <alignment vertical="top" wrapText="1"/>
    </xf>
    <xf numFmtId="173" fontId="28" fillId="0" borderId="0" xfId="0" applyNumberFormat="1" applyFont="1" applyAlignment="1">
      <alignment horizontal="center" vertical="top" wrapText="1"/>
    </xf>
    <xf numFmtId="44" fontId="5" fillId="0" borderId="0" xfId="0" applyNumberFormat="1" applyFont="1" applyAlignment="1">
      <alignment vertical="top" wrapText="1"/>
    </xf>
    <xf numFmtId="0" fontId="28" fillId="0" borderId="4" xfId="0" applyFont="1" applyBorder="1" applyAlignment="1">
      <alignment horizontal="center" vertical="top" wrapText="1"/>
    </xf>
    <xf numFmtId="0" fontId="32" fillId="6" borderId="0" xfId="0" applyFont="1" applyFill="1" applyAlignment="1">
      <alignment vertical="top" wrapText="1"/>
    </xf>
    <xf numFmtId="0" fontId="5" fillId="0" borderId="3" xfId="0" applyFont="1" applyBorder="1" applyAlignment="1">
      <alignment vertical="top" wrapText="1"/>
    </xf>
    <xf numFmtId="4" fontId="32" fillId="0" borderId="16" xfId="0" applyNumberFormat="1" applyFont="1" applyBorder="1" applyAlignment="1">
      <alignment vertical="top" wrapText="1"/>
    </xf>
    <xf numFmtId="0" fontId="5" fillId="0" borderId="9" xfId="0" applyFont="1" applyBorder="1" applyAlignment="1">
      <alignment vertical="top" wrapText="1"/>
    </xf>
    <xf numFmtId="4" fontId="5" fillId="0" borderId="13" xfId="0" applyNumberFormat="1" applyFont="1" applyBorder="1" applyAlignment="1">
      <alignment vertical="top" wrapText="1"/>
    </xf>
    <xf numFmtId="0" fontId="14" fillId="0" borderId="16" xfId="0" applyFont="1" applyBorder="1" applyAlignment="1">
      <alignment horizontal="center" vertical="top" wrapText="1"/>
    </xf>
    <xf numFmtId="4" fontId="28" fillId="0" borderId="9" xfId="0" applyNumberFormat="1" applyFont="1" applyBorder="1" applyAlignment="1">
      <alignment vertical="top" wrapText="1"/>
    </xf>
    <xf numFmtId="4" fontId="5" fillId="0" borderId="14" xfId="0" applyNumberFormat="1" applyFont="1" applyBorder="1" applyAlignment="1">
      <alignment vertical="top" wrapText="1"/>
    </xf>
    <xf numFmtId="4" fontId="33" fillId="0" borderId="14" xfId="0" applyNumberFormat="1" applyFont="1" applyBorder="1" applyAlignment="1">
      <alignment vertical="top" wrapText="1"/>
    </xf>
    <xf numFmtId="0" fontId="14" fillId="0" borderId="13" xfId="0" applyFont="1" applyBorder="1" applyAlignment="1">
      <alignment vertical="top"/>
    </xf>
    <xf numFmtId="0" fontId="5" fillId="0" borderId="16" xfId="0" applyFont="1" applyBorder="1" applyAlignment="1">
      <alignment horizontal="center" vertical="top" wrapText="1"/>
    </xf>
    <xf numFmtId="165" fontId="5" fillId="0" borderId="16" xfId="0" applyNumberFormat="1" applyFont="1" applyBorder="1" applyAlignment="1">
      <alignment horizontal="center" vertical="top" wrapText="1"/>
    </xf>
    <xf numFmtId="0" fontId="5" fillId="0" borderId="14" xfId="0" applyFont="1" applyBorder="1" applyAlignment="1">
      <alignment horizontal="center" vertical="top" wrapText="1"/>
    </xf>
    <xf numFmtId="0" fontId="33" fillId="0" borderId="14" xfId="0" applyFont="1" applyBorder="1" applyAlignment="1">
      <alignment vertical="top" wrapText="1"/>
    </xf>
    <xf numFmtId="0" fontId="33" fillId="0" borderId="9" xfId="0" applyFont="1" applyBorder="1" applyAlignment="1">
      <alignment vertical="top" wrapText="1"/>
    </xf>
    <xf numFmtId="0" fontId="14" fillId="0" borderId="23" xfId="0" applyFont="1" applyBorder="1" applyAlignment="1">
      <alignment horizontal="center" vertical="top" wrapText="1"/>
    </xf>
    <xf numFmtId="0" fontId="5" fillId="0" borderId="23" xfId="0" applyFont="1" applyBorder="1" applyAlignment="1">
      <alignment vertical="top" wrapText="1"/>
    </xf>
    <xf numFmtId="14" fontId="5" fillId="0" borderId="23" xfId="0" applyNumberFormat="1" applyFont="1" applyBorder="1" applyAlignment="1">
      <alignment horizontal="center" vertical="top" wrapText="1"/>
    </xf>
    <xf numFmtId="165" fontId="5" fillId="0" borderId="23" xfId="0" applyNumberFormat="1" applyFont="1" applyBorder="1" applyAlignment="1">
      <alignment horizontal="center" vertical="top" wrapText="1"/>
    </xf>
    <xf numFmtId="0" fontId="5" fillId="0" borderId="23" xfId="0" applyFont="1" applyBorder="1" applyAlignment="1">
      <alignment horizontal="center" vertical="top" wrapText="1"/>
    </xf>
    <xf numFmtId="4" fontId="32" fillId="0" borderId="23" xfId="0" applyNumberFormat="1" applyFont="1" applyBorder="1" applyAlignment="1">
      <alignment vertical="top" wrapText="1"/>
    </xf>
    <xf numFmtId="173" fontId="28" fillId="0" borderId="23" xfId="0" applyNumberFormat="1" applyFont="1" applyBorder="1" applyAlignment="1" applyProtection="1">
      <alignment horizontal="center" vertical="top" wrapText="1"/>
      <protection locked="0"/>
    </xf>
    <xf numFmtId="0" fontId="28" fillId="0" borderId="23" xfId="0" applyFont="1" applyBorder="1" applyAlignment="1" applyProtection="1">
      <alignment horizontal="center" vertical="top" wrapText="1"/>
      <protection locked="0"/>
    </xf>
    <xf numFmtId="165" fontId="28" fillId="0" borderId="23" xfId="0" applyNumberFormat="1" applyFont="1" applyBorder="1" applyAlignment="1" applyProtection="1">
      <alignment horizontal="center" vertical="top" wrapText="1"/>
      <protection locked="0"/>
    </xf>
    <xf numFmtId="40" fontId="33" fillId="0" borderId="23" xfId="0" applyNumberFormat="1" applyFont="1" applyBorder="1" applyAlignment="1">
      <alignment vertical="top" wrapText="1"/>
    </xf>
    <xf numFmtId="167" fontId="5" fillId="0" borderId="23" xfId="0" applyNumberFormat="1" applyFont="1" applyBorder="1" applyAlignment="1">
      <alignment horizontal="center" vertical="top" wrapText="1"/>
    </xf>
    <xf numFmtId="0" fontId="5" fillId="0" borderId="34" xfId="0" applyFont="1" applyBorder="1" applyAlignment="1">
      <alignment vertical="top" wrapText="1"/>
    </xf>
    <xf numFmtId="40" fontId="33" fillId="0" borderId="63" xfId="0" applyNumberFormat="1" applyFont="1" applyBorder="1" applyAlignment="1">
      <alignment vertical="top" wrapText="1"/>
    </xf>
    <xf numFmtId="40" fontId="28" fillId="0" borderId="34" xfId="0" applyNumberFormat="1" applyFont="1" applyBorder="1" applyAlignment="1">
      <alignment vertical="top" wrapText="1"/>
    </xf>
    <xf numFmtId="4" fontId="28" fillId="0" borderId="63" xfId="0" applyNumberFormat="1" applyFont="1" applyBorder="1" applyAlignment="1" applyProtection="1">
      <alignment horizontal="center" vertical="top" wrapText="1"/>
      <protection locked="0"/>
    </xf>
    <xf numFmtId="168" fontId="28" fillId="0" borderId="34" xfId="1" applyNumberFormat="1" applyFont="1" applyFill="1" applyBorder="1" applyAlignment="1" applyProtection="1">
      <alignment horizontal="center" vertical="top" wrapText="1"/>
      <protection locked="0"/>
    </xf>
    <xf numFmtId="0" fontId="28" fillId="0" borderId="63" xfId="0" applyFont="1" applyBorder="1" applyAlignment="1" applyProtection="1">
      <alignment horizontal="center" vertical="top" wrapText="1"/>
      <protection locked="0"/>
    </xf>
    <xf numFmtId="0" fontId="14" fillId="0" borderId="63" xfId="0" applyFont="1" applyBorder="1" applyAlignment="1">
      <alignment horizontal="center" vertical="top" wrapText="1"/>
    </xf>
    <xf numFmtId="0" fontId="5" fillId="0" borderId="63" xfId="0" applyFont="1" applyBorder="1" applyAlignment="1">
      <alignment vertical="top" wrapText="1"/>
    </xf>
    <xf numFmtId="14" fontId="5" fillId="0" borderId="34" xfId="0" applyNumberFormat="1" applyFont="1" applyBorder="1" applyAlignment="1">
      <alignment horizontal="center" vertical="top" wrapText="1"/>
    </xf>
    <xf numFmtId="0" fontId="5" fillId="0" borderId="34" xfId="0" applyFont="1" applyBorder="1" applyAlignment="1">
      <alignment horizontal="center" vertical="top" wrapText="1"/>
    </xf>
    <xf numFmtId="0" fontId="33" fillId="0" borderId="13" xfId="0" applyFont="1" applyBorder="1" applyAlignment="1">
      <alignment vertical="top" wrapText="1"/>
    </xf>
    <xf numFmtId="0" fontId="33" fillId="0" borderId="16" xfId="0" applyFont="1" applyBorder="1" applyAlignment="1">
      <alignment vertical="top" wrapText="1"/>
    </xf>
    <xf numFmtId="0" fontId="33" fillId="0" borderId="4" xfId="0" applyFont="1" applyBorder="1" applyAlignment="1">
      <alignment vertical="top" wrapText="1"/>
    </xf>
    <xf numFmtId="0" fontId="33" fillId="0" borderId="63" xfId="0" applyFont="1" applyBorder="1" applyAlignment="1">
      <alignment vertical="top" wrapText="1"/>
    </xf>
    <xf numFmtId="0" fontId="33" fillId="0" borderId="34" xfId="0" applyFont="1" applyBorder="1" applyAlignment="1">
      <alignment vertical="top" wrapText="1"/>
    </xf>
    <xf numFmtId="4" fontId="5" fillId="0" borderId="63" xfId="0" applyNumberFormat="1" applyFont="1" applyBorder="1" applyAlignment="1">
      <alignment vertical="top" wrapText="1"/>
    </xf>
    <xf numFmtId="4" fontId="33" fillId="0" borderId="34" xfId="0" applyNumberFormat="1" applyFont="1" applyBorder="1" applyAlignment="1">
      <alignment vertical="top" wrapText="1"/>
    </xf>
    <xf numFmtId="4" fontId="28" fillId="0" borderId="34" xfId="0" applyNumberFormat="1" applyFont="1" applyBorder="1" applyAlignment="1">
      <alignment vertical="top" wrapText="1"/>
    </xf>
    <xf numFmtId="0" fontId="7" fillId="0" borderId="64" xfId="0" applyFont="1" applyBorder="1" applyAlignment="1">
      <alignment vertical="top" wrapText="1"/>
    </xf>
    <xf numFmtId="0" fontId="12" fillId="0" borderId="21" xfId="0" applyFont="1" applyBorder="1" applyAlignment="1">
      <alignment vertical="top" wrapText="1"/>
    </xf>
    <xf numFmtId="0" fontId="12" fillId="0" borderId="34" xfId="0" applyFont="1" applyBorder="1" applyAlignment="1">
      <alignment vertical="top" wrapText="1"/>
    </xf>
    <xf numFmtId="0" fontId="7" fillId="0" borderId="34" xfId="0" applyFont="1" applyBorder="1" applyAlignment="1">
      <alignment vertical="top" wrapText="1"/>
    </xf>
    <xf numFmtId="0" fontId="7" fillId="0" borderId="21" xfId="0" applyFont="1" applyBorder="1" applyAlignment="1">
      <alignment vertical="top" wrapText="1"/>
    </xf>
    <xf numFmtId="0" fontId="7" fillId="0" borderId="51" xfId="0" applyFont="1" applyBorder="1" applyAlignment="1">
      <alignment vertical="top" wrapText="1"/>
    </xf>
    <xf numFmtId="44" fontId="7" fillId="0" borderId="21" xfId="2" applyFont="1" applyFill="1" applyBorder="1" applyAlignment="1" applyProtection="1">
      <alignment vertical="top" wrapText="1"/>
    </xf>
    <xf numFmtId="17" fontId="7" fillId="0" borderId="34" xfId="0" applyNumberFormat="1" applyFont="1" applyBorder="1" applyAlignment="1">
      <alignment vertical="top" wrapText="1"/>
    </xf>
    <xf numFmtId="44" fontId="6" fillId="0" borderId="64" xfId="2" applyFont="1" applyFill="1" applyBorder="1" applyAlignment="1" applyProtection="1">
      <alignment vertical="top" wrapText="1"/>
    </xf>
    <xf numFmtId="0" fontId="26" fillId="0" borderId="22" xfId="0" applyFont="1" applyBorder="1" applyAlignment="1">
      <alignment horizontal="center" vertical="top" wrapText="1"/>
    </xf>
    <xf numFmtId="15" fontId="25" fillId="0" borderId="51" xfId="0" applyNumberFormat="1" applyFont="1" applyBorder="1" applyAlignment="1">
      <alignment horizontal="center" vertical="top" wrapText="1"/>
    </xf>
    <xf numFmtId="0" fontId="25" fillId="0" borderId="34" xfId="0" applyFont="1" applyBorder="1" applyAlignment="1">
      <alignment horizontal="right" vertical="top" wrapText="1"/>
    </xf>
    <xf numFmtId="44" fontId="25" fillId="0" borderId="21" xfId="2" applyFont="1" applyFill="1" applyBorder="1" applyAlignment="1" applyProtection="1">
      <alignment vertical="top" wrapText="1"/>
    </xf>
    <xf numFmtId="0" fontId="25" fillId="0" borderId="34" xfId="0" applyFont="1" applyBorder="1" applyAlignment="1">
      <alignment vertical="top" wrapText="1"/>
    </xf>
    <xf numFmtId="44" fontId="25" fillId="0" borderId="22" xfId="0" applyNumberFormat="1" applyFont="1" applyBorder="1" applyAlignment="1">
      <alignment vertical="top" wrapText="1"/>
    </xf>
    <xf numFmtId="44" fontId="25" fillId="0" borderId="21" xfId="0" applyNumberFormat="1" applyFont="1" applyBorder="1" applyAlignment="1">
      <alignment vertical="top" wrapText="1"/>
    </xf>
    <xf numFmtId="0" fontId="25" fillId="0" borderId="51" xfId="0" applyFont="1" applyBorder="1" applyAlignment="1">
      <alignment vertical="top" wrapText="1"/>
    </xf>
    <xf numFmtId="44" fontId="26" fillId="0" borderId="64" xfId="2" applyFont="1" applyFill="1" applyBorder="1" applyAlignment="1" applyProtection="1">
      <alignment horizontal="left" vertical="top" wrapText="1"/>
    </xf>
    <xf numFmtId="0" fontId="6" fillId="0" borderId="64" xfId="0" applyFont="1" applyBorder="1" applyAlignment="1">
      <alignment horizontal="center" vertical="top" wrapText="1"/>
    </xf>
    <xf numFmtId="0" fontId="12" fillId="0" borderId="51" xfId="0" applyFont="1" applyBorder="1" applyAlignment="1">
      <alignment vertical="top" wrapText="1"/>
    </xf>
    <xf numFmtId="44" fontId="7" fillId="0" borderId="21" xfId="0" applyNumberFormat="1" applyFont="1" applyBorder="1" applyAlignment="1">
      <alignment vertical="top" wrapText="1"/>
    </xf>
    <xf numFmtId="44" fontId="6" fillId="0" borderId="21" xfId="0" applyNumberFormat="1" applyFont="1" applyBorder="1" applyAlignment="1">
      <alignment vertical="top" wrapText="1"/>
    </xf>
    <xf numFmtId="17" fontId="6" fillId="0" borderId="34" xfId="0" applyNumberFormat="1" applyFont="1" applyBorder="1" applyAlignment="1">
      <alignment horizontal="left" vertical="top" wrapText="1"/>
    </xf>
    <xf numFmtId="0" fontId="7" fillId="0" borderId="34" xfId="0" applyFont="1" applyBorder="1" applyAlignment="1">
      <alignment horizontal="left" vertical="top" wrapText="1"/>
    </xf>
    <xf numFmtId="166" fontId="12" fillId="4" borderId="22" xfId="0" applyNumberFormat="1" applyFont="1" applyFill="1" applyBorder="1" applyAlignment="1">
      <alignment horizontal="left" vertical="top" wrapText="1"/>
    </xf>
    <xf numFmtId="166" fontId="12" fillId="4" borderId="51" xfId="0" applyNumberFormat="1" applyFont="1" applyFill="1" applyBorder="1" applyAlignment="1">
      <alignment horizontal="center" vertical="top" wrapText="1"/>
    </xf>
    <xf numFmtId="166" fontId="12" fillId="4" borderId="34" xfId="0" applyNumberFormat="1" applyFont="1" applyFill="1" applyBorder="1" applyAlignment="1">
      <alignment horizontal="center" vertical="top" wrapText="1"/>
    </xf>
    <xf numFmtId="0" fontId="26" fillId="0" borderId="22" xfId="0" applyFont="1" applyBorder="1" applyAlignment="1">
      <alignment horizontal="center" vertical="top"/>
    </xf>
    <xf numFmtId="15" fontId="25" fillId="0" borderId="51" xfId="0" applyNumberFormat="1" applyFont="1" applyBorder="1" applyAlignment="1">
      <alignment horizontal="center" vertical="top"/>
    </xf>
    <xf numFmtId="0" fontId="25" fillId="0" borderId="34" xfId="0" applyFont="1" applyBorder="1" applyAlignment="1">
      <alignment horizontal="right" vertical="top"/>
    </xf>
    <xf numFmtId="44" fontId="25" fillId="0" borderId="21" xfId="2" applyFont="1" applyFill="1" applyBorder="1" applyAlignment="1" applyProtection="1">
      <alignment vertical="top"/>
    </xf>
    <xf numFmtId="0" fontId="25" fillId="0" borderId="34" xfId="0" applyFont="1" applyBorder="1" applyAlignment="1">
      <alignment vertical="top"/>
    </xf>
    <xf numFmtId="44" fontId="25" fillId="0" borderId="22" xfId="0" applyNumberFormat="1" applyFont="1" applyBorder="1" applyAlignment="1">
      <alignment vertical="top"/>
    </xf>
    <xf numFmtId="44" fontId="25" fillId="0" borderId="21" xfId="0" applyNumberFormat="1" applyFont="1" applyBorder="1" applyAlignment="1">
      <alignment vertical="top"/>
    </xf>
    <xf numFmtId="0" fontId="25" fillId="0" borderId="51" xfId="0" applyFont="1" applyBorder="1" applyAlignment="1">
      <alignment vertical="top"/>
    </xf>
    <xf numFmtId="166" fontId="7" fillId="4" borderId="22" xfId="0" applyNumberFormat="1" applyFont="1" applyFill="1" applyBorder="1" applyAlignment="1">
      <alignment horizontal="left" vertical="top" wrapText="1"/>
    </xf>
    <xf numFmtId="166" fontId="6" fillId="5" borderId="22" xfId="0" applyNumberFormat="1" applyFont="1" applyFill="1" applyBorder="1" applyAlignment="1">
      <alignment horizontal="left" vertical="top" wrapText="1"/>
    </xf>
    <xf numFmtId="166" fontId="7" fillId="5" borderId="51" xfId="0" applyNumberFormat="1" applyFont="1" applyFill="1" applyBorder="1" applyAlignment="1">
      <alignment horizontal="center" vertical="top" wrapText="1"/>
    </xf>
    <xf numFmtId="166" fontId="7" fillId="5" borderId="34" xfId="0" applyNumberFormat="1" applyFont="1" applyFill="1" applyBorder="1" applyAlignment="1">
      <alignment horizontal="center" vertical="top" wrapText="1"/>
    </xf>
    <xf numFmtId="17" fontId="7" fillId="0" borderId="34" xfId="0" applyNumberFormat="1" applyFont="1" applyBorder="1" applyAlignment="1">
      <alignment horizontal="left" vertical="top" wrapText="1"/>
    </xf>
    <xf numFmtId="0" fontId="12" fillId="0" borderId="34" xfId="0" applyFont="1" applyBorder="1" applyAlignment="1">
      <alignment horizontal="left" vertical="top" wrapText="1"/>
    </xf>
    <xf numFmtId="0" fontId="6" fillId="0" borderId="64" xfId="0" applyFont="1" applyBorder="1" applyAlignment="1">
      <alignment vertical="top" wrapText="1"/>
    </xf>
    <xf numFmtId="44" fontId="6" fillId="6" borderId="21" xfId="0" applyNumberFormat="1" applyFont="1" applyFill="1" applyBorder="1" applyAlignment="1">
      <alignment vertical="top" wrapText="1"/>
    </xf>
    <xf numFmtId="17" fontId="6" fillId="6" borderId="34" xfId="0" applyNumberFormat="1" applyFont="1" applyFill="1" applyBorder="1" applyAlignment="1">
      <alignment horizontal="left" vertical="top" wrapText="1"/>
    </xf>
    <xf numFmtId="17" fontId="25" fillId="0" borderId="34" xfId="0" applyNumberFormat="1" applyFont="1" applyBorder="1" applyAlignment="1">
      <alignment vertical="top" wrapText="1"/>
    </xf>
    <xf numFmtId="0" fontId="8" fillId="0" borderId="64" xfId="0" applyFont="1" applyBorder="1" applyAlignment="1">
      <alignment vertical="top" wrapText="1"/>
    </xf>
    <xf numFmtId="44" fontId="7" fillId="6" borderId="21" xfId="0" applyNumberFormat="1" applyFont="1" applyFill="1" applyBorder="1" applyAlignment="1">
      <alignment vertical="top" wrapText="1"/>
    </xf>
    <xf numFmtId="17" fontId="7" fillId="6" borderId="34" xfId="0" applyNumberFormat="1" applyFont="1" applyFill="1" applyBorder="1" applyAlignment="1">
      <alignment vertical="top" wrapText="1"/>
    </xf>
    <xf numFmtId="17" fontId="7" fillId="6" borderId="34" xfId="0" applyNumberFormat="1" applyFont="1" applyFill="1" applyBorder="1" applyAlignment="1">
      <alignment horizontal="right" vertical="top" wrapText="1"/>
    </xf>
    <xf numFmtId="17" fontId="7" fillId="6" borderId="34" xfId="0" applyNumberFormat="1" applyFont="1" applyFill="1" applyBorder="1" applyAlignment="1">
      <alignment horizontal="left" vertical="top" wrapText="1"/>
    </xf>
    <xf numFmtId="166" fontId="12" fillId="10" borderId="22" xfId="0" applyNumberFormat="1" applyFont="1" applyFill="1" applyBorder="1" applyAlignment="1">
      <alignment horizontal="left" vertical="top" wrapText="1"/>
    </xf>
    <xf numFmtId="166" fontId="12" fillId="10" borderId="51" xfId="0" applyNumberFormat="1" applyFont="1" applyFill="1" applyBorder="1" applyAlignment="1">
      <alignment horizontal="center" vertical="top" wrapText="1"/>
    </xf>
    <xf numFmtId="166" fontId="12" fillId="10" borderId="34" xfId="0" applyNumberFormat="1" applyFont="1" applyFill="1" applyBorder="1" applyAlignment="1">
      <alignment horizontal="center" vertical="top" wrapText="1"/>
    </xf>
    <xf numFmtId="44" fontId="25" fillId="6" borderId="21" xfId="2" applyFont="1" applyFill="1" applyBorder="1" applyAlignment="1" applyProtection="1">
      <alignment vertical="top" wrapText="1"/>
    </xf>
    <xf numFmtId="17" fontId="25" fillId="6" borderId="34" xfId="0" applyNumberFormat="1" applyFont="1" applyFill="1" applyBorder="1" applyAlignment="1">
      <alignment vertical="top" wrapText="1"/>
    </xf>
    <xf numFmtId="44" fontId="25" fillId="6" borderId="21" xfId="0" applyNumberFormat="1" applyFont="1" applyFill="1" applyBorder="1" applyAlignment="1">
      <alignment vertical="top" wrapText="1"/>
    </xf>
    <xf numFmtId="0" fontId="7" fillId="6" borderId="34" xfId="0" applyFont="1" applyFill="1" applyBorder="1" applyAlignment="1">
      <alignment vertical="top" wrapText="1"/>
    </xf>
    <xf numFmtId="0" fontId="7" fillId="6" borderId="51" xfId="0" applyFont="1" applyFill="1" applyBorder="1" applyAlignment="1">
      <alignment vertical="top" wrapText="1"/>
    </xf>
    <xf numFmtId="0" fontId="25" fillId="6" borderId="34" xfId="0" applyFont="1" applyFill="1" applyBorder="1" applyAlignment="1">
      <alignment vertical="top" wrapText="1"/>
    </xf>
    <xf numFmtId="0" fontId="25" fillId="6" borderId="51" xfId="0" applyFont="1" applyFill="1" applyBorder="1" applyAlignment="1">
      <alignment vertical="top" wrapText="1"/>
    </xf>
    <xf numFmtId="0" fontId="26" fillId="0" borderId="34" xfId="0" applyFont="1" applyBorder="1" applyAlignment="1">
      <alignment vertical="top" wrapText="1"/>
    </xf>
    <xf numFmtId="44" fontId="25" fillId="3" borderId="21" xfId="0" applyNumberFormat="1" applyFont="1" applyFill="1" applyBorder="1" applyAlignment="1">
      <alignment vertical="top" wrapText="1"/>
    </xf>
    <xf numFmtId="17" fontId="25" fillId="3" borderId="34" xfId="0" applyNumberFormat="1" applyFont="1" applyFill="1" applyBorder="1" applyAlignment="1">
      <alignment vertical="top" wrapText="1"/>
    </xf>
    <xf numFmtId="0" fontId="6" fillId="9" borderId="64" xfId="0" applyFont="1" applyFill="1" applyBorder="1" applyAlignment="1">
      <alignment horizontal="center" vertical="top" wrapText="1"/>
    </xf>
    <xf numFmtId="44" fontId="25" fillId="3" borderId="21" xfId="2" applyFont="1" applyFill="1" applyBorder="1" applyAlignment="1" applyProtection="1">
      <alignment vertical="top" wrapText="1"/>
    </xf>
    <xf numFmtId="0" fontId="7" fillId="6" borderId="34" xfId="0" applyFont="1" applyFill="1" applyBorder="1" applyAlignment="1">
      <alignment horizontal="left" vertical="top" wrapText="1"/>
    </xf>
    <xf numFmtId="44" fontId="25" fillId="6" borderId="22" xfId="0" applyNumberFormat="1" applyFont="1" applyFill="1" applyBorder="1" applyAlignment="1">
      <alignment vertical="top" wrapText="1"/>
    </xf>
    <xf numFmtId="44" fontId="8" fillId="0" borderId="21" xfId="0" applyNumberFormat="1" applyFont="1" applyBorder="1" applyAlignment="1">
      <alignment vertical="top" wrapText="1"/>
    </xf>
    <xf numFmtId="0" fontId="26" fillId="0" borderId="64" xfId="0" applyFont="1" applyBorder="1" applyAlignment="1">
      <alignment vertical="top" wrapText="1"/>
    </xf>
    <xf numFmtId="44" fontId="26" fillId="0" borderId="21" xfId="0" applyNumberFormat="1" applyFont="1" applyBorder="1" applyAlignment="1">
      <alignment vertical="top" wrapText="1"/>
    </xf>
    <xf numFmtId="0" fontId="26" fillId="0" borderId="34" xfId="0" applyFont="1" applyBorder="1" applyAlignment="1">
      <alignment horizontal="left" vertical="top" wrapText="1"/>
    </xf>
    <xf numFmtId="0" fontId="7" fillId="0" borderId="63" xfId="0" applyFont="1" applyBorder="1" applyAlignment="1">
      <alignment vertical="top" wrapText="1"/>
    </xf>
    <xf numFmtId="14" fontId="7" fillId="0" borderId="34" xfId="0" applyNumberFormat="1" applyFont="1" applyBorder="1" applyAlignment="1">
      <alignment vertical="top" wrapText="1"/>
    </xf>
    <xf numFmtId="166" fontId="7" fillId="10" borderId="22" xfId="0" applyNumberFormat="1" applyFont="1" applyFill="1" applyBorder="1" applyAlignment="1">
      <alignment horizontal="left" vertical="top" wrapText="1"/>
    </xf>
    <xf numFmtId="166" fontId="7" fillId="10" borderId="51" xfId="0" applyNumberFormat="1" applyFont="1" applyFill="1" applyBorder="1" applyAlignment="1">
      <alignment horizontal="center" vertical="top" wrapText="1"/>
    </xf>
    <xf numFmtId="166" fontId="7" fillId="10" borderId="34" xfId="0" applyNumberFormat="1" applyFont="1" applyFill="1" applyBorder="1" applyAlignment="1">
      <alignment horizontal="center" vertical="top" wrapText="1"/>
    </xf>
    <xf numFmtId="17" fontId="12" fillId="0" borderId="34" xfId="0" applyNumberFormat="1" applyFont="1" applyBorder="1" applyAlignment="1">
      <alignment vertical="top" wrapText="1"/>
    </xf>
    <xf numFmtId="166" fontId="12" fillId="0" borderId="22" xfId="0" applyNumberFormat="1" applyFont="1" applyBorder="1" applyAlignment="1">
      <alignment horizontal="left" vertical="top" wrapText="1"/>
    </xf>
    <xf numFmtId="166" fontId="12" fillId="0" borderId="51" xfId="0" applyNumberFormat="1" applyFont="1" applyBorder="1" applyAlignment="1">
      <alignment horizontal="center" vertical="top" wrapText="1"/>
    </xf>
    <xf numFmtId="17" fontId="13" fillId="0" borderId="34" xfId="0" applyNumberFormat="1" applyFont="1" applyBorder="1" applyAlignment="1">
      <alignment horizontal="left" vertical="top" wrapText="1"/>
    </xf>
    <xf numFmtId="44" fontId="7" fillId="0" borderId="21" xfId="0" applyNumberFormat="1" applyFont="1" applyBorder="1" applyAlignment="1">
      <alignment vertical="top"/>
    </xf>
    <xf numFmtId="17" fontId="7" fillId="0" borderId="34" xfId="0" applyNumberFormat="1" applyFont="1" applyBorder="1" applyAlignment="1">
      <alignment vertical="top"/>
    </xf>
    <xf numFmtId="44" fontId="6" fillId="0" borderId="21" xfId="0" applyNumberFormat="1" applyFont="1" applyBorder="1" applyAlignment="1">
      <alignment vertical="top"/>
    </xf>
    <xf numFmtId="17" fontId="6" fillId="0" borderId="34" xfId="0" applyNumberFormat="1" applyFont="1" applyBorder="1" applyAlignment="1">
      <alignment horizontal="left" vertical="top"/>
    </xf>
    <xf numFmtId="0" fontId="7" fillId="0" borderId="34" xfId="0" applyFont="1" applyBorder="1" applyAlignment="1">
      <alignment vertical="top"/>
    </xf>
    <xf numFmtId="0" fontId="7" fillId="0" borderId="34" xfId="0" applyFont="1" applyBorder="1" applyAlignment="1">
      <alignment horizontal="left" vertical="top"/>
    </xf>
    <xf numFmtId="0" fontId="7" fillId="0" borderId="51" xfId="0" applyFont="1" applyBorder="1" applyAlignment="1">
      <alignment vertical="top"/>
    </xf>
    <xf numFmtId="166" fontId="7" fillId="4" borderId="51" xfId="0" applyNumberFormat="1" applyFont="1" applyFill="1" applyBorder="1" applyAlignment="1">
      <alignment horizontal="center" vertical="top"/>
    </xf>
    <xf numFmtId="166" fontId="7" fillId="4" borderId="34" xfId="0" applyNumberFormat="1" applyFont="1" applyFill="1" applyBorder="1" applyAlignment="1">
      <alignment horizontal="center" vertical="top"/>
    </xf>
    <xf numFmtId="44" fontId="25" fillId="6" borderId="21" xfId="2" applyFont="1" applyFill="1" applyBorder="1" applyAlignment="1" applyProtection="1">
      <alignment vertical="top"/>
    </xf>
    <xf numFmtId="17" fontId="25" fillId="6" borderId="34" xfId="0" applyNumberFormat="1" applyFont="1" applyFill="1" applyBorder="1" applyAlignment="1">
      <alignment vertical="top"/>
    </xf>
    <xf numFmtId="44" fontId="25" fillId="6" borderId="21" xfId="0" applyNumberFormat="1" applyFont="1" applyFill="1" applyBorder="1" applyAlignment="1">
      <alignment vertical="top"/>
    </xf>
    <xf numFmtId="0" fontId="25" fillId="6" borderId="64" xfId="0" applyFont="1" applyFill="1" applyBorder="1" applyAlignment="1">
      <alignment vertical="top" wrapText="1"/>
    </xf>
    <xf numFmtId="0" fontId="25" fillId="6" borderId="34" xfId="0" applyFont="1" applyFill="1" applyBorder="1" applyAlignment="1">
      <alignment horizontal="left" vertical="top" wrapText="1"/>
    </xf>
    <xf numFmtId="17" fontId="26" fillId="0" borderId="34" xfId="0" applyNumberFormat="1" applyFont="1" applyBorder="1" applyAlignment="1">
      <alignment horizontal="left" vertical="top" wrapText="1"/>
    </xf>
    <xf numFmtId="44" fontId="25" fillId="6" borderId="22" xfId="0" applyNumberFormat="1" applyFont="1" applyFill="1" applyBorder="1" applyAlignment="1">
      <alignment vertical="top"/>
    </xf>
    <xf numFmtId="49" fontId="6" fillId="0" borderId="22" xfId="0" applyNumberFormat="1" applyFont="1" applyBorder="1" applyAlignment="1">
      <alignment horizontal="left" vertical="top"/>
    </xf>
    <xf numFmtId="0" fontId="7" fillId="0" borderId="64" xfId="0" applyFont="1" applyBorder="1" applyAlignment="1">
      <alignment vertical="top"/>
    </xf>
    <xf numFmtId="0" fontId="6" fillId="0" borderId="34" xfId="0" applyFont="1" applyBorder="1" applyAlignment="1">
      <alignment horizontal="left" vertical="top"/>
    </xf>
    <xf numFmtId="166" fontId="7" fillId="4" borderId="22" xfId="0" applyNumberFormat="1" applyFont="1" applyFill="1" applyBorder="1" applyAlignment="1">
      <alignment horizontal="left" vertical="top"/>
    </xf>
    <xf numFmtId="49" fontId="6" fillId="0" borderId="64" xfId="0" applyNumberFormat="1" applyFont="1" applyBorder="1" applyAlignment="1">
      <alignment horizontal="left" vertical="center" wrapText="1"/>
    </xf>
    <xf numFmtId="0" fontId="7" fillId="0" borderId="64" xfId="0" applyFont="1" applyBorder="1" applyAlignment="1">
      <alignment vertical="center" wrapText="1"/>
    </xf>
    <xf numFmtId="0" fontId="7" fillId="0" borderId="63" xfId="0" applyFont="1" applyBorder="1" applyAlignment="1">
      <alignment vertical="center" wrapText="1"/>
    </xf>
    <xf numFmtId="0" fontId="7" fillId="0" borderId="34" xfId="0" applyFont="1" applyBorder="1" applyAlignment="1">
      <alignment vertical="center" wrapText="1"/>
    </xf>
    <xf numFmtId="166" fontId="7" fillId="4" borderId="63" xfId="0" applyNumberFormat="1" applyFont="1" applyFill="1" applyBorder="1" applyAlignment="1">
      <alignment horizontal="left" vertical="center" wrapText="1"/>
    </xf>
    <xf numFmtId="166" fontId="7" fillId="4" borderId="23" xfId="0" applyNumberFormat="1" applyFont="1" applyFill="1" applyBorder="1" applyAlignment="1">
      <alignment horizontal="center" vertical="center" wrapText="1"/>
    </xf>
    <xf numFmtId="166" fontId="7" fillId="4" borderId="34" xfId="0" applyNumberFormat="1" applyFont="1" applyFill="1" applyBorder="1" applyAlignment="1">
      <alignment horizontal="center" vertical="center" wrapText="1"/>
    </xf>
    <xf numFmtId="166" fontId="7" fillId="0" borderId="51" xfId="0" applyNumberFormat="1" applyFont="1" applyBorder="1" applyAlignment="1">
      <alignment horizontal="center" vertical="top" wrapText="1"/>
    </xf>
    <xf numFmtId="166" fontId="7" fillId="0" borderId="34" xfId="0" applyNumberFormat="1" applyFont="1" applyBorder="1" applyAlignment="1">
      <alignment horizontal="center" vertical="top" wrapText="1"/>
    </xf>
    <xf numFmtId="0" fontId="7" fillId="0" borderId="64" xfId="0" applyFont="1" applyBorder="1" applyAlignment="1">
      <alignment horizontal="center" vertical="top" wrapText="1"/>
    </xf>
    <xf numFmtId="44" fontId="26" fillId="0" borderId="21" xfId="0" applyNumberFormat="1" applyFont="1" applyBorder="1" applyAlignment="1">
      <alignment vertical="top"/>
    </xf>
    <xf numFmtId="0" fontId="7" fillId="6" borderId="21" xfId="0" applyFont="1" applyFill="1" applyBorder="1" applyAlignment="1">
      <alignment vertical="top" wrapText="1"/>
    </xf>
    <xf numFmtId="0" fontId="7" fillId="6" borderId="64" xfId="0" applyFont="1" applyFill="1" applyBorder="1" applyAlignment="1">
      <alignment vertical="top" wrapText="1"/>
    </xf>
    <xf numFmtId="166" fontId="6" fillId="6" borderId="22" xfId="0" applyNumberFormat="1" applyFont="1" applyFill="1" applyBorder="1" applyAlignment="1">
      <alignment horizontal="left" vertical="top" wrapText="1"/>
    </xf>
    <xf numFmtId="166" fontId="7" fillId="6" borderId="51" xfId="0" applyNumberFormat="1" applyFont="1" applyFill="1" applyBorder="1" applyAlignment="1">
      <alignment horizontal="center" vertical="top" wrapText="1"/>
    </xf>
    <xf numFmtId="166" fontId="7" fillId="6" borderId="34" xfId="0" applyNumberFormat="1" applyFont="1" applyFill="1" applyBorder="1" applyAlignment="1">
      <alignment horizontal="center" vertical="top" wrapText="1"/>
    </xf>
    <xf numFmtId="0" fontId="25" fillId="6" borderId="34" xfId="0" applyFont="1" applyFill="1" applyBorder="1" applyAlignment="1">
      <alignment vertical="top"/>
    </xf>
    <xf numFmtId="0" fontId="25" fillId="6" borderId="51" xfId="0" applyFont="1" applyFill="1" applyBorder="1" applyAlignment="1">
      <alignment vertical="top"/>
    </xf>
    <xf numFmtId="0" fontId="7" fillId="6" borderId="36" xfId="0" applyFont="1" applyFill="1" applyBorder="1" applyAlignment="1">
      <alignment vertical="top" wrapText="1"/>
    </xf>
    <xf numFmtId="0" fontId="7" fillId="6" borderId="46" xfId="0" applyFont="1" applyFill="1" applyBorder="1" applyAlignment="1">
      <alignment vertical="top" wrapText="1"/>
    </xf>
    <xf numFmtId="0" fontId="7" fillId="6" borderId="52" xfId="0" applyFont="1" applyFill="1" applyBorder="1" applyAlignment="1">
      <alignment vertical="top" wrapText="1"/>
    </xf>
    <xf numFmtId="0" fontId="7" fillId="6" borderId="37" xfId="0" applyFont="1" applyFill="1" applyBorder="1" applyAlignment="1">
      <alignment vertical="top" wrapText="1"/>
    </xf>
    <xf numFmtId="17" fontId="7" fillId="6" borderId="46" xfId="0" applyNumberFormat="1" applyFont="1" applyFill="1" applyBorder="1" applyAlignment="1">
      <alignment vertical="top" wrapText="1"/>
    </xf>
    <xf numFmtId="44" fontId="7" fillId="6" borderId="36" xfId="0" applyNumberFormat="1" applyFont="1" applyFill="1" applyBorder="1" applyAlignment="1">
      <alignment vertical="top" wrapText="1"/>
    </xf>
    <xf numFmtId="0" fontId="7" fillId="6" borderId="46" xfId="0" applyFont="1" applyFill="1" applyBorder="1" applyAlignment="1">
      <alignment horizontal="left" vertical="top" wrapText="1"/>
    </xf>
    <xf numFmtId="166" fontId="7" fillId="6" borderId="65" xfId="0" applyNumberFormat="1" applyFont="1" applyFill="1" applyBorder="1" applyAlignment="1">
      <alignment horizontal="left" vertical="top" wrapText="1"/>
    </xf>
    <xf numFmtId="166" fontId="7" fillId="6" borderId="37" xfId="0" applyNumberFormat="1" applyFont="1" applyFill="1" applyBorder="1" applyAlignment="1">
      <alignment horizontal="center" vertical="top" wrapText="1"/>
    </xf>
    <xf numFmtId="166" fontId="7" fillId="6" borderId="46" xfId="0" applyNumberFormat="1" applyFont="1" applyFill="1" applyBorder="1" applyAlignment="1">
      <alignment horizontal="center" vertical="top" wrapText="1"/>
    </xf>
    <xf numFmtId="44" fontId="25" fillId="6" borderId="36" xfId="0" applyNumberFormat="1" applyFont="1" applyFill="1" applyBorder="1" applyAlignment="1">
      <alignment vertical="top"/>
    </xf>
    <xf numFmtId="0" fontId="25" fillId="6" borderId="46" xfId="0" applyFont="1" applyFill="1" applyBorder="1" applyAlignment="1">
      <alignment vertical="top"/>
    </xf>
    <xf numFmtId="0" fontId="25" fillId="6" borderId="37" xfId="0" applyFont="1" applyFill="1" applyBorder="1" applyAlignment="1">
      <alignment vertical="top"/>
    </xf>
    <xf numFmtId="4" fontId="14" fillId="0" borderId="4" xfId="0" applyNumberFormat="1" applyFont="1" applyBorder="1" applyAlignment="1">
      <alignment vertical="top" wrapText="1"/>
    </xf>
    <xf numFmtId="4" fontId="14" fillId="0" borderId="63" xfId="0" applyNumberFormat="1" applyFont="1" applyBorder="1" applyAlignment="1">
      <alignment vertical="top" wrapText="1"/>
    </xf>
    <xf numFmtId="0" fontId="26" fillId="0" borderId="51" xfId="0" applyFont="1" applyBorder="1" applyAlignment="1">
      <alignment vertical="top" wrapText="1"/>
    </xf>
    <xf numFmtId="44" fontId="26" fillId="3" borderId="0" xfId="0" applyNumberFormat="1" applyFont="1" applyFill="1" applyAlignment="1">
      <alignment horizontal="right" vertical="top"/>
    </xf>
    <xf numFmtId="44" fontId="26" fillId="3" borderId="28" xfId="0" applyNumberFormat="1" applyFont="1" applyFill="1" applyBorder="1" applyAlignment="1">
      <alignment horizontal="left" vertical="top"/>
    </xf>
    <xf numFmtId="44" fontId="26" fillId="3" borderId="20" xfId="0" applyNumberFormat="1" applyFont="1" applyFill="1" applyBorder="1" applyAlignment="1">
      <alignment horizontal="left" vertical="top"/>
    </xf>
    <xf numFmtId="0" fontId="26" fillId="3" borderId="28" xfId="0" applyFont="1" applyFill="1" applyBorder="1" applyAlignment="1">
      <alignment horizontal="center" vertical="top"/>
    </xf>
    <xf numFmtId="169" fontId="26" fillId="0" borderId="3" xfId="1" applyNumberFormat="1" applyFont="1" applyFill="1" applyBorder="1" applyAlignment="1" applyProtection="1">
      <alignment vertical="top"/>
    </xf>
    <xf numFmtId="8" fontId="26" fillId="0" borderId="3" xfId="0" applyNumberFormat="1" applyFont="1" applyBorder="1" applyAlignment="1">
      <alignment horizontal="right" vertical="top"/>
    </xf>
    <xf numFmtId="8" fontId="26" fillId="0" borderId="6" xfId="0" applyNumberFormat="1" applyFont="1" applyBorder="1" applyAlignment="1">
      <alignment horizontal="right" vertical="top"/>
    </xf>
    <xf numFmtId="0" fontId="25" fillId="0" borderId="18" xfId="0" applyFont="1" applyBorder="1" applyAlignment="1">
      <alignment horizontal="right" vertical="top"/>
    </xf>
    <xf numFmtId="44" fontId="25" fillId="0" borderId="4" xfId="0" applyNumberFormat="1" applyFont="1" applyBorder="1" applyAlignment="1">
      <alignment horizontal="right" vertical="top"/>
    </xf>
    <xf numFmtId="169" fontId="26" fillId="0" borderId="17" xfId="1" applyNumberFormat="1" applyFont="1" applyFill="1" applyBorder="1" applyAlignment="1" applyProtection="1">
      <alignment vertical="top"/>
    </xf>
    <xf numFmtId="0" fontId="14" fillId="6" borderId="66" xfId="0" applyFont="1" applyFill="1" applyBorder="1" applyAlignment="1">
      <alignment horizontal="center" vertical="top" wrapText="1"/>
    </xf>
    <xf numFmtId="0" fontId="14" fillId="6" borderId="45" xfId="0" applyFont="1" applyFill="1" applyBorder="1" applyAlignment="1">
      <alignment horizontal="center" vertical="top" wrapText="1"/>
    </xf>
    <xf numFmtId="14" fontId="5" fillId="6" borderId="45" xfId="0" applyNumberFormat="1" applyFont="1" applyFill="1" applyBorder="1" applyAlignment="1">
      <alignment horizontal="center" vertical="top" wrapText="1"/>
    </xf>
    <xf numFmtId="165" fontId="5" fillId="6" borderId="45" xfId="0" applyNumberFormat="1" applyFont="1" applyFill="1" applyBorder="1" applyAlignment="1">
      <alignment horizontal="center" vertical="top" wrapText="1"/>
    </xf>
    <xf numFmtId="0" fontId="5" fillId="6" borderId="46" xfId="0" applyFont="1" applyFill="1" applyBorder="1" applyAlignment="1">
      <alignment vertical="top" wrapText="1"/>
    </xf>
    <xf numFmtId="0" fontId="5" fillId="6" borderId="66" xfId="0" applyFont="1" applyFill="1" applyBorder="1" applyAlignment="1">
      <alignment vertical="top" wrapText="1"/>
    </xf>
    <xf numFmtId="0" fontId="5" fillId="6" borderId="45" xfId="0" applyFont="1" applyFill="1" applyBorder="1" applyAlignment="1">
      <alignment vertical="top" wrapText="1"/>
    </xf>
    <xf numFmtId="14" fontId="5" fillId="6" borderId="46" xfId="0" applyNumberFormat="1" applyFont="1" applyFill="1" applyBorder="1" applyAlignment="1">
      <alignment horizontal="center" vertical="top" wrapText="1"/>
    </xf>
    <xf numFmtId="0" fontId="33" fillId="6" borderId="66" xfId="0" applyFont="1" applyFill="1" applyBorder="1" applyAlignment="1">
      <alignment vertical="top" wrapText="1"/>
    </xf>
    <xf numFmtId="0" fontId="33" fillId="6" borderId="46" xfId="0" applyFont="1" applyFill="1" applyBorder="1" applyAlignment="1">
      <alignment vertical="top" wrapText="1"/>
    </xf>
    <xf numFmtId="4" fontId="5" fillId="6" borderId="66" xfId="0" applyNumberFormat="1" applyFont="1" applyFill="1" applyBorder="1" applyAlignment="1">
      <alignment vertical="top" wrapText="1"/>
    </xf>
    <xf numFmtId="4" fontId="32" fillId="6" borderId="45" xfId="0" applyNumberFormat="1" applyFont="1" applyFill="1" applyBorder="1" applyAlignment="1">
      <alignment vertical="top" wrapText="1"/>
    </xf>
    <xf numFmtId="4" fontId="33" fillId="6" borderId="46" xfId="0" applyNumberFormat="1" applyFont="1" applyFill="1" applyBorder="1" applyAlignment="1">
      <alignment vertical="top" wrapText="1"/>
    </xf>
    <xf numFmtId="4" fontId="28" fillId="6" borderId="46" xfId="0" applyNumberFormat="1" applyFont="1" applyFill="1" applyBorder="1" applyAlignment="1">
      <alignment vertical="top" wrapText="1"/>
    </xf>
    <xf numFmtId="40" fontId="33" fillId="6" borderId="66" xfId="0" applyNumberFormat="1" applyFont="1" applyFill="1" applyBorder="1" applyAlignment="1">
      <alignment vertical="top" wrapText="1"/>
    </xf>
    <xf numFmtId="40" fontId="33" fillId="6" borderId="45" xfId="0" applyNumberFormat="1" applyFont="1" applyFill="1" applyBorder="1" applyAlignment="1">
      <alignment vertical="top" wrapText="1"/>
    </xf>
    <xf numFmtId="0" fontId="6" fillId="6" borderId="64" xfId="0" applyFont="1" applyFill="1" applyBorder="1" applyAlignment="1">
      <alignment horizontal="center" vertical="top" wrapText="1"/>
    </xf>
    <xf numFmtId="49" fontId="6" fillId="6" borderId="22" xfId="0" applyNumberFormat="1" applyFont="1" applyFill="1" applyBorder="1" applyAlignment="1">
      <alignment horizontal="left" vertical="top" wrapText="1"/>
    </xf>
    <xf numFmtId="44" fontId="6" fillId="6" borderId="64" xfId="2" applyFont="1" applyFill="1" applyBorder="1" applyAlignment="1" applyProtection="1">
      <alignment vertical="top" wrapText="1"/>
    </xf>
    <xf numFmtId="166" fontId="7" fillId="6" borderId="22" xfId="0" applyNumberFormat="1" applyFont="1" applyFill="1" applyBorder="1" applyAlignment="1">
      <alignment horizontal="left" vertical="top" wrapText="1"/>
    </xf>
    <xf numFmtId="0" fontId="26" fillId="6" borderId="22" xfId="0" applyFont="1" applyFill="1" applyBorder="1" applyAlignment="1">
      <alignment horizontal="center" vertical="top"/>
    </xf>
    <xf numFmtId="15" fontId="25" fillId="6" borderId="51" xfId="0" applyNumberFormat="1" applyFont="1" applyFill="1" applyBorder="1" applyAlignment="1">
      <alignment horizontal="center" vertical="top"/>
    </xf>
    <xf numFmtId="0" fontId="25" fillId="6" borderId="34" xfId="0" applyFont="1" applyFill="1" applyBorder="1" applyAlignment="1">
      <alignment horizontal="right" vertical="top"/>
    </xf>
    <xf numFmtId="44" fontId="26" fillId="6" borderId="64" xfId="2" applyFont="1" applyFill="1" applyBorder="1" applyAlignment="1" applyProtection="1">
      <alignment horizontal="left" vertical="top" wrapText="1"/>
    </xf>
    <xf numFmtId="44" fontId="7" fillId="6" borderId="21" xfId="0" applyNumberFormat="1" applyFont="1" applyFill="1" applyBorder="1" applyAlignment="1">
      <alignment vertical="top"/>
    </xf>
    <xf numFmtId="0" fontId="7" fillId="6" borderId="34" xfId="0" applyFont="1" applyFill="1" applyBorder="1" applyAlignment="1">
      <alignment vertical="top"/>
    </xf>
    <xf numFmtId="44" fontId="6" fillId="6" borderId="21" xfId="0" applyNumberFormat="1" applyFont="1" applyFill="1" applyBorder="1" applyAlignment="1">
      <alignment vertical="top"/>
    </xf>
    <xf numFmtId="0" fontId="6" fillId="6" borderId="34" xfId="0" applyFont="1" applyFill="1" applyBorder="1" applyAlignment="1">
      <alignment horizontal="left" vertical="top"/>
    </xf>
    <xf numFmtId="0" fontId="7" fillId="6" borderId="34" xfId="0" applyFont="1" applyFill="1" applyBorder="1" applyAlignment="1">
      <alignment horizontal="left" vertical="top"/>
    </xf>
    <xf numFmtId="0" fontId="7" fillId="6" borderId="51" xfId="0" applyFont="1" applyFill="1" applyBorder="1" applyAlignment="1">
      <alignment vertical="top"/>
    </xf>
    <xf numFmtId="0" fontId="26" fillId="6" borderId="22" xfId="0" applyFont="1" applyFill="1" applyBorder="1" applyAlignment="1">
      <alignment horizontal="center" vertical="top" wrapText="1"/>
    </xf>
    <xf numFmtId="15" fontId="25" fillId="6" borderId="51" xfId="0" applyNumberFormat="1" applyFont="1" applyFill="1" applyBorder="1" applyAlignment="1">
      <alignment horizontal="center" vertical="top" wrapText="1"/>
    </xf>
    <xf numFmtId="0" fontId="25" fillId="6" borderId="34" xfId="0" applyFont="1" applyFill="1" applyBorder="1" applyAlignment="1">
      <alignment horizontal="right" vertical="top" wrapText="1"/>
    </xf>
    <xf numFmtId="0" fontId="6" fillId="0" borderId="52" xfId="0" applyFont="1" applyBorder="1" applyAlignment="1">
      <alignment horizontal="center" vertical="top" wrapText="1"/>
    </xf>
    <xf numFmtId="49" fontId="6" fillId="0" borderId="65" xfId="0" applyNumberFormat="1" applyFont="1" applyBorder="1" applyAlignment="1">
      <alignment horizontal="left" vertical="top" wrapText="1"/>
    </xf>
    <xf numFmtId="0" fontId="7" fillId="0" borderId="52" xfId="0" applyFont="1" applyBorder="1" applyAlignment="1">
      <alignment vertical="top" wrapText="1"/>
    </xf>
    <xf numFmtId="0" fontId="7" fillId="0" borderId="36" xfId="0" applyFont="1" applyBorder="1" applyAlignment="1">
      <alignment vertical="top" wrapText="1"/>
    </xf>
    <xf numFmtId="0" fontId="7" fillId="0" borderId="46" xfId="0" applyFont="1" applyBorder="1" applyAlignment="1">
      <alignment vertical="top" wrapText="1"/>
    </xf>
    <xf numFmtId="0" fontId="7" fillId="0" borderId="37" xfId="0" applyFont="1" applyBorder="1" applyAlignment="1">
      <alignment vertical="top" wrapText="1"/>
    </xf>
    <xf numFmtId="44" fontId="7" fillId="0" borderId="36" xfId="0" applyNumberFormat="1" applyFont="1" applyBorder="1" applyAlignment="1">
      <alignment vertical="top" wrapText="1"/>
    </xf>
    <xf numFmtId="17" fontId="7" fillId="0" borderId="46" xfId="0" applyNumberFormat="1" applyFont="1" applyBorder="1" applyAlignment="1">
      <alignment vertical="top" wrapText="1"/>
    </xf>
    <xf numFmtId="44" fontId="6" fillId="0" borderId="36" xfId="0" applyNumberFormat="1" applyFont="1" applyBorder="1" applyAlignment="1">
      <alignment vertical="top" wrapText="1"/>
    </xf>
    <xf numFmtId="44" fontId="6" fillId="0" borderId="26" xfId="2" applyFont="1" applyFill="1" applyBorder="1" applyAlignment="1" applyProtection="1">
      <alignment vertical="top" wrapText="1"/>
    </xf>
    <xf numFmtId="0" fontId="26" fillId="0" borderId="65" xfId="0" applyFont="1" applyBorder="1" applyAlignment="1">
      <alignment horizontal="center" vertical="top"/>
    </xf>
    <xf numFmtId="15" fontId="25" fillId="0" borderId="37" xfId="0" applyNumberFormat="1" applyFont="1" applyBorder="1" applyAlignment="1">
      <alignment horizontal="center" vertical="top"/>
    </xf>
    <xf numFmtId="0" fontId="25" fillId="0" borderId="46" xfId="0" applyFont="1" applyBorder="1" applyAlignment="1">
      <alignment horizontal="right" vertical="top"/>
    </xf>
    <xf numFmtId="44" fontId="25" fillId="0" borderId="36" xfId="2" applyFont="1" applyFill="1" applyBorder="1" applyAlignment="1" applyProtection="1">
      <alignment vertical="top"/>
    </xf>
    <xf numFmtId="0" fontId="25" fillId="0" borderId="46" xfId="0" applyFont="1" applyBorder="1" applyAlignment="1">
      <alignment vertical="top"/>
    </xf>
    <xf numFmtId="44" fontId="25" fillId="0" borderId="65" xfId="0" applyNumberFormat="1" applyFont="1" applyBorder="1" applyAlignment="1">
      <alignment vertical="top"/>
    </xf>
    <xf numFmtId="44" fontId="25" fillId="0" borderId="36" xfId="0" applyNumberFormat="1" applyFont="1" applyBorder="1" applyAlignment="1">
      <alignment vertical="top"/>
    </xf>
    <xf numFmtId="0" fontId="25" fillId="0" borderId="37" xfId="0" applyFont="1" applyBorder="1" applyAlignment="1">
      <alignment vertical="top"/>
    </xf>
    <xf numFmtId="44" fontId="26" fillId="0" borderId="52" xfId="2" applyFont="1" applyFill="1" applyBorder="1" applyAlignment="1" applyProtection="1">
      <alignment horizontal="left" vertical="top" wrapText="1"/>
    </xf>
    <xf numFmtId="0" fontId="14" fillId="6" borderId="67" xfId="0" applyFont="1" applyFill="1" applyBorder="1" applyAlignment="1">
      <alignment horizontal="center" vertical="top" wrapText="1"/>
    </xf>
    <xf numFmtId="0" fontId="14" fillId="6" borderId="35" xfId="0" applyFont="1" applyFill="1" applyBorder="1" applyAlignment="1">
      <alignment horizontal="center" vertical="top" wrapText="1"/>
    </xf>
    <xf numFmtId="14" fontId="5" fillId="6" borderId="35" xfId="0" applyNumberFormat="1" applyFont="1" applyFill="1" applyBorder="1" applyAlignment="1">
      <alignment horizontal="center" vertical="top" wrapText="1"/>
    </xf>
    <xf numFmtId="165" fontId="5" fillId="6" borderId="35" xfId="0" applyNumberFormat="1" applyFont="1" applyFill="1" applyBorder="1" applyAlignment="1">
      <alignment horizontal="center" vertical="top" wrapText="1"/>
    </xf>
    <xf numFmtId="0" fontId="5" fillId="6" borderId="27" xfId="0" applyFont="1" applyFill="1" applyBorder="1" applyAlignment="1">
      <alignment vertical="top" wrapText="1"/>
    </xf>
    <xf numFmtId="0" fontId="5" fillId="6" borderId="67" xfId="0" applyFont="1" applyFill="1" applyBorder="1" applyAlignment="1">
      <alignment vertical="top" wrapText="1"/>
    </xf>
    <xf numFmtId="0" fontId="5" fillId="6" borderId="35" xfId="0" applyFont="1" applyFill="1" applyBorder="1" applyAlignment="1">
      <alignment vertical="top" wrapText="1"/>
    </xf>
    <xf numFmtId="14" fontId="5" fillId="6" borderId="27" xfId="0" applyNumberFormat="1" applyFont="1" applyFill="1" applyBorder="1" applyAlignment="1">
      <alignment horizontal="center" vertical="top" wrapText="1"/>
    </xf>
    <xf numFmtId="0" fontId="33" fillId="6" borderId="67" xfId="0" applyFont="1" applyFill="1" applyBorder="1" applyAlignment="1">
      <alignment vertical="top" wrapText="1"/>
    </xf>
    <xf numFmtId="0" fontId="33" fillId="6" borderId="27" xfId="0" applyFont="1" applyFill="1" applyBorder="1" applyAlignment="1">
      <alignment vertical="top" wrapText="1"/>
    </xf>
    <xf numFmtId="4" fontId="5" fillId="6" borderId="67" xfId="0" applyNumberFormat="1" applyFont="1" applyFill="1" applyBorder="1" applyAlignment="1">
      <alignment vertical="top" wrapText="1"/>
    </xf>
    <xf numFmtId="4" fontId="32" fillId="6" borderId="35" xfId="0" applyNumberFormat="1" applyFont="1" applyFill="1" applyBorder="1" applyAlignment="1">
      <alignment vertical="top" wrapText="1"/>
    </xf>
    <xf numFmtId="4" fontId="33" fillId="6" borderId="27" xfId="0" applyNumberFormat="1" applyFont="1" applyFill="1" applyBorder="1" applyAlignment="1">
      <alignment vertical="top" wrapText="1"/>
    </xf>
    <xf numFmtId="4" fontId="14" fillId="6" borderId="67" xfId="0" applyNumberFormat="1" applyFont="1" applyFill="1" applyBorder="1" applyAlignment="1">
      <alignment vertical="top" wrapText="1"/>
    </xf>
    <xf numFmtId="4" fontId="5" fillId="6" borderId="35" xfId="0" applyNumberFormat="1" applyFont="1" applyFill="1" applyBorder="1" applyAlignment="1">
      <alignment vertical="top" wrapText="1"/>
    </xf>
    <xf numFmtId="4" fontId="28" fillId="6" borderId="27" xfId="0" applyNumberFormat="1" applyFont="1" applyFill="1" applyBorder="1" applyAlignment="1">
      <alignment vertical="top" wrapText="1"/>
    </xf>
    <xf numFmtId="40" fontId="33" fillId="6" borderId="67" xfId="0" applyNumberFormat="1" applyFont="1" applyFill="1" applyBorder="1" applyAlignment="1">
      <alignment vertical="top" wrapText="1"/>
    </xf>
    <xf numFmtId="40" fontId="33" fillId="6" borderId="35" xfId="0" applyNumberFormat="1" applyFont="1" applyFill="1" applyBorder="1" applyAlignment="1">
      <alignment vertical="top" wrapText="1"/>
    </xf>
    <xf numFmtId="0" fontId="14" fillId="0" borderId="62" xfId="0" applyFont="1" applyBorder="1" applyAlignment="1">
      <alignment horizontal="center" vertical="top" wrapText="1"/>
    </xf>
    <xf numFmtId="0" fontId="14" fillId="0" borderId="32" xfId="0" applyFont="1" applyBorder="1" applyAlignment="1">
      <alignment horizontal="center" vertical="top" wrapText="1"/>
    </xf>
    <xf numFmtId="14" fontId="5" fillId="0" borderId="32" xfId="0" applyNumberFormat="1" applyFont="1" applyBorder="1" applyAlignment="1">
      <alignment horizontal="center" vertical="top" wrapText="1"/>
    </xf>
    <xf numFmtId="165" fontId="5" fillId="0" borderId="32" xfId="0" applyNumberFormat="1" applyFont="1" applyBorder="1" applyAlignment="1">
      <alignment horizontal="center" vertical="top" wrapText="1"/>
    </xf>
    <xf numFmtId="0" fontId="5" fillId="0" borderId="31" xfId="0" applyFont="1" applyBorder="1" applyAlignment="1">
      <alignment vertical="top" wrapText="1"/>
    </xf>
    <xf numFmtId="0" fontId="5" fillId="0" borderId="62" xfId="0" applyFont="1" applyBorder="1" applyAlignment="1">
      <alignment vertical="top" wrapText="1"/>
    </xf>
    <xf numFmtId="0" fontId="5" fillId="0" borderId="32" xfId="0" applyFont="1" applyBorder="1" applyAlignment="1">
      <alignment vertical="top" wrapText="1"/>
    </xf>
    <xf numFmtId="14" fontId="5" fillId="0" borderId="31" xfId="0" applyNumberFormat="1" applyFont="1" applyBorder="1" applyAlignment="1">
      <alignment horizontal="center" vertical="top" wrapText="1"/>
    </xf>
    <xf numFmtId="0" fontId="33" fillId="0" borderId="62" xfId="0" applyFont="1" applyBorder="1" applyAlignment="1">
      <alignment vertical="top" wrapText="1"/>
    </xf>
    <xf numFmtId="0" fontId="33" fillId="0" borderId="31" xfId="0" applyFont="1" applyBorder="1" applyAlignment="1">
      <alignment vertical="top" wrapText="1"/>
    </xf>
    <xf numFmtId="4" fontId="5" fillId="0" borderId="62" xfId="0" applyNumberFormat="1" applyFont="1" applyBorder="1" applyAlignment="1">
      <alignment vertical="top" wrapText="1"/>
    </xf>
    <xf numFmtId="4" fontId="32" fillId="0" borderId="32" xfId="0" applyNumberFormat="1" applyFont="1" applyBorder="1" applyAlignment="1">
      <alignment vertical="top" wrapText="1"/>
    </xf>
    <xf numFmtId="4" fontId="33" fillId="0" borderId="31" xfId="0" applyNumberFormat="1" applyFont="1" applyBorder="1" applyAlignment="1">
      <alignment vertical="top" wrapText="1"/>
    </xf>
    <xf numFmtId="4" fontId="14" fillId="0" borderId="62" xfId="0" applyNumberFormat="1" applyFont="1" applyBorder="1" applyAlignment="1">
      <alignment vertical="top" wrapText="1"/>
    </xf>
    <xf numFmtId="4" fontId="28" fillId="0" borderId="31" xfId="0" applyNumberFormat="1" applyFont="1" applyBorder="1" applyAlignment="1">
      <alignment vertical="top" wrapText="1"/>
    </xf>
    <xf numFmtId="40" fontId="33" fillId="0" borderId="62" xfId="0" applyNumberFormat="1" applyFont="1" applyBorder="1" applyAlignment="1">
      <alignment vertical="top" wrapText="1"/>
    </xf>
    <xf numFmtId="40" fontId="33" fillId="0" borderId="32" xfId="0" applyNumberFormat="1" applyFont="1" applyBorder="1" applyAlignment="1">
      <alignment vertical="top" wrapText="1"/>
    </xf>
    <xf numFmtId="0" fontId="14" fillId="0" borderId="66" xfId="0" applyFont="1" applyBorder="1" applyAlignment="1">
      <alignment horizontal="center" vertical="top" wrapText="1"/>
    </xf>
    <xf numFmtId="0" fontId="14" fillId="0" borderId="45" xfId="0" applyFont="1" applyBorder="1" applyAlignment="1">
      <alignment horizontal="center" vertical="top" wrapText="1"/>
    </xf>
    <xf numFmtId="14" fontId="5" fillId="0" borderId="45" xfId="0" applyNumberFormat="1" applyFont="1" applyBorder="1" applyAlignment="1">
      <alignment horizontal="center" vertical="top" wrapText="1"/>
    </xf>
    <xf numFmtId="165" fontId="5" fillId="0" borderId="45" xfId="0" applyNumberFormat="1" applyFont="1" applyBorder="1" applyAlignment="1">
      <alignment horizontal="center" vertical="top" wrapText="1"/>
    </xf>
    <xf numFmtId="167" fontId="5" fillId="0" borderId="45" xfId="0" applyNumberFormat="1" applyFont="1" applyBorder="1" applyAlignment="1">
      <alignment horizontal="center" vertical="top" wrapText="1"/>
    </xf>
    <xf numFmtId="0" fontId="5" fillId="0" borderId="46" xfId="0" applyFont="1" applyBorder="1" applyAlignment="1">
      <alignment vertical="top" wrapText="1"/>
    </xf>
    <xf numFmtId="0" fontId="5" fillId="0" borderId="66" xfId="0" applyFont="1" applyBorder="1" applyAlignment="1">
      <alignment vertical="top" wrapText="1"/>
    </xf>
    <xf numFmtId="0" fontId="5" fillId="0" borderId="45" xfId="0" applyFont="1" applyBorder="1" applyAlignment="1">
      <alignment vertical="top" wrapText="1"/>
    </xf>
    <xf numFmtId="14" fontId="5" fillId="0" borderId="46" xfId="0" applyNumberFormat="1" applyFont="1" applyBorder="1" applyAlignment="1">
      <alignment horizontal="center" vertical="top" wrapText="1"/>
    </xf>
    <xf numFmtId="0" fontId="33" fillId="0" borderId="66" xfId="0" applyFont="1" applyBorder="1" applyAlignment="1">
      <alignment vertical="top" wrapText="1"/>
    </xf>
    <xf numFmtId="0" fontId="33" fillId="0" borderId="46" xfId="0" applyFont="1" applyBorder="1" applyAlignment="1">
      <alignment vertical="top" wrapText="1"/>
    </xf>
    <xf numFmtId="4" fontId="5" fillId="0" borderId="66" xfId="0" applyNumberFormat="1" applyFont="1" applyBorder="1" applyAlignment="1">
      <alignment vertical="top" wrapText="1"/>
    </xf>
    <xf numFmtId="4" fontId="32" fillId="0" borderId="45" xfId="0" applyNumberFormat="1" applyFont="1" applyBorder="1" applyAlignment="1">
      <alignment vertical="top" wrapText="1"/>
    </xf>
    <xf numFmtId="4" fontId="33" fillId="0" borderId="46" xfId="0" applyNumberFormat="1" applyFont="1" applyBorder="1" applyAlignment="1">
      <alignment vertical="top" wrapText="1"/>
    </xf>
    <xf numFmtId="4" fontId="14" fillId="0" borderId="66" xfId="0" applyNumberFormat="1" applyFont="1" applyBorder="1" applyAlignment="1">
      <alignment vertical="top" wrapText="1"/>
    </xf>
    <xf numFmtId="4" fontId="28" fillId="0" borderId="46" xfId="0" applyNumberFormat="1" applyFont="1" applyBorder="1" applyAlignment="1">
      <alignment vertical="top" wrapText="1"/>
    </xf>
    <xf numFmtId="40" fontId="33" fillId="0" borderId="66" xfId="0" applyNumberFormat="1" applyFont="1" applyBorder="1" applyAlignment="1">
      <alignment vertical="top" wrapText="1"/>
    </xf>
    <xf numFmtId="40" fontId="33" fillId="0" borderId="45" xfId="0" applyNumberFormat="1" applyFont="1" applyBorder="1" applyAlignment="1">
      <alignment vertical="top" wrapText="1"/>
    </xf>
    <xf numFmtId="0" fontId="26" fillId="6" borderId="64" xfId="0" applyFont="1" applyFill="1" applyBorder="1" applyAlignment="1">
      <alignment vertical="top" wrapText="1"/>
    </xf>
    <xf numFmtId="44" fontId="23" fillId="6" borderId="21" xfId="0" applyNumberFormat="1" applyFont="1" applyFill="1" applyBorder="1" applyAlignment="1">
      <alignment vertical="top" wrapText="1"/>
    </xf>
    <xf numFmtId="166" fontId="12" fillId="6" borderId="22" xfId="0" applyNumberFormat="1" applyFont="1" applyFill="1" applyBorder="1" applyAlignment="1">
      <alignment horizontal="left" vertical="top" wrapText="1"/>
    </xf>
    <xf numFmtId="166" fontId="12" fillId="6" borderId="51" xfId="0" applyNumberFormat="1" applyFont="1" applyFill="1" applyBorder="1" applyAlignment="1">
      <alignment horizontal="center" vertical="top" wrapText="1"/>
    </xf>
    <xf numFmtId="44" fontId="26" fillId="6" borderId="22" xfId="0" applyNumberFormat="1" applyFont="1" applyFill="1" applyBorder="1" applyAlignment="1">
      <alignment vertical="top" wrapText="1"/>
    </xf>
    <xf numFmtId="0" fontId="6" fillId="0" borderId="50" xfId="0" applyFont="1" applyBorder="1" applyAlignment="1">
      <alignment horizontal="center" vertical="top" wrapText="1"/>
    </xf>
    <xf numFmtId="49" fontId="6" fillId="0" borderId="55" xfId="0" applyNumberFormat="1" applyFont="1" applyBorder="1" applyAlignment="1">
      <alignment horizontal="left" vertical="top" wrapText="1"/>
    </xf>
    <xf numFmtId="0" fontId="7" fillId="0" borderId="50" xfId="0" applyFont="1" applyBorder="1" applyAlignment="1">
      <alignment vertical="top" wrapText="1"/>
    </xf>
    <xf numFmtId="0" fontId="7" fillId="0" borderId="54" xfId="0" applyFont="1" applyBorder="1" applyAlignment="1">
      <alignment vertical="top" wrapText="1"/>
    </xf>
    <xf numFmtId="0" fontId="7" fillId="0" borderId="58" xfId="0" applyFont="1" applyBorder="1" applyAlignment="1">
      <alignment vertical="top" wrapText="1"/>
    </xf>
    <xf numFmtId="0" fontId="7" fillId="0" borderId="57" xfId="0" applyFont="1" applyBorder="1" applyAlignment="1">
      <alignment vertical="top" wrapText="1"/>
    </xf>
    <xf numFmtId="44" fontId="7" fillId="0" borderId="54" xfId="0" applyNumberFormat="1" applyFont="1" applyBorder="1" applyAlignment="1">
      <alignment vertical="top" wrapText="1"/>
    </xf>
    <xf numFmtId="17" fontId="7" fillId="0" borderId="58" xfId="0" applyNumberFormat="1" applyFont="1" applyBorder="1" applyAlignment="1">
      <alignment vertical="top" wrapText="1"/>
    </xf>
    <xf numFmtId="44" fontId="6" fillId="0" borderId="54" xfId="0" applyNumberFormat="1" applyFont="1" applyBorder="1" applyAlignment="1">
      <alignment vertical="top" wrapText="1"/>
    </xf>
    <xf numFmtId="17" fontId="6" fillId="0" borderId="58" xfId="0" applyNumberFormat="1" applyFont="1" applyBorder="1" applyAlignment="1">
      <alignment horizontal="left" vertical="top" wrapText="1"/>
    </xf>
    <xf numFmtId="44" fontId="25" fillId="0" borderId="54" xfId="0" applyNumberFormat="1" applyFont="1" applyBorder="1" applyAlignment="1">
      <alignment vertical="top" wrapText="1"/>
    </xf>
    <xf numFmtId="44" fontId="6" fillId="0" borderId="50" xfId="2" applyFont="1" applyFill="1" applyBorder="1" applyAlignment="1" applyProtection="1">
      <alignment vertical="top" wrapText="1"/>
    </xf>
    <xf numFmtId="166" fontId="12" fillId="0" borderId="55" xfId="0" applyNumberFormat="1" applyFont="1" applyBorder="1" applyAlignment="1">
      <alignment horizontal="left" vertical="top" wrapText="1"/>
    </xf>
    <xf numFmtId="166" fontId="12" fillId="0" borderId="57" xfId="0" applyNumberFormat="1" applyFont="1" applyBorder="1" applyAlignment="1">
      <alignment horizontal="center" vertical="top" wrapText="1"/>
    </xf>
    <xf numFmtId="166" fontId="12" fillId="0" borderId="58" xfId="0" applyNumberFormat="1" applyFont="1" applyBorder="1" applyAlignment="1">
      <alignment horizontal="center" vertical="top" wrapText="1"/>
    </xf>
    <xf numFmtId="0" fontId="26" fillId="0" borderId="55" xfId="0" applyFont="1" applyBorder="1" applyAlignment="1">
      <alignment horizontal="center" vertical="top"/>
    </xf>
    <xf numFmtId="15" fontId="25" fillId="0" borderId="57" xfId="0" applyNumberFormat="1" applyFont="1" applyBorder="1" applyAlignment="1">
      <alignment horizontal="center" vertical="top"/>
    </xf>
    <xf numFmtId="0" fontId="25" fillId="0" borderId="58" xfId="0" applyFont="1" applyBorder="1" applyAlignment="1">
      <alignment horizontal="right" vertical="top"/>
    </xf>
    <xf numFmtId="44" fontId="25" fillId="0" borderId="54" xfId="2" applyFont="1" applyFill="1" applyBorder="1" applyAlignment="1" applyProtection="1">
      <alignment vertical="top"/>
    </xf>
    <xf numFmtId="17" fontId="25" fillId="0" borderId="58" xfId="0" applyNumberFormat="1" applyFont="1" applyBorder="1" applyAlignment="1">
      <alignment vertical="top"/>
    </xf>
    <xf numFmtId="44" fontId="25" fillId="0" borderId="55" xfId="0" applyNumberFormat="1" applyFont="1" applyBorder="1" applyAlignment="1">
      <alignment vertical="top"/>
    </xf>
    <xf numFmtId="44" fontId="25" fillId="0" borderId="54" xfId="0" applyNumberFormat="1" applyFont="1" applyBorder="1" applyAlignment="1">
      <alignment vertical="top"/>
    </xf>
    <xf numFmtId="0" fontId="25" fillId="0" borderId="58" xfId="0" applyFont="1" applyBorder="1" applyAlignment="1">
      <alignment vertical="top"/>
    </xf>
    <xf numFmtId="0" fontId="25" fillId="0" borderId="57" xfId="0" applyFont="1" applyBorder="1" applyAlignment="1">
      <alignment vertical="top"/>
    </xf>
    <xf numFmtId="44" fontId="26" fillId="0" borderId="50" xfId="2" applyFont="1" applyFill="1" applyBorder="1" applyAlignment="1" applyProtection="1">
      <alignment horizontal="left" vertical="top" wrapText="1"/>
    </xf>
    <xf numFmtId="166" fontId="12" fillId="6" borderId="34" xfId="0" applyNumberFormat="1" applyFont="1" applyFill="1" applyBorder="1" applyAlignment="1">
      <alignment horizontal="center" vertical="top" wrapText="1"/>
    </xf>
    <xf numFmtId="166" fontId="7" fillId="10" borderId="65" xfId="0" applyNumberFormat="1" applyFont="1" applyFill="1" applyBorder="1" applyAlignment="1">
      <alignment horizontal="left" vertical="top" wrapText="1"/>
    </xf>
    <xf numFmtId="166" fontId="7" fillId="10" borderId="37" xfId="0" applyNumberFormat="1" applyFont="1" applyFill="1" applyBorder="1" applyAlignment="1">
      <alignment horizontal="center" vertical="top" wrapText="1"/>
    </xf>
    <xf numFmtId="166" fontId="7" fillId="10" borderId="46" xfId="0" applyNumberFormat="1" applyFont="1" applyFill="1" applyBorder="1" applyAlignment="1">
      <alignment horizontal="center" vertical="top" wrapText="1"/>
    </xf>
    <xf numFmtId="166" fontId="6" fillId="10" borderId="22" xfId="0" applyNumberFormat="1" applyFont="1" applyFill="1" applyBorder="1" applyAlignment="1">
      <alignment horizontal="left" vertical="top" wrapText="1"/>
    </xf>
    <xf numFmtId="166" fontId="6" fillId="6" borderId="63" xfId="0" applyNumberFormat="1" applyFont="1" applyFill="1" applyBorder="1" applyAlignment="1">
      <alignment horizontal="left" vertical="top" wrapText="1"/>
    </xf>
    <xf numFmtId="44" fontId="24" fillId="6" borderId="22" xfId="0" applyNumberFormat="1" applyFont="1" applyFill="1" applyBorder="1" applyAlignment="1">
      <alignment vertical="top"/>
    </xf>
    <xf numFmtId="17" fontId="24" fillId="6" borderId="34" xfId="0" applyNumberFormat="1" applyFont="1" applyFill="1" applyBorder="1" applyAlignment="1">
      <alignment vertical="top"/>
    </xf>
    <xf numFmtId="0" fontId="6" fillId="6" borderId="64" xfId="0" applyFont="1" applyFill="1" applyBorder="1" applyAlignment="1">
      <alignment vertical="top" wrapText="1"/>
    </xf>
    <xf numFmtId="6" fontId="7" fillId="6" borderId="21" xfId="0" applyNumberFormat="1" applyFont="1" applyFill="1" applyBorder="1" applyAlignment="1">
      <alignment vertical="top" wrapText="1"/>
    </xf>
    <xf numFmtId="6" fontId="6" fillId="6" borderId="21" xfId="0" applyNumberFormat="1" applyFont="1" applyFill="1" applyBorder="1" applyAlignment="1">
      <alignment vertical="top" wrapText="1"/>
    </xf>
    <xf numFmtId="15" fontId="11" fillId="0" borderId="51" xfId="0" applyNumberFormat="1" applyFont="1" applyBorder="1" applyAlignment="1">
      <alignment horizontal="center" vertical="top"/>
    </xf>
    <xf numFmtId="0" fontId="11" fillId="0" borderId="34" xfId="0" applyFont="1" applyBorder="1" applyAlignment="1">
      <alignment horizontal="right" vertical="top"/>
    </xf>
    <xf numFmtId="44" fontId="11" fillId="0" borderId="21" xfId="2" applyFont="1" applyFill="1" applyBorder="1" applyAlignment="1" applyProtection="1">
      <alignment vertical="top"/>
    </xf>
    <xf numFmtId="0" fontId="11" fillId="0" borderId="34" xfId="0" applyFont="1" applyBorder="1" applyAlignment="1">
      <alignment vertical="top"/>
    </xf>
    <xf numFmtId="44" fontId="11" fillId="0" borderId="22" xfId="0" applyNumberFormat="1" applyFont="1" applyBorder="1" applyAlignment="1">
      <alignment vertical="top"/>
    </xf>
    <xf numFmtId="44" fontId="11" fillId="0" borderId="21" xfId="0" applyNumberFormat="1" applyFont="1" applyBorder="1" applyAlignment="1">
      <alignment vertical="top"/>
    </xf>
    <xf numFmtId="0" fontId="11" fillId="0" borderId="51" xfId="0" applyFont="1" applyBorder="1" applyAlignment="1">
      <alignment vertical="top"/>
    </xf>
    <xf numFmtId="0" fontId="11" fillId="0" borderId="22" xfId="0" applyFont="1" applyBorder="1" applyAlignment="1">
      <alignment horizontal="center" vertical="top" wrapText="1"/>
    </xf>
    <xf numFmtId="0" fontId="24" fillId="6" borderId="34" xfId="0" applyFont="1" applyFill="1" applyBorder="1" applyAlignment="1">
      <alignment vertical="top" wrapText="1"/>
    </xf>
    <xf numFmtId="44" fontId="24" fillId="6" borderId="21" xfId="0" applyNumberFormat="1" applyFont="1" applyFill="1" applyBorder="1" applyAlignment="1">
      <alignment vertical="top" wrapText="1"/>
    </xf>
    <xf numFmtId="0" fontId="25" fillId="6" borderId="22" xfId="0" applyFont="1" applyFill="1" applyBorder="1" applyAlignment="1">
      <alignment horizontal="center" vertical="top" wrapText="1"/>
    </xf>
    <xf numFmtId="0" fontId="6" fillId="6" borderId="52" xfId="0" applyFont="1" applyFill="1" applyBorder="1" applyAlignment="1">
      <alignment horizontal="center" vertical="top" wrapText="1"/>
    </xf>
    <xf numFmtId="49" fontId="6" fillId="6" borderId="65" xfId="0" applyNumberFormat="1" applyFont="1" applyFill="1" applyBorder="1" applyAlignment="1">
      <alignment horizontal="left" vertical="top" wrapText="1"/>
    </xf>
    <xf numFmtId="44" fontId="6" fillId="6" borderId="36" xfId="0" applyNumberFormat="1" applyFont="1" applyFill="1" applyBorder="1" applyAlignment="1">
      <alignment vertical="top" wrapText="1"/>
    </xf>
    <xf numFmtId="17" fontId="6" fillId="6" borderId="46" xfId="0" applyNumberFormat="1" applyFont="1" applyFill="1" applyBorder="1" applyAlignment="1">
      <alignment horizontal="left" vertical="top" wrapText="1"/>
    </xf>
    <xf numFmtId="44" fontId="6" fillId="6" borderId="52" xfId="2" applyFont="1" applyFill="1" applyBorder="1" applyAlignment="1" applyProtection="1">
      <alignment vertical="top" wrapText="1"/>
    </xf>
    <xf numFmtId="0" fontId="26" fillId="6" borderId="65" xfId="0" applyFont="1" applyFill="1" applyBorder="1" applyAlignment="1">
      <alignment horizontal="center" vertical="top" wrapText="1"/>
    </xf>
    <xf numFmtId="15" fontId="25" fillId="6" borderId="37" xfId="0" applyNumberFormat="1" applyFont="1" applyFill="1" applyBorder="1" applyAlignment="1">
      <alignment horizontal="center" vertical="top" wrapText="1"/>
    </xf>
    <xf numFmtId="0" fontId="25" fillId="6" borderId="46" xfId="0" applyFont="1" applyFill="1" applyBorder="1" applyAlignment="1">
      <alignment horizontal="right" vertical="top" wrapText="1"/>
    </xf>
    <xf numFmtId="44" fontId="26" fillId="6" borderId="52" xfId="2" applyFont="1" applyFill="1" applyBorder="1" applyAlignment="1" applyProtection="1">
      <alignment horizontal="left" vertical="top" wrapText="1"/>
    </xf>
    <xf numFmtId="166" fontId="6" fillId="0" borderId="22" xfId="0" applyNumberFormat="1" applyFont="1" applyBorder="1" applyAlignment="1">
      <alignment horizontal="left" vertical="top" wrapText="1"/>
    </xf>
    <xf numFmtId="0" fontId="25" fillId="0" borderId="64" xfId="0" applyFont="1" applyBorder="1" applyAlignment="1">
      <alignment vertical="top" wrapText="1"/>
    </xf>
    <xf numFmtId="44" fontId="25" fillId="0" borderId="36" xfId="0" applyNumberFormat="1" applyFont="1" applyBorder="1" applyAlignment="1">
      <alignment vertical="top" wrapText="1"/>
    </xf>
    <xf numFmtId="15" fontId="25" fillId="0" borderId="37" xfId="0" applyNumberFormat="1" applyFont="1" applyBorder="1" applyAlignment="1">
      <alignment horizontal="center" vertical="top" wrapText="1"/>
    </xf>
    <xf numFmtId="0" fontId="25" fillId="0" borderId="46" xfId="0" applyFont="1" applyBorder="1" applyAlignment="1">
      <alignment horizontal="right" vertical="top" wrapText="1"/>
    </xf>
    <xf numFmtId="17" fontId="25" fillId="0" borderId="46" xfId="0" applyNumberFormat="1" applyFont="1" applyBorder="1" applyAlignment="1">
      <alignment vertical="top" wrapText="1"/>
    </xf>
    <xf numFmtId="166" fontId="7" fillId="10" borderId="22" xfId="0" applyNumberFormat="1" applyFont="1" applyFill="1" applyBorder="1" applyAlignment="1">
      <alignment horizontal="left" vertical="top"/>
    </xf>
    <xf numFmtId="0" fontId="32" fillId="0" borderId="63" xfId="0" applyFont="1" applyBorder="1" applyAlignment="1">
      <alignment vertical="top" wrapText="1"/>
    </xf>
    <xf numFmtId="0" fontId="5" fillId="6" borderId="45" xfId="0" applyFont="1" applyFill="1" applyBorder="1" applyAlignment="1">
      <alignment horizontal="center" vertical="top" wrapText="1"/>
    </xf>
    <xf numFmtId="4" fontId="14" fillId="6" borderId="66" xfId="0" applyNumberFormat="1" applyFont="1" applyFill="1" applyBorder="1" applyAlignment="1">
      <alignment vertical="top" wrapText="1"/>
    </xf>
    <xf numFmtId="0" fontId="22" fillId="0" borderId="24" xfId="0" applyFont="1" applyBorder="1" applyAlignment="1">
      <alignment vertical="top" wrapText="1"/>
    </xf>
    <xf numFmtId="0" fontId="24" fillId="6" borderId="64" xfId="0" applyFont="1" applyFill="1" applyBorder="1" applyAlignment="1">
      <alignment vertical="top" wrapText="1"/>
    </xf>
    <xf numFmtId="0" fontId="7" fillId="6" borderId="64" xfId="0" applyFont="1" applyFill="1" applyBorder="1" applyAlignment="1">
      <alignment vertical="top"/>
    </xf>
    <xf numFmtId="166" fontId="7" fillId="6" borderId="22" xfId="0" applyNumberFormat="1" applyFont="1" applyFill="1" applyBorder="1" applyAlignment="1">
      <alignment horizontal="left" vertical="top"/>
    </xf>
    <xf numFmtId="166" fontId="7" fillId="6" borderId="51" xfId="0" applyNumberFormat="1" applyFont="1" applyFill="1" applyBorder="1" applyAlignment="1">
      <alignment horizontal="center" vertical="top"/>
    </xf>
    <xf numFmtId="166" fontId="7" fillId="6" borderId="34" xfId="0" applyNumberFormat="1" applyFont="1" applyFill="1" applyBorder="1" applyAlignment="1">
      <alignment horizontal="center" vertical="top"/>
    </xf>
    <xf numFmtId="0" fontId="28" fillId="0" borderId="0" xfId="0" applyFont="1" applyAlignment="1">
      <alignment vertical="top" wrapText="1"/>
    </xf>
    <xf numFmtId="44" fontId="14" fillId="0" borderId="16" xfId="2" applyFont="1" applyFill="1" applyBorder="1" applyAlignment="1" applyProtection="1">
      <alignment vertical="top" wrapText="1"/>
    </xf>
    <xf numFmtId="8" fontId="6" fillId="3" borderId="0" xfId="0" applyNumberFormat="1" applyFont="1" applyFill="1" applyAlignment="1">
      <alignment horizontal="right" vertical="top"/>
    </xf>
    <xf numFmtId="8" fontId="7" fillId="0" borderId="0" xfId="0" applyNumberFormat="1" applyFont="1" applyAlignment="1">
      <alignment horizontal="right" vertical="top"/>
    </xf>
    <xf numFmtId="0" fontId="6" fillId="3" borderId="25" xfId="0" applyFont="1" applyFill="1" applyBorder="1" applyAlignment="1">
      <alignment horizontal="right" vertical="top"/>
    </xf>
    <xf numFmtId="0" fontId="7" fillId="0" borderId="7" xfId="0" applyFont="1" applyBorder="1" applyAlignment="1">
      <alignment horizontal="right" vertical="top"/>
    </xf>
    <xf numFmtId="173" fontId="28" fillId="6" borderId="35" xfId="0" applyNumberFormat="1" applyFont="1" applyFill="1" applyBorder="1" applyAlignment="1">
      <alignment horizontal="center" vertical="top" wrapText="1"/>
    </xf>
    <xf numFmtId="0" fontId="28" fillId="6" borderId="35" xfId="0" applyFont="1" applyFill="1" applyBorder="1" applyAlignment="1">
      <alignment horizontal="center" vertical="top" wrapText="1"/>
    </xf>
    <xf numFmtId="165" fontId="28" fillId="6" borderId="35" xfId="0" applyNumberFormat="1" applyFont="1" applyFill="1" applyBorder="1" applyAlignment="1">
      <alignment horizontal="center" vertical="top" wrapText="1"/>
    </xf>
    <xf numFmtId="168" fontId="28" fillId="6" borderId="27" xfId="1" applyNumberFormat="1" applyFont="1" applyFill="1" applyBorder="1" applyAlignment="1" applyProtection="1">
      <alignment horizontal="center" vertical="top" wrapText="1"/>
    </xf>
    <xf numFmtId="0" fontId="14" fillId="8" borderId="66" xfId="0" applyFont="1" applyFill="1" applyBorder="1" applyAlignment="1">
      <alignment horizontal="center" vertical="top" wrapText="1"/>
    </xf>
    <xf numFmtId="0" fontId="14" fillId="8" borderId="45" xfId="0" applyFont="1" applyFill="1" applyBorder="1" applyAlignment="1">
      <alignment horizontal="center" vertical="top" wrapText="1"/>
    </xf>
    <xf numFmtId="165" fontId="14" fillId="8" borderId="45" xfId="0" applyNumberFormat="1" applyFont="1" applyFill="1" applyBorder="1" applyAlignment="1">
      <alignment horizontal="center" vertical="top" wrapText="1"/>
    </xf>
    <xf numFmtId="0" fontId="14" fillId="8" borderId="46" xfId="0" applyFont="1" applyFill="1" applyBorder="1" applyAlignment="1">
      <alignment horizontal="center" vertical="top" wrapText="1"/>
    </xf>
    <xf numFmtId="0" fontId="28" fillId="8" borderId="46" xfId="0" applyFont="1" applyFill="1" applyBorder="1" applyAlignment="1">
      <alignment horizontal="center" vertical="top" wrapText="1"/>
    </xf>
    <xf numFmtId="4" fontId="14" fillId="8" borderId="66" xfId="0" applyNumberFormat="1" applyFont="1" applyFill="1" applyBorder="1" applyAlignment="1">
      <alignment horizontal="center" vertical="top" wrapText="1"/>
    </xf>
    <xf numFmtId="4" fontId="29" fillId="8" borderId="45" xfId="0" applyNumberFormat="1" applyFont="1" applyFill="1" applyBorder="1" applyAlignment="1">
      <alignment horizontal="center" vertical="top" wrapText="1"/>
    </xf>
    <xf numFmtId="4" fontId="28" fillId="8" borderId="46" xfId="0" applyNumberFormat="1" applyFont="1" applyFill="1" applyBorder="1" applyAlignment="1">
      <alignment horizontal="center" vertical="top" wrapText="1"/>
    </xf>
    <xf numFmtId="0" fontId="14" fillId="0" borderId="3" xfId="0" applyFont="1" applyBorder="1" applyAlignment="1">
      <alignment horizontal="center" vertical="top" wrapText="1"/>
    </xf>
    <xf numFmtId="0" fontId="28" fillId="0" borderId="23" xfId="0" applyFont="1" applyBorder="1" applyAlignment="1">
      <alignment horizontal="center" vertical="top" wrapText="1"/>
    </xf>
    <xf numFmtId="44" fontId="7" fillId="0" borderId="0" xfId="0" applyNumberFormat="1" applyFont="1" applyAlignment="1">
      <alignment horizontal="center" vertical="top" wrapText="1"/>
    </xf>
    <xf numFmtId="44" fontId="6" fillId="0" borderId="0" xfId="0" applyNumberFormat="1" applyFont="1" applyAlignment="1">
      <alignment vertical="top"/>
    </xf>
    <xf numFmtId="0" fontId="7" fillId="0" borderId="26" xfId="0" applyFont="1" applyBorder="1" applyAlignment="1">
      <alignment vertical="top" wrapText="1"/>
    </xf>
    <xf numFmtId="0" fontId="6" fillId="0" borderId="26" xfId="0" applyFont="1" applyBorder="1" applyAlignment="1">
      <alignment horizontal="center" vertical="top" wrapText="1"/>
    </xf>
    <xf numFmtId="49" fontId="6" fillId="0" borderId="28" xfId="0" applyNumberFormat="1" applyFont="1" applyBorder="1" applyAlignment="1">
      <alignment horizontal="left" vertical="top" wrapText="1"/>
    </xf>
    <xf numFmtId="0" fontId="7" fillId="0" borderId="20" xfId="0" applyFont="1" applyBorder="1" applyAlignment="1">
      <alignment vertical="top" wrapText="1"/>
    </xf>
    <xf numFmtId="0" fontId="7" fillId="0" borderId="27" xfId="0" applyFont="1" applyBorder="1" applyAlignment="1">
      <alignment vertical="top" wrapText="1"/>
    </xf>
    <xf numFmtId="0" fontId="7" fillId="0" borderId="29" xfId="0" applyFont="1" applyBorder="1" applyAlignment="1">
      <alignment vertical="top" wrapText="1"/>
    </xf>
    <xf numFmtId="44" fontId="7" fillId="0" borderId="20" xfId="0" applyNumberFormat="1" applyFont="1" applyBorder="1" applyAlignment="1">
      <alignment vertical="top" wrapText="1"/>
    </xf>
    <xf numFmtId="17" fontId="7" fillId="0" borderId="27" xfId="0" applyNumberFormat="1" applyFont="1" applyBorder="1" applyAlignment="1">
      <alignment vertical="top" wrapText="1"/>
    </xf>
    <xf numFmtId="44" fontId="6" fillId="0" borderId="20" xfId="0" applyNumberFormat="1" applyFont="1" applyBorder="1" applyAlignment="1">
      <alignment vertical="top" wrapText="1"/>
    </xf>
    <xf numFmtId="17" fontId="6" fillId="0" borderId="27" xfId="0" applyNumberFormat="1" applyFont="1" applyBorder="1" applyAlignment="1">
      <alignment horizontal="left" vertical="top" wrapText="1"/>
    </xf>
    <xf numFmtId="0" fontId="7" fillId="0" borderId="27" xfId="0" applyFont="1" applyBorder="1" applyAlignment="1">
      <alignment horizontal="left" vertical="top" wrapText="1"/>
    </xf>
    <xf numFmtId="166" fontId="6" fillId="0" borderId="28" xfId="0" applyNumberFormat="1" applyFont="1" applyBorder="1" applyAlignment="1">
      <alignment horizontal="left" vertical="top" wrapText="1"/>
    </xf>
    <xf numFmtId="166" fontId="7" fillId="0" borderId="29" xfId="0" applyNumberFormat="1" applyFont="1" applyBorder="1" applyAlignment="1">
      <alignment horizontal="center" vertical="top" wrapText="1"/>
    </xf>
    <xf numFmtId="166" fontId="7" fillId="0" borderId="27" xfId="0" applyNumberFormat="1" applyFont="1" applyBorder="1" applyAlignment="1">
      <alignment horizontal="center" vertical="top" wrapText="1"/>
    </xf>
    <xf numFmtId="0" fontId="26" fillId="0" borderId="28" xfId="0" applyFont="1" applyBorder="1" applyAlignment="1">
      <alignment horizontal="center" vertical="top" wrapText="1"/>
    </xf>
    <xf numFmtId="15" fontId="25" fillId="0" borderId="29" xfId="0" applyNumberFormat="1" applyFont="1" applyBorder="1" applyAlignment="1">
      <alignment horizontal="center" vertical="top" wrapText="1"/>
    </xf>
    <xf numFmtId="0" fontId="25" fillId="0" borderId="27" xfId="0" applyFont="1" applyBorder="1" applyAlignment="1">
      <alignment horizontal="right" vertical="top" wrapText="1"/>
    </xf>
    <xf numFmtId="44" fontId="25" fillId="0" borderId="20" xfId="2" applyFont="1" applyFill="1" applyBorder="1" applyAlignment="1" applyProtection="1">
      <alignment vertical="top" wrapText="1"/>
    </xf>
    <xf numFmtId="0" fontId="25" fillId="0" borderId="27" xfId="0" applyFont="1" applyBorder="1" applyAlignment="1">
      <alignment vertical="top" wrapText="1"/>
    </xf>
    <xf numFmtId="44" fontId="25" fillId="0" borderId="28" xfId="0" applyNumberFormat="1" applyFont="1" applyBorder="1" applyAlignment="1">
      <alignment vertical="top" wrapText="1"/>
    </xf>
    <xf numFmtId="17" fontId="25" fillId="0" borderId="27" xfId="0" applyNumberFormat="1" applyFont="1" applyBorder="1" applyAlignment="1">
      <alignment vertical="top" wrapText="1"/>
    </xf>
    <xf numFmtId="44" fontId="25" fillId="0" borderId="20" xfId="0" applyNumberFormat="1" applyFont="1" applyBorder="1" applyAlignment="1">
      <alignment vertical="top" wrapText="1"/>
    </xf>
    <xf numFmtId="0" fontId="25" fillId="0" borderId="29" xfId="0" applyFont="1" applyBorder="1" applyAlignment="1">
      <alignment vertical="top" wrapText="1"/>
    </xf>
    <xf numFmtId="44" fontId="26" fillId="0" borderId="26" xfId="2" applyFont="1" applyFill="1" applyBorder="1" applyAlignment="1" applyProtection="1">
      <alignment horizontal="left" vertical="top" wrapText="1"/>
    </xf>
    <xf numFmtId="44" fontId="11" fillId="6" borderId="36" xfId="2" applyFont="1" applyFill="1" applyBorder="1" applyAlignment="1" applyProtection="1">
      <alignment vertical="top"/>
    </xf>
    <xf numFmtId="44" fontId="25" fillId="6" borderId="36" xfId="0" applyNumberFormat="1" applyFont="1" applyFill="1" applyBorder="1" applyAlignment="1">
      <alignment vertical="top" wrapText="1"/>
    </xf>
    <xf numFmtId="17" fontId="25" fillId="6" borderId="46" xfId="0" applyNumberFormat="1" applyFont="1" applyFill="1" applyBorder="1" applyAlignment="1">
      <alignment vertical="top" wrapText="1"/>
    </xf>
    <xf numFmtId="0" fontId="25" fillId="0" borderId="22" xfId="0" applyFont="1" applyBorder="1" applyAlignment="1">
      <alignment vertical="top" wrapText="1"/>
    </xf>
    <xf numFmtId="44" fontId="23" fillId="0" borderId="36" xfId="0" applyNumberFormat="1" applyFont="1" applyBorder="1" applyAlignment="1">
      <alignment vertical="top" wrapText="1"/>
    </xf>
    <xf numFmtId="17" fontId="7" fillId="0" borderId="46" xfId="0" applyNumberFormat="1" applyFont="1" applyBorder="1" applyAlignment="1">
      <alignment horizontal="left" vertical="top" wrapText="1"/>
    </xf>
    <xf numFmtId="44" fontId="24" fillId="0" borderId="36" xfId="0" applyNumberFormat="1" applyFont="1" applyBorder="1" applyAlignment="1">
      <alignment vertical="top" wrapText="1"/>
    </xf>
    <xf numFmtId="44" fontId="6" fillId="0" borderId="52" xfId="2" applyFont="1" applyFill="1" applyBorder="1" applyAlignment="1" applyProtection="1">
      <alignment vertical="top" wrapText="1"/>
    </xf>
    <xf numFmtId="166" fontId="12" fillId="0" borderId="65" xfId="0" applyNumberFormat="1" applyFont="1" applyBorder="1" applyAlignment="1">
      <alignment horizontal="left" vertical="top" wrapText="1"/>
    </xf>
    <xf numFmtId="166" fontId="12" fillId="0" borderId="37" xfId="0" applyNumberFormat="1" applyFont="1" applyBorder="1" applyAlignment="1">
      <alignment horizontal="center" vertical="top" wrapText="1"/>
    </xf>
    <xf numFmtId="166" fontId="7" fillId="0" borderId="46" xfId="0" applyNumberFormat="1" applyFont="1" applyBorder="1" applyAlignment="1">
      <alignment horizontal="center" vertical="top" wrapText="1"/>
    </xf>
    <xf numFmtId="44" fontId="25" fillId="0" borderId="36" xfId="2" applyFont="1" applyFill="1" applyBorder="1" applyAlignment="1" applyProtection="1">
      <alignment vertical="top" wrapText="1"/>
    </xf>
    <xf numFmtId="0" fontId="25" fillId="0" borderId="46" xfId="0" applyFont="1" applyBorder="1" applyAlignment="1">
      <alignment vertical="top" wrapText="1"/>
    </xf>
    <xf numFmtId="44" fontId="25" fillId="0" borderId="65" xfId="0" applyNumberFormat="1" applyFont="1" applyBorder="1" applyAlignment="1">
      <alignment vertical="top" wrapText="1"/>
    </xf>
    <xf numFmtId="0" fontId="25" fillId="0" borderId="37" xfId="0" applyFont="1" applyBorder="1" applyAlignment="1">
      <alignment vertical="top" wrapText="1"/>
    </xf>
    <xf numFmtId="0" fontId="8" fillId="6" borderId="64" xfId="0" applyFont="1" applyFill="1" applyBorder="1" applyAlignment="1">
      <alignment vertical="top" wrapText="1"/>
    </xf>
    <xf numFmtId="49" fontId="6" fillId="6" borderId="22" xfId="0" applyNumberFormat="1" applyFont="1" applyFill="1" applyBorder="1" applyAlignment="1">
      <alignment horizontal="left" vertical="top"/>
    </xf>
    <xf numFmtId="17" fontId="7" fillId="6" borderId="34" xfId="0" applyNumberFormat="1" applyFont="1" applyFill="1" applyBorder="1" applyAlignment="1">
      <alignment vertical="top"/>
    </xf>
    <xf numFmtId="17" fontId="6" fillId="6" borderId="34" xfId="0" applyNumberFormat="1" applyFont="1" applyFill="1" applyBorder="1" applyAlignment="1">
      <alignment horizontal="left" vertical="top"/>
    </xf>
    <xf numFmtId="44" fontId="6" fillId="6" borderId="3" xfId="0" applyNumberFormat="1" applyFont="1" applyFill="1" applyBorder="1" applyAlignment="1">
      <alignment vertical="top"/>
    </xf>
    <xf numFmtId="44" fontId="25" fillId="6" borderId="3" xfId="0" applyNumberFormat="1" applyFont="1" applyFill="1" applyBorder="1" applyAlignment="1">
      <alignment vertical="top"/>
    </xf>
    <xf numFmtId="17" fontId="14" fillId="6" borderId="3" xfId="0" applyNumberFormat="1" applyFont="1" applyFill="1" applyBorder="1" applyAlignment="1">
      <alignment horizontal="right" vertical="top" wrapText="1"/>
    </xf>
    <xf numFmtId="174" fontId="14" fillId="6" borderId="3" xfId="2" applyNumberFormat="1" applyFont="1" applyFill="1" applyBorder="1" applyAlignment="1" applyProtection="1">
      <alignment vertical="top" wrapText="1"/>
    </xf>
    <xf numFmtId="44" fontId="33" fillId="6" borderId="3" xfId="0" applyNumberFormat="1" applyFont="1" applyFill="1" applyBorder="1" applyAlignment="1">
      <alignment vertical="top" wrapText="1"/>
    </xf>
    <xf numFmtId="44" fontId="33" fillId="6" borderId="3" xfId="2" applyFont="1" applyFill="1" applyBorder="1" applyAlignment="1" applyProtection="1">
      <alignment vertical="top" wrapText="1"/>
    </xf>
    <xf numFmtId="166" fontId="7" fillId="6" borderId="23" xfId="0" applyNumberFormat="1" applyFont="1" applyFill="1" applyBorder="1" applyAlignment="1">
      <alignment horizontal="center" vertical="top" wrapText="1"/>
    </xf>
    <xf numFmtId="0" fontId="12" fillId="6" borderId="46" xfId="0" applyFont="1" applyFill="1" applyBorder="1" applyAlignment="1">
      <alignment vertical="top" wrapText="1"/>
    </xf>
    <xf numFmtId="0" fontId="12" fillId="6" borderId="36" xfId="0" applyFont="1" applyFill="1" applyBorder="1" applyAlignment="1">
      <alignment vertical="top" wrapText="1"/>
    </xf>
    <xf numFmtId="44" fontId="25" fillId="6" borderId="36" xfId="2" applyFont="1" applyFill="1" applyBorder="1" applyAlignment="1" applyProtection="1">
      <alignment vertical="top" wrapText="1"/>
    </xf>
    <xf numFmtId="44" fontId="25" fillId="6" borderId="65" xfId="0" applyNumberFormat="1" applyFont="1" applyFill="1" applyBorder="1" applyAlignment="1">
      <alignment vertical="top" wrapText="1"/>
    </xf>
    <xf numFmtId="0" fontId="25" fillId="6" borderId="46" xfId="0" applyFont="1" applyFill="1" applyBorder="1" applyAlignment="1">
      <alignment vertical="top" wrapText="1"/>
    </xf>
    <xf numFmtId="0" fontId="25" fillId="6" borderId="37" xfId="0" applyFont="1" applyFill="1" applyBorder="1" applyAlignment="1">
      <alignment vertical="top" wrapText="1"/>
    </xf>
    <xf numFmtId="0" fontId="6" fillId="6" borderId="6" xfId="0" applyFont="1" applyFill="1" applyBorder="1" applyAlignment="1">
      <alignment horizontal="right" vertical="top" wrapText="1"/>
    </xf>
    <xf numFmtId="0" fontId="6" fillId="8" borderId="6" xfId="0" applyFont="1" applyFill="1" applyBorder="1" applyAlignment="1">
      <alignment horizontal="right" vertical="top" wrapText="1"/>
    </xf>
    <xf numFmtId="44" fontId="6" fillId="8" borderId="3" xfId="0" applyNumberFormat="1" applyFont="1" applyFill="1" applyBorder="1" applyAlignment="1">
      <alignment vertical="top"/>
    </xf>
    <xf numFmtId="44" fontId="25" fillId="8" borderId="3" xfId="0" applyNumberFormat="1" applyFont="1" applyFill="1" applyBorder="1" applyAlignment="1">
      <alignment vertical="top"/>
    </xf>
    <xf numFmtId="44" fontId="23" fillId="0" borderId="21" xfId="0" applyNumberFormat="1" applyFont="1" applyBorder="1" applyAlignment="1">
      <alignment vertical="top" wrapText="1"/>
    </xf>
    <xf numFmtId="0" fontId="25" fillId="0" borderId="22" xfId="0" applyFont="1" applyBorder="1" applyAlignment="1">
      <alignment horizontal="center" vertical="top" wrapText="1"/>
    </xf>
    <xf numFmtId="44" fontId="24" fillId="0" borderId="21" xfId="0" applyNumberFormat="1" applyFont="1" applyBorder="1" applyAlignment="1">
      <alignment vertical="top" wrapText="1"/>
    </xf>
    <xf numFmtId="0" fontId="32" fillId="0" borderId="34" xfId="0" applyFont="1" applyBorder="1" applyAlignment="1">
      <alignment vertical="top" wrapText="1"/>
    </xf>
    <xf numFmtId="49" fontId="26" fillId="0" borderId="22" xfId="0" applyNumberFormat="1" applyFont="1" applyBorder="1" applyAlignment="1">
      <alignment horizontal="left" vertical="top" wrapText="1"/>
    </xf>
    <xf numFmtId="0" fontId="26" fillId="0" borderId="22" xfId="0" applyFont="1" applyBorder="1" applyAlignment="1">
      <alignment vertical="top" wrapText="1"/>
    </xf>
    <xf numFmtId="17" fontId="14" fillId="8" borderId="3" xfId="0" applyNumberFormat="1" applyFont="1" applyFill="1" applyBorder="1" applyAlignment="1">
      <alignment horizontal="right" vertical="top" wrapText="1"/>
    </xf>
    <xf numFmtId="174" fontId="14" fillId="8" borderId="3" xfId="2" applyNumberFormat="1" applyFont="1" applyFill="1" applyBorder="1" applyAlignment="1" applyProtection="1">
      <alignment vertical="top" wrapText="1"/>
    </xf>
    <xf numFmtId="44" fontId="33" fillId="8" borderId="3" xfId="0" applyNumberFormat="1" applyFont="1" applyFill="1" applyBorder="1" applyAlignment="1">
      <alignment vertical="top" wrapText="1"/>
    </xf>
    <xf numFmtId="44" fontId="33" fillId="8" borderId="3" xfId="2" applyFont="1" applyFill="1" applyBorder="1" applyAlignment="1" applyProtection="1">
      <alignment vertical="top" wrapText="1"/>
    </xf>
    <xf numFmtId="166" fontId="7" fillId="0" borderId="22" xfId="0" applyNumberFormat="1" applyFont="1" applyBorder="1" applyAlignment="1">
      <alignment horizontal="left" vertical="top" wrapText="1"/>
    </xf>
    <xf numFmtId="166" fontId="25" fillId="0" borderId="51" xfId="0" applyNumberFormat="1" applyFont="1" applyBorder="1" applyAlignment="1">
      <alignment horizontal="center" vertical="top"/>
    </xf>
    <xf numFmtId="166" fontId="25" fillId="0" borderId="51" xfId="0" applyNumberFormat="1" applyFont="1" applyBorder="1" applyAlignment="1">
      <alignment horizontal="center" vertical="top" wrapText="1"/>
    </xf>
    <xf numFmtId="17" fontId="11" fillId="0" borderId="34" xfId="0" applyNumberFormat="1" applyFont="1" applyBorder="1" applyAlignment="1">
      <alignment vertical="top" wrapText="1"/>
    </xf>
    <xf numFmtId="44" fontId="25" fillId="0" borderId="20" xfId="2" applyFont="1" applyFill="1" applyBorder="1" applyAlignment="1" applyProtection="1">
      <alignment vertical="top"/>
    </xf>
    <xf numFmtId="44" fontId="25" fillId="0" borderId="28" xfId="0" applyNumberFormat="1" applyFont="1" applyBorder="1" applyAlignment="1">
      <alignment vertical="top"/>
    </xf>
    <xf numFmtId="44" fontId="25" fillId="0" borderId="20" xfId="0" applyNumberFormat="1" applyFont="1" applyBorder="1" applyAlignment="1">
      <alignment vertical="top"/>
    </xf>
    <xf numFmtId="0" fontId="25" fillId="0" borderId="27" xfId="0" applyFont="1" applyBorder="1" applyAlignment="1">
      <alignment vertical="top"/>
    </xf>
    <xf numFmtId="0" fontId="25" fillId="0" borderId="29" xfId="0" applyFont="1" applyBorder="1" applyAlignment="1">
      <alignment vertical="top"/>
    </xf>
    <xf numFmtId="17" fontId="6" fillId="0" borderId="46" xfId="0" applyNumberFormat="1" applyFont="1" applyBorder="1" applyAlignment="1">
      <alignment horizontal="left" vertical="top" wrapText="1"/>
    </xf>
    <xf numFmtId="0" fontId="26" fillId="0" borderId="65" xfId="0" applyFont="1" applyBorder="1" applyAlignment="1">
      <alignment horizontal="center" vertical="top" wrapText="1"/>
    </xf>
    <xf numFmtId="0" fontId="26" fillId="0" borderId="52" xfId="0" applyFont="1" applyBorder="1" applyAlignment="1">
      <alignment vertical="top" wrapText="1"/>
    </xf>
    <xf numFmtId="0" fontId="7" fillId="15" borderId="63" xfId="0" applyFont="1" applyFill="1" applyBorder="1" applyAlignment="1">
      <alignment vertical="top" wrapText="1"/>
    </xf>
    <xf numFmtId="0" fontId="7" fillId="15" borderId="34" xfId="0" applyFont="1" applyFill="1" applyBorder="1" applyAlignment="1">
      <alignment vertical="top" wrapText="1"/>
    </xf>
    <xf numFmtId="0" fontId="31" fillId="0" borderId="52" xfId="0" applyFont="1" applyBorder="1" applyAlignment="1">
      <alignment vertical="top" wrapText="1"/>
    </xf>
    <xf numFmtId="0" fontId="31" fillId="0" borderId="64" xfId="0" applyFont="1" applyBorder="1" applyAlignment="1">
      <alignment vertical="top" wrapText="1"/>
    </xf>
    <xf numFmtId="0" fontId="5" fillId="0" borderId="45" xfId="0" applyFont="1" applyBorder="1" applyAlignment="1">
      <alignment horizontal="center" vertical="top" wrapText="1"/>
    </xf>
    <xf numFmtId="0" fontId="5" fillId="6" borderId="21" xfId="0" applyFont="1" applyFill="1" applyBorder="1" applyAlignment="1">
      <alignment vertical="top" wrapText="1"/>
    </xf>
    <xf numFmtId="17" fontId="24" fillId="0" borderId="0" xfId="0" applyNumberFormat="1" applyFont="1" applyAlignment="1">
      <alignment horizontal="center" vertical="top"/>
    </xf>
    <xf numFmtId="8" fontId="24" fillId="0" borderId="0" xfId="0" applyNumberFormat="1" applyFont="1" applyAlignment="1">
      <alignment vertical="top"/>
    </xf>
    <xf numFmtId="0" fontId="25" fillId="0" borderId="0" xfId="0" applyFont="1" applyAlignment="1">
      <alignment horizontal="center" vertical="top"/>
    </xf>
    <xf numFmtId="44" fontId="23" fillId="0" borderId="21" xfId="0" applyNumberFormat="1" applyFont="1" applyBorder="1" applyAlignment="1">
      <alignment vertical="top"/>
    </xf>
    <xf numFmtId="17" fontId="6" fillId="0" borderId="71" xfId="0" applyNumberFormat="1" applyFont="1" applyBorder="1" applyAlignment="1">
      <alignment horizontal="left" vertical="top" wrapText="1"/>
    </xf>
    <xf numFmtId="0" fontId="7" fillId="6" borderId="26" xfId="0" applyFont="1" applyFill="1" applyBorder="1" applyAlignment="1">
      <alignment vertical="top" wrapText="1"/>
    </xf>
    <xf numFmtId="0" fontId="6" fillId="6" borderId="26" xfId="0" applyFont="1" applyFill="1" applyBorder="1" applyAlignment="1">
      <alignment horizontal="center" vertical="top" wrapText="1"/>
    </xf>
    <xf numFmtId="49" fontId="6" fillId="6" borderId="28" xfId="0" applyNumberFormat="1" applyFont="1" applyFill="1" applyBorder="1" applyAlignment="1">
      <alignment horizontal="left" vertical="top" wrapText="1"/>
    </xf>
    <xf numFmtId="0" fontId="7" fillId="6" borderId="20" xfId="0" applyFont="1" applyFill="1" applyBorder="1" applyAlignment="1">
      <alignment vertical="top" wrapText="1"/>
    </xf>
    <xf numFmtId="0" fontId="7" fillId="6" borderId="27" xfId="0" applyFont="1" applyFill="1" applyBorder="1" applyAlignment="1">
      <alignment vertical="top" wrapText="1"/>
    </xf>
    <xf numFmtId="0" fontId="7" fillId="6" borderId="29" xfId="0" applyFont="1" applyFill="1" applyBorder="1" applyAlignment="1">
      <alignment vertical="top" wrapText="1"/>
    </xf>
    <xf numFmtId="44" fontId="7" fillId="6" borderId="20" xfId="0" applyNumberFormat="1" applyFont="1" applyFill="1" applyBorder="1" applyAlignment="1">
      <alignment vertical="top" wrapText="1"/>
    </xf>
    <xf numFmtId="17" fontId="7" fillId="6" borderId="27" xfId="0" applyNumberFormat="1" applyFont="1" applyFill="1" applyBorder="1" applyAlignment="1">
      <alignment vertical="top" wrapText="1"/>
    </xf>
    <xf numFmtId="44" fontId="6" fillId="6" borderId="20" xfId="0" applyNumberFormat="1" applyFont="1" applyFill="1" applyBorder="1" applyAlignment="1">
      <alignment vertical="top" wrapText="1"/>
    </xf>
    <xf numFmtId="17" fontId="6" fillId="6" borderId="27" xfId="0" applyNumberFormat="1" applyFont="1" applyFill="1" applyBorder="1" applyAlignment="1">
      <alignment horizontal="left" vertical="top" wrapText="1"/>
    </xf>
    <xf numFmtId="0" fontId="7" fillId="6" borderId="27" xfId="0" applyFont="1" applyFill="1" applyBorder="1" applyAlignment="1">
      <alignment horizontal="left" vertical="top" wrapText="1"/>
    </xf>
    <xf numFmtId="44" fontId="6" fillId="6" borderId="26" xfId="2" applyFont="1" applyFill="1" applyBorder="1" applyAlignment="1" applyProtection="1">
      <alignment vertical="top" wrapText="1"/>
    </xf>
    <xf numFmtId="166" fontId="7" fillId="6" borderId="28" xfId="0" applyNumberFormat="1" applyFont="1" applyFill="1" applyBorder="1" applyAlignment="1">
      <alignment horizontal="left" vertical="top" wrapText="1"/>
    </xf>
    <xf numFmtId="166" fontId="7" fillId="6" borderId="29" xfId="0" applyNumberFormat="1" applyFont="1" applyFill="1" applyBorder="1" applyAlignment="1">
      <alignment horizontal="center" vertical="top" wrapText="1"/>
    </xf>
    <xf numFmtId="166" fontId="7" fillId="6" borderId="27" xfId="0" applyNumberFormat="1" applyFont="1" applyFill="1" applyBorder="1" applyAlignment="1">
      <alignment horizontal="center" vertical="top" wrapText="1"/>
    </xf>
    <xf numFmtId="0" fontId="26" fillId="6" borderId="28" xfId="0" applyFont="1" applyFill="1" applyBorder="1" applyAlignment="1">
      <alignment horizontal="center" vertical="top" wrapText="1"/>
    </xf>
    <xf numFmtId="15" fontId="25" fillId="6" borderId="29" xfId="0" applyNumberFormat="1" applyFont="1" applyFill="1" applyBorder="1" applyAlignment="1">
      <alignment horizontal="center" vertical="top" wrapText="1"/>
    </xf>
    <xf numFmtId="0" fontId="25" fillId="6" borderId="27" xfId="0" applyFont="1" applyFill="1" applyBorder="1" applyAlignment="1">
      <alignment horizontal="right" vertical="top" wrapText="1"/>
    </xf>
    <xf numFmtId="44" fontId="25" fillId="6" borderId="20" xfId="2" applyFont="1" applyFill="1" applyBorder="1" applyAlignment="1" applyProtection="1">
      <alignment vertical="top" wrapText="1"/>
    </xf>
    <xf numFmtId="0" fontId="25" fillId="6" borderId="27" xfId="0" applyFont="1" applyFill="1" applyBorder="1" applyAlignment="1">
      <alignment vertical="top" wrapText="1"/>
    </xf>
    <xf numFmtId="44" fontId="26" fillId="6" borderId="28" xfId="0" applyNumberFormat="1" applyFont="1" applyFill="1" applyBorder="1" applyAlignment="1">
      <alignment vertical="top" wrapText="1"/>
    </xf>
    <xf numFmtId="17" fontId="25" fillId="6" borderId="27" xfId="0" applyNumberFormat="1" applyFont="1" applyFill="1" applyBorder="1" applyAlignment="1">
      <alignment vertical="top" wrapText="1"/>
    </xf>
    <xf numFmtId="44" fontId="25" fillId="6" borderId="20" xfId="0" applyNumberFormat="1" applyFont="1" applyFill="1" applyBorder="1" applyAlignment="1">
      <alignment vertical="top" wrapText="1"/>
    </xf>
    <xf numFmtId="0" fontId="25" fillId="6" borderId="29" xfId="0" applyFont="1" applyFill="1" applyBorder="1" applyAlignment="1">
      <alignment vertical="top" wrapText="1"/>
    </xf>
    <xf numFmtId="44" fontId="26" fillId="6" borderId="26" xfId="2" applyFont="1" applyFill="1" applyBorder="1" applyAlignment="1" applyProtection="1">
      <alignment horizontal="left" vertical="top" wrapText="1"/>
    </xf>
    <xf numFmtId="0" fontId="25" fillId="0" borderId="52" xfId="0" applyFont="1" applyBorder="1" applyAlignment="1">
      <alignment vertical="top" wrapText="1"/>
    </xf>
    <xf numFmtId="0" fontId="7" fillId="0" borderId="46" xfId="0" applyFont="1" applyBorder="1" applyAlignment="1">
      <alignment horizontal="left" vertical="top" wrapText="1"/>
    </xf>
    <xf numFmtId="166" fontId="7" fillId="0" borderId="65" xfId="0" applyNumberFormat="1" applyFont="1" applyBorder="1" applyAlignment="1">
      <alignment horizontal="left" vertical="top" wrapText="1"/>
    </xf>
    <xf numFmtId="166" fontId="7" fillId="0" borderId="37" xfId="0" applyNumberFormat="1" applyFont="1" applyBorder="1" applyAlignment="1">
      <alignment horizontal="center" vertical="top" wrapText="1"/>
    </xf>
    <xf numFmtId="4" fontId="5" fillId="10" borderId="63" xfId="0" applyNumberFormat="1" applyFont="1" applyFill="1" applyBorder="1" applyAlignment="1">
      <alignment vertical="top" wrapText="1"/>
    </xf>
    <xf numFmtId="4" fontId="32" fillId="10" borderId="23" xfId="0" applyNumberFormat="1" applyFont="1" applyFill="1" applyBorder="1" applyAlignment="1">
      <alignment vertical="top" wrapText="1"/>
    </xf>
    <xf numFmtId="4" fontId="33" fillId="10" borderId="34" xfId="0" applyNumberFormat="1" applyFont="1" applyFill="1" applyBorder="1" applyAlignment="1">
      <alignment vertical="top" wrapText="1"/>
    </xf>
    <xf numFmtId="4" fontId="5" fillId="10" borderId="67" xfId="0" applyNumberFormat="1" applyFont="1" applyFill="1" applyBorder="1" applyAlignment="1">
      <alignment vertical="top" wrapText="1"/>
    </xf>
    <xf numFmtId="4" fontId="32" fillId="10" borderId="35" xfId="0" applyNumberFormat="1" applyFont="1" applyFill="1" applyBorder="1" applyAlignment="1">
      <alignment vertical="top" wrapText="1"/>
    </xf>
    <xf numFmtId="4" fontId="33" fillId="10" borderId="27" xfId="0" applyNumberFormat="1" applyFont="1" applyFill="1" applyBorder="1" applyAlignment="1">
      <alignment vertical="top" wrapText="1"/>
    </xf>
    <xf numFmtId="40" fontId="28" fillId="0" borderId="41" xfId="0" applyNumberFormat="1" applyFont="1" applyBorder="1" applyAlignment="1">
      <alignment vertical="top" wrapText="1"/>
    </xf>
    <xf numFmtId="0" fontId="14" fillId="0" borderId="67" xfId="0" applyFont="1" applyBorder="1" applyAlignment="1">
      <alignment horizontal="center" vertical="top" wrapText="1"/>
    </xf>
    <xf numFmtId="0" fontId="14" fillId="0" borderId="35" xfId="0" applyFont="1" applyBorder="1" applyAlignment="1">
      <alignment horizontal="center" vertical="top" wrapText="1"/>
    </xf>
    <xf numFmtId="14" fontId="5" fillId="0" borderId="35" xfId="0" applyNumberFormat="1" applyFont="1" applyBorder="1" applyAlignment="1">
      <alignment horizontal="center" vertical="top" wrapText="1"/>
    </xf>
    <xf numFmtId="165" fontId="5" fillId="0" borderId="35" xfId="0" applyNumberFormat="1" applyFont="1" applyBorder="1" applyAlignment="1">
      <alignment horizontal="center" vertical="top" wrapText="1"/>
    </xf>
    <xf numFmtId="0" fontId="5" fillId="0" borderId="35" xfId="0" applyFont="1" applyBorder="1" applyAlignment="1">
      <alignment horizontal="center" vertical="top" wrapText="1"/>
    </xf>
    <xf numFmtId="0" fontId="5" fillId="0" borderId="27" xfId="0" applyFont="1" applyBorder="1" applyAlignment="1">
      <alignment vertical="top" wrapText="1"/>
    </xf>
    <xf numFmtId="0" fontId="5" fillId="0" borderId="67" xfId="0" applyFont="1" applyBorder="1" applyAlignment="1">
      <alignment vertical="top" wrapText="1"/>
    </xf>
    <xf numFmtId="0" fontId="5" fillId="0" borderId="35" xfId="0" applyFont="1" applyBorder="1" applyAlignment="1">
      <alignment vertical="top" wrapText="1"/>
    </xf>
    <xf numFmtId="14" fontId="5" fillId="0" borderId="27" xfId="0" applyNumberFormat="1" applyFont="1" applyBorder="1" applyAlignment="1">
      <alignment horizontal="center" vertical="top" wrapText="1"/>
    </xf>
    <xf numFmtId="0" fontId="33" fillId="0" borderId="67" xfId="0" applyFont="1" applyBorder="1" applyAlignment="1">
      <alignment vertical="top" wrapText="1"/>
    </xf>
    <xf numFmtId="0" fontId="33" fillId="0" borderId="27" xfId="0" applyFont="1" applyBorder="1" applyAlignment="1">
      <alignment vertical="top" wrapText="1"/>
    </xf>
    <xf numFmtId="4" fontId="5" fillId="0" borderId="67" xfId="0" applyNumberFormat="1" applyFont="1" applyBorder="1" applyAlignment="1">
      <alignment vertical="top" wrapText="1"/>
    </xf>
    <xf numFmtId="4" fontId="32" fillId="0" borderId="35" xfId="0" applyNumberFormat="1" applyFont="1" applyBorder="1" applyAlignment="1">
      <alignment vertical="top" wrapText="1"/>
    </xf>
    <xf numFmtId="4" fontId="33" fillId="0" borderId="27" xfId="0" applyNumberFormat="1" applyFont="1" applyBorder="1" applyAlignment="1">
      <alignment vertical="top" wrapText="1"/>
    </xf>
    <xf numFmtId="4" fontId="14" fillId="0" borderId="67" xfId="0" applyNumberFormat="1" applyFont="1" applyBorder="1" applyAlignment="1">
      <alignment vertical="top" wrapText="1"/>
    </xf>
    <xf numFmtId="173" fontId="28" fillId="0" borderId="35" xfId="0" applyNumberFormat="1" applyFont="1" applyBorder="1" applyAlignment="1" applyProtection="1">
      <alignment horizontal="center" vertical="top" wrapText="1"/>
      <protection locked="0"/>
    </xf>
    <xf numFmtId="0" fontId="28" fillId="0" borderId="35" xfId="0" applyFont="1" applyBorder="1" applyAlignment="1" applyProtection="1">
      <alignment horizontal="center" vertical="top" wrapText="1"/>
      <protection locked="0"/>
    </xf>
    <xf numFmtId="165" fontId="28" fillId="0" borderId="35" xfId="0" applyNumberFormat="1" applyFont="1" applyBorder="1" applyAlignment="1" applyProtection="1">
      <alignment horizontal="center" vertical="top" wrapText="1"/>
      <protection locked="0"/>
    </xf>
    <xf numFmtId="168" fontId="28" fillId="0" borderId="27" xfId="1" applyNumberFormat="1" applyFont="1" applyFill="1" applyBorder="1" applyAlignment="1" applyProtection="1">
      <alignment horizontal="center" vertical="top" wrapText="1"/>
      <protection locked="0"/>
    </xf>
    <xf numFmtId="40" fontId="33" fillId="0" borderId="67" xfId="0" applyNumberFormat="1" applyFont="1" applyBorder="1" applyAlignment="1">
      <alignment vertical="top" wrapText="1"/>
    </xf>
    <xf numFmtId="40" fontId="33" fillId="0" borderId="35" xfId="0" applyNumberFormat="1" applyFont="1" applyBorder="1" applyAlignment="1">
      <alignment vertical="top" wrapText="1"/>
    </xf>
    <xf numFmtId="40" fontId="33" fillId="10" borderId="35" xfId="0" applyNumberFormat="1" applyFont="1" applyFill="1" applyBorder="1" applyAlignment="1">
      <alignment vertical="top" wrapText="1"/>
    </xf>
    <xf numFmtId="40" fontId="33" fillId="10" borderId="23" xfId="0" applyNumberFormat="1" applyFont="1" applyFill="1" applyBorder="1" applyAlignment="1">
      <alignment vertical="top" wrapText="1"/>
    </xf>
    <xf numFmtId="44" fontId="33" fillId="0" borderId="0" xfId="2" applyFont="1" applyFill="1" applyAlignment="1" applyProtection="1">
      <alignment horizontal="right" vertical="top" wrapText="1"/>
    </xf>
    <xf numFmtId="44" fontId="33" fillId="0" borderId="0" xfId="2" applyFont="1" applyFill="1" applyAlignment="1" applyProtection="1">
      <alignment horizontal="center" vertical="top" wrapText="1"/>
    </xf>
    <xf numFmtId="0" fontId="7" fillId="6" borderId="63" xfId="0" applyFont="1" applyFill="1" applyBorder="1" applyAlignment="1">
      <alignment vertical="top" wrapText="1"/>
    </xf>
    <xf numFmtId="0" fontId="32" fillId="0" borderId="0" xfId="0" applyFont="1" applyAlignment="1">
      <alignment vertical="top" wrapText="1"/>
    </xf>
    <xf numFmtId="4" fontId="33" fillId="0" borderId="0" xfId="0" applyNumberFormat="1" applyFont="1" applyAlignment="1">
      <alignment vertical="top" wrapText="1"/>
    </xf>
    <xf numFmtId="44" fontId="7" fillId="0" borderId="70" xfId="0" applyNumberFormat="1" applyFont="1" applyBorder="1" applyAlignment="1">
      <alignment vertical="top"/>
    </xf>
    <xf numFmtId="0" fontId="7" fillId="0" borderId="71" xfId="0" applyFont="1" applyBorder="1" applyAlignment="1">
      <alignment vertical="top"/>
    </xf>
    <xf numFmtId="44" fontId="6" fillId="0" borderId="70" xfId="0" applyNumberFormat="1" applyFont="1" applyBorder="1" applyAlignment="1">
      <alignment vertical="top"/>
    </xf>
    <xf numFmtId="0" fontId="6" fillId="0" borderId="71" xfId="0" applyFont="1" applyBorder="1" applyAlignment="1">
      <alignment horizontal="left" vertical="top"/>
    </xf>
    <xf numFmtId="0" fontId="7" fillId="0" borderId="71" xfId="0" applyFont="1" applyBorder="1" applyAlignment="1">
      <alignment horizontal="left" vertical="top"/>
    </xf>
    <xf numFmtId="44" fontId="25" fillId="0" borderId="70" xfId="2" applyFont="1" applyFill="1" applyBorder="1" applyAlignment="1" applyProtection="1">
      <alignment vertical="top"/>
    </xf>
    <xf numFmtId="0" fontId="25" fillId="0" borderId="71" xfId="0" applyFont="1" applyBorder="1" applyAlignment="1">
      <alignment vertical="top"/>
    </xf>
    <xf numFmtId="44" fontId="25" fillId="0" borderId="70" xfId="0" applyNumberFormat="1" applyFont="1" applyBorder="1" applyAlignment="1">
      <alignment vertical="top"/>
    </xf>
    <xf numFmtId="0" fontId="7" fillId="0" borderId="70" xfId="0" applyFont="1" applyBorder="1" applyAlignment="1">
      <alignment vertical="top" wrapText="1"/>
    </xf>
    <xf numFmtId="0" fontId="7" fillId="0" borderId="71" xfId="0" applyFont="1" applyBorder="1" applyAlignment="1">
      <alignment vertical="top" wrapText="1"/>
    </xf>
    <xf numFmtId="166" fontId="7" fillId="10" borderId="70" xfId="0" applyNumberFormat="1" applyFont="1" applyFill="1" applyBorder="1" applyAlignment="1">
      <alignment horizontal="left" vertical="top" wrapText="1"/>
    </xf>
    <xf numFmtId="166" fontId="7" fillId="10" borderId="71" xfId="0" applyNumberFormat="1" applyFont="1" applyFill="1" applyBorder="1" applyAlignment="1">
      <alignment horizontal="center" vertical="top" wrapText="1"/>
    </xf>
    <xf numFmtId="44" fontId="26" fillId="6" borderId="21" xfId="0" applyNumberFormat="1" applyFont="1" applyFill="1" applyBorder="1" applyAlignment="1">
      <alignment vertical="top" wrapText="1"/>
    </xf>
    <xf numFmtId="0" fontId="25" fillId="0" borderId="71" xfId="0" applyFont="1" applyBorder="1" applyAlignment="1">
      <alignment horizontal="right" vertical="top"/>
    </xf>
    <xf numFmtId="4" fontId="28" fillId="0" borderId="27" xfId="0" applyNumberFormat="1" applyFont="1" applyBorder="1" applyAlignment="1">
      <alignment vertical="top" wrapText="1"/>
    </xf>
    <xf numFmtId="4" fontId="28" fillId="0" borderId="67" xfId="0" applyNumberFormat="1" applyFont="1" applyBorder="1" applyAlignment="1" applyProtection="1">
      <alignment horizontal="center" vertical="top" wrapText="1"/>
      <protection locked="0"/>
    </xf>
    <xf numFmtId="40" fontId="28" fillId="0" borderId="27" xfId="0" applyNumberFormat="1" applyFont="1" applyBorder="1" applyAlignment="1">
      <alignment vertical="top" wrapText="1"/>
    </xf>
    <xf numFmtId="165" fontId="32" fillId="6" borderId="69" xfId="0" applyNumberFormat="1" applyFont="1" applyFill="1" applyBorder="1" applyAlignment="1">
      <alignment horizontal="center" vertical="top" wrapText="1"/>
    </xf>
    <xf numFmtId="4" fontId="32" fillId="6" borderId="69" xfId="0" applyNumberFormat="1" applyFont="1" applyFill="1" applyBorder="1" applyAlignment="1">
      <alignment vertical="top" wrapText="1"/>
    </xf>
    <xf numFmtId="40" fontId="33" fillId="6" borderId="68" xfId="0" applyNumberFormat="1" applyFont="1" applyFill="1" applyBorder="1" applyAlignment="1">
      <alignment vertical="top" wrapText="1"/>
    </xf>
    <xf numFmtId="40" fontId="33" fillId="6" borderId="69" xfId="0" applyNumberFormat="1" applyFont="1" applyFill="1" applyBorder="1" applyAlignment="1">
      <alignment vertical="top" wrapText="1"/>
    </xf>
    <xf numFmtId="0" fontId="26" fillId="0" borderId="27" xfId="0" applyFont="1" applyBorder="1" applyAlignment="1">
      <alignment vertical="top" wrapText="1"/>
    </xf>
    <xf numFmtId="166" fontId="6" fillId="0" borderId="67" xfId="0" applyNumberFormat="1" applyFont="1" applyBorder="1" applyAlignment="1">
      <alignment horizontal="left" vertical="top" wrapText="1"/>
    </xf>
    <xf numFmtId="0" fontId="25" fillId="0" borderId="28" xfId="0" applyFont="1" applyBorder="1" applyAlignment="1">
      <alignment horizontal="center" vertical="top" wrapText="1"/>
    </xf>
    <xf numFmtId="44" fontId="26" fillId="6" borderId="36" xfId="0" applyNumberFormat="1" applyFont="1" applyFill="1" applyBorder="1" applyAlignment="1">
      <alignment vertical="top" wrapText="1"/>
    </xf>
    <xf numFmtId="44" fontId="25" fillId="6" borderId="36" xfId="2" applyFont="1" applyFill="1" applyBorder="1" applyAlignment="1" applyProtection="1">
      <alignment vertical="top"/>
    </xf>
    <xf numFmtId="44" fontId="25" fillId="6" borderId="65" xfId="0" applyNumberFormat="1" applyFont="1" applyFill="1" applyBorder="1" applyAlignment="1">
      <alignment vertical="top"/>
    </xf>
    <xf numFmtId="6" fontId="14" fillId="8" borderId="3" xfId="2" applyNumberFormat="1" applyFont="1" applyFill="1" applyBorder="1" applyAlignment="1" applyProtection="1">
      <alignment vertical="top" wrapText="1"/>
    </xf>
    <xf numFmtId="6" fontId="33" fillId="8" borderId="3" xfId="0" applyNumberFormat="1" applyFont="1" applyFill="1" applyBorder="1" applyAlignment="1">
      <alignment vertical="top" wrapText="1"/>
    </xf>
    <xf numFmtId="6" fontId="33" fillId="8" borderId="3" xfId="2" applyNumberFormat="1" applyFont="1" applyFill="1" applyBorder="1" applyAlignment="1" applyProtection="1">
      <alignment vertical="top" wrapText="1"/>
    </xf>
    <xf numFmtId="44" fontId="7" fillId="0" borderId="70" xfId="0" applyNumberFormat="1" applyFont="1" applyBorder="1" applyAlignment="1">
      <alignment vertical="top" wrapText="1"/>
    </xf>
    <xf numFmtId="17" fontId="7" fillId="0" borderId="71" xfId="0" applyNumberFormat="1" applyFont="1" applyBorder="1" applyAlignment="1">
      <alignment vertical="top" wrapText="1"/>
    </xf>
    <xf numFmtId="44" fontId="6" fillId="0" borderId="70" xfId="0" applyNumberFormat="1" applyFont="1" applyBorder="1" applyAlignment="1">
      <alignment vertical="top" wrapText="1"/>
    </xf>
    <xf numFmtId="0" fontId="7" fillId="0" borderId="71" xfId="0" applyFont="1" applyBorder="1" applyAlignment="1">
      <alignment horizontal="left" vertical="top" wrapText="1"/>
    </xf>
    <xf numFmtId="17" fontId="25" fillId="0" borderId="71" xfId="0" applyNumberFormat="1" applyFont="1" applyBorder="1" applyAlignment="1">
      <alignment vertical="top"/>
    </xf>
    <xf numFmtId="17" fontId="7" fillId="0" borderId="71" xfId="0" applyNumberFormat="1" applyFont="1" applyBorder="1" applyAlignment="1">
      <alignment vertical="top"/>
    </xf>
    <xf numFmtId="0" fontId="23" fillId="0" borderId="64" xfId="0" applyFont="1" applyBorder="1" applyAlignment="1">
      <alignment vertical="top" wrapText="1"/>
    </xf>
    <xf numFmtId="166" fontId="12" fillId="0" borderId="34" xfId="0" applyNumberFormat="1" applyFont="1" applyBorder="1" applyAlignment="1">
      <alignment horizontal="center" vertical="top" wrapText="1"/>
    </xf>
    <xf numFmtId="17" fontId="25" fillId="0" borderId="34" xfId="0" applyNumberFormat="1" applyFont="1" applyBorder="1" applyAlignment="1">
      <alignment vertical="top"/>
    </xf>
    <xf numFmtId="0" fontId="8" fillId="6" borderId="22" xfId="0" applyFont="1" applyFill="1" applyBorder="1" applyAlignment="1">
      <alignment vertical="top" wrapText="1"/>
    </xf>
    <xf numFmtId="0" fontId="8" fillId="0" borderId="22" xfId="0" applyFont="1" applyBorder="1" applyAlignment="1">
      <alignment vertical="top" wrapText="1"/>
    </xf>
    <xf numFmtId="0" fontId="7" fillId="6" borderId="71" xfId="0" applyFont="1" applyFill="1" applyBorder="1" applyAlignment="1">
      <alignment vertical="top" wrapText="1"/>
    </xf>
    <xf numFmtId="17" fontId="25" fillId="0" borderId="46" xfId="0" applyNumberFormat="1" applyFont="1" applyBorder="1" applyAlignment="1">
      <alignment vertical="top"/>
    </xf>
    <xf numFmtId="0" fontId="6" fillId="8" borderId="3" xfId="0" applyFont="1" applyFill="1" applyBorder="1" applyAlignment="1">
      <alignment horizontal="right" vertical="top" wrapText="1"/>
    </xf>
    <xf numFmtId="17" fontId="14" fillId="6" borderId="55" xfId="0" applyNumberFormat="1" applyFont="1" applyFill="1" applyBorder="1" applyAlignment="1">
      <alignment horizontal="right" vertical="top" wrapText="1"/>
    </xf>
    <xf numFmtId="6" fontId="14" fillId="6" borderId="55" xfId="2" applyNumberFormat="1" applyFont="1" applyFill="1" applyBorder="1" applyAlignment="1" applyProtection="1">
      <alignment vertical="top" wrapText="1"/>
    </xf>
    <xf numFmtId="6" fontId="33" fillId="6" borderId="55" xfId="0" applyNumberFormat="1" applyFont="1" applyFill="1" applyBorder="1" applyAlignment="1">
      <alignment vertical="top" wrapText="1"/>
    </xf>
    <xf numFmtId="6" fontId="33" fillId="6" borderId="55" xfId="2" applyNumberFormat="1" applyFont="1" applyFill="1" applyBorder="1" applyAlignment="1" applyProtection="1">
      <alignment vertical="top" wrapText="1"/>
    </xf>
    <xf numFmtId="4" fontId="5" fillId="10" borderId="66" xfId="0" applyNumberFormat="1" applyFont="1" applyFill="1" applyBorder="1" applyAlignment="1">
      <alignment vertical="top" wrapText="1"/>
    </xf>
    <xf numFmtId="4" fontId="32" fillId="10" borderId="45" xfId="0" applyNumberFormat="1" applyFont="1" applyFill="1" applyBorder="1" applyAlignment="1">
      <alignment vertical="top" wrapText="1"/>
    </xf>
    <xf numFmtId="4" fontId="33" fillId="10" borderId="46" xfId="0" applyNumberFormat="1" applyFont="1" applyFill="1" applyBorder="1" applyAlignment="1">
      <alignment vertical="top" wrapText="1"/>
    </xf>
    <xf numFmtId="40" fontId="33" fillId="10" borderId="45" xfId="0" applyNumberFormat="1" applyFont="1" applyFill="1" applyBorder="1" applyAlignment="1">
      <alignment vertical="top" wrapText="1"/>
    </xf>
    <xf numFmtId="0" fontId="24" fillId="0" borderId="64" xfId="0" applyFont="1" applyBorder="1" applyAlignment="1">
      <alignment vertical="top" wrapText="1"/>
    </xf>
    <xf numFmtId="0" fontId="14" fillId="6" borderId="63" xfId="0" applyFont="1" applyFill="1" applyBorder="1" applyAlignment="1">
      <alignment horizontal="center" vertical="top" wrapText="1"/>
    </xf>
    <xf numFmtId="0" fontId="14" fillId="6" borderId="23" xfId="0" applyFont="1" applyFill="1" applyBorder="1" applyAlignment="1">
      <alignment horizontal="center" vertical="top" wrapText="1"/>
    </xf>
    <xf numFmtId="14" fontId="5" fillId="6" borderId="23" xfId="0" applyNumberFormat="1" applyFont="1" applyFill="1" applyBorder="1" applyAlignment="1">
      <alignment horizontal="center" vertical="top" wrapText="1"/>
    </xf>
    <xf numFmtId="165" fontId="5" fillId="6" borderId="23" xfId="0" applyNumberFormat="1" applyFont="1" applyFill="1" applyBorder="1" applyAlignment="1">
      <alignment horizontal="center" vertical="top" wrapText="1"/>
    </xf>
    <xf numFmtId="0" fontId="5" fillId="6" borderId="23" xfId="0" applyFont="1" applyFill="1" applyBorder="1" applyAlignment="1">
      <alignment horizontal="center" vertical="top" wrapText="1"/>
    </xf>
    <xf numFmtId="0" fontId="5" fillId="6" borderId="34" xfId="0" applyFont="1" applyFill="1" applyBorder="1" applyAlignment="1">
      <alignment vertical="top" wrapText="1"/>
    </xf>
    <xf numFmtId="0" fontId="5" fillId="6" borderId="63" xfId="0" applyFont="1" applyFill="1" applyBorder="1" applyAlignment="1">
      <alignment vertical="top" wrapText="1"/>
    </xf>
    <xf numFmtId="0" fontId="5" fillId="6" borderId="23" xfId="0" applyFont="1" applyFill="1" applyBorder="1" applyAlignment="1">
      <alignment vertical="top" wrapText="1"/>
    </xf>
    <xf numFmtId="14" fontId="5" fillId="6" borderId="34" xfId="0" applyNumberFormat="1" applyFont="1" applyFill="1" applyBorder="1" applyAlignment="1">
      <alignment horizontal="center" vertical="top" wrapText="1"/>
    </xf>
    <xf numFmtId="0" fontId="32" fillId="6" borderId="63" xfId="0" applyFont="1" applyFill="1" applyBorder="1" applyAlignment="1">
      <alignment vertical="top" wrapText="1"/>
    </xf>
    <xf numFmtId="0" fontId="33" fillId="6" borderId="34" xfId="0" applyFont="1" applyFill="1" applyBorder="1" applyAlignment="1">
      <alignment vertical="top" wrapText="1"/>
    </xf>
    <xf numFmtId="4" fontId="5" fillId="6" borderId="63" xfId="0" applyNumberFormat="1" applyFont="1" applyFill="1" applyBorder="1" applyAlignment="1">
      <alignment vertical="top" wrapText="1"/>
    </xf>
    <xf numFmtId="4" fontId="32" fillId="6" borderId="23" xfId="0" applyNumberFormat="1" applyFont="1" applyFill="1" applyBorder="1" applyAlignment="1">
      <alignment vertical="top" wrapText="1"/>
    </xf>
    <xf numFmtId="4" fontId="33" fillId="6" borderId="34" xfId="0" applyNumberFormat="1" applyFont="1" applyFill="1" applyBorder="1" applyAlignment="1">
      <alignment vertical="top" wrapText="1"/>
    </xf>
    <xf numFmtId="4" fontId="14" fillId="6" borderId="63" xfId="0" applyNumberFormat="1" applyFont="1" applyFill="1" applyBorder="1" applyAlignment="1">
      <alignment vertical="top" wrapText="1"/>
    </xf>
    <xf numFmtId="4" fontId="28" fillId="6" borderId="34" xfId="0" applyNumberFormat="1" applyFont="1" applyFill="1" applyBorder="1" applyAlignment="1">
      <alignment vertical="top" wrapText="1"/>
    </xf>
    <xf numFmtId="40" fontId="33" fillId="6" borderId="63" xfId="0" applyNumberFormat="1" applyFont="1" applyFill="1" applyBorder="1" applyAlignment="1">
      <alignment vertical="top" wrapText="1"/>
    </xf>
    <xf numFmtId="40" fontId="33" fillId="6" borderId="23" xfId="0" applyNumberFormat="1" applyFont="1" applyFill="1" applyBorder="1" applyAlignment="1">
      <alignment vertical="top" wrapText="1"/>
    </xf>
    <xf numFmtId="0" fontId="14" fillId="10" borderId="63" xfId="0" applyFont="1" applyFill="1" applyBorder="1" applyAlignment="1">
      <alignment horizontal="center" vertical="top" wrapText="1"/>
    </xf>
    <xf numFmtId="6" fontId="14" fillId="6" borderId="3" xfId="2" applyNumberFormat="1" applyFont="1" applyFill="1" applyBorder="1" applyAlignment="1" applyProtection="1">
      <alignment vertical="top" wrapText="1"/>
    </xf>
    <xf numFmtId="6" fontId="33" fillId="6" borderId="3" xfId="0" applyNumberFormat="1" applyFont="1" applyFill="1" applyBorder="1" applyAlignment="1">
      <alignment vertical="top" wrapText="1"/>
    </xf>
    <xf numFmtId="6" fontId="33" fillId="6" borderId="3" xfId="2" applyNumberFormat="1" applyFont="1" applyFill="1" applyBorder="1" applyAlignment="1" applyProtection="1">
      <alignment vertical="top" wrapText="1"/>
    </xf>
    <xf numFmtId="0" fontId="28" fillId="0" borderId="63" xfId="0" applyFont="1" applyBorder="1" applyAlignment="1">
      <alignment vertical="top" wrapText="1"/>
    </xf>
    <xf numFmtId="0" fontId="28" fillId="6" borderId="63" xfId="0" applyFont="1" applyFill="1" applyBorder="1" applyAlignment="1">
      <alignment vertical="top" wrapText="1"/>
    </xf>
    <xf numFmtId="0" fontId="22" fillId="6" borderId="24" xfId="0" applyFont="1" applyFill="1" applyBorder="1" applyAlignment="1">
      <alignment vertical="top" wrapText="1"/>
    </xf>
    <xf numFmtId="0" fontId="12" fillId="6" borderId="21" xfId="0" applyFont="1" applyFill="1" applyBorder="1" applyAlignment="1">
      <alignment vertical="top" wrapText="1"/>
    </xf>
    <xf numFmtId="0" fontId="12" fillId="6" borderId="34" xfId="0" applyFont="1" applyFill="1" applyBorder="1" applyAlignment="1">
      <alignment vertical="top" wrapText="1"/>
    </xf>
    <xf numFmtId="44" fontId="25" fillId="10" borderId="21" xfId="0" applyNumberFormat="1" applyFont="1" applyFill="1" applyBorder="1" applyAlignment="1">
      <alignment vertical="top" wrapText="1"/>
    </xf>
    <xf numFmtId="0" fontId="25" fillId="10" borderId="34" xfId="0" applyFont="1" applyFill="1" applyBorder="1" applyAlignment="1">
      <alignment vertical="top" wrapText="1"/>
    </xf>
    <xf numFmtId="44" fontId="10" fillId="10" borderId="5" xfId="0" applyNumberFormat="1" applyFont="1" applyFill="1" applyBorder="1" applyAlignment="1">
      <alignment horizontal="left" vertical="top"/>
    </xf>
    <xf numFmtId="0" fontId="10" fillId="10" borderId="1" xfId="0" applyFont="1" applyFill="1" applyBorder="1" applyAlignment="1">
      <alignment vertical="top"/>
    </xf>
    <xf numFmtId="44" fontId="10" fillId="10" borderId="6" xfId="0" applyNumberFormat="1" applyFont="1" applyFill="1" applyBorder="1" applyAlignment="1">
      <alignment horizontal="center" vertical="top"/>
    </xf>
    <xf numFmtId="0" fontId="10" fillId="10" borderId="2" xfId="0" applyFont="1" applyFill="1" applyBorder="1" applyAlignment="1">
      <alignment vertical="top"/>
    </xf>
    <xf numFmtId="44" fontId="6" fillId="10" borderId="5" xfId="0" applyNumberFormat="1" applyFont="1" applyFill="1" applyBorder="1" applyAlignment="1">
      <alignment horizontal="left" vertical="top"/>
    </xf>
    <xf numFmtId="0" fontId="6" fillId="10" borderId="1" xfId="0" applyFont="1" applyFill="1" applyBorder="1" applyAlignment="1">
      <alignment horizontal="center" vertical="top"/>
    </xf>
    <xf numFmtId="44" fontId="6" fillId="10" borderId="6" xfId="0" applyNumberFormat="1" applyFont="1" applyFill="1" applyBorder="1" applyAlignment="1">
      <alignment horizontal="center" vertical="top"/>
    </xf>
    <xf numFmtId="0" fontId="6" fillId="10" borderId="2" xfId="0" applyFont="1" applyFill="1" applyBorder="1" applyAlignment="1">
      <alignment horizontal="left" vertical="top"/>
    </xf>
    <xf numFmtId="44" fontId="7" fillId="10" borderId="54" xfId="0" applyNumberFormat="1" applyFont="1" applyFill="1" applyBorder="1" applyAlignment="1">
      <alignment vertical="top" wrapText="1"/>
    </xf>
    <xf numFmtId="17" fontId="7" fillId="10" borderId="58" xfId="0" applyNumberFormat="1" applyFont="1" applyFill="1" applyBorder="1" applyAlignment="1">
      <alignment horizontal="right" vertical="top" wrapText="1"/>
    </xf>
    <xf numFmtId="17" fontId="7" fillId="10" borderId="58" xfId="0" applyNumberFormat="1" applyFont="1" applyFill="1" applyBorder="1" applyAlignment="1">
      <alignment horizontal="left" vertical="top" wrapText="1"/>
    </xf>
    <xf numFmtId="44" fontId="7" fillId="10" borderId="21" xfId="0" applyNumberFormat="1" applyFont="1" applyFill="1" applyBorder="1" applyAlignment="1">
      <alignment vertical="top" wrapText="1"/>
    </xf>
    <xf numFmtId="17" fontId="7" fillId="10" borderId="34" xfId="0" applyNumberFormat="1" applyFont="1" applyFill="1" applyBorder="1" applyAlignment="1">
      <alignment horizontal="right" vertical="top" wrapText="1"/>
    </xf>
    <xf numFmtId="17" fontId="7" fillId="10" borderId="34" xfId="0" applyNumberFormat="1" applyFont="1" applyFill="1" applyBorder="1" applyAlignment="1">
      <alignment horizontal="left" vertical="top" wrapText="1"/>
    </xf>
    <xf numFmtId="0" fontId="7" fillId="10" borderId="34" xfId="0" applyFont="1" applyFill="1" applyBorder="1" applyAlignment="1">
      <alignment horizontal="right" vertical="top" wrapText="1"/>
    </xf>
    <xf numFmtId="0" fontId="7" fillId="10" borderId="34" xfId="0" applyFont="1" applyFill="1" applyBorder="1" applyAlignment="1">
      <alignment horizontal="left" vertical="top" wrapText="1"/>
    </xf>
    <xf numFmtId="6" fontId="7" fillId="10" borderId="21" xfId="0" applyNumberFormat="1" applyFont="1" applyFill="1" applyBorder="1" applyAlignment="1">
      <alignment vertical="top" wrapText="1"/>
    </xf>
    <xf numFmtId="44" fontId="7" fillId="10" borderId="4" xfId="0" applyNumberFormat="1" applyFont="1" applyFill="1" applyBorder="1" applyAlignment="1">
      <alignment vertical="top" wrapText="1"/>
    </xf>
    <xf numFmtId="17" fontId="7" fillId="10" borderId="8" xfId="0" applyNumberFormat="1" applyFont="1" applyFill="1" applyBorder="1" applyAlignment="1">
      <alignment horizontal="right" vertical="top" wrapText="1"/>
    </xf>
    <xf numFmtId="17" fontId="7" fillId="10" borderId="8" xfId="0" applyNumberFormat="1" applyFont="1" applyFill="1" applyBorder="1" applyAlignment="1">
      <alignment horizontal="left" vertical="top" wrapText="1"/>
    </xf>
    <xf numFmtId="44" fontId="7" fillId="10" borderId="36" xfId="0" applyNumberFormat="1" applyFont="1" applyFill="1" applyBorder="1" applyAlignment="1">
      <alignment vertical="top" wrapText="1"/>
    </xf>
    <xf numFmtId="17" fontId="7" fillId="10" borderId="46" xfId="0" applyNumberFormat="1" applyFont="1" applyFill="1" applyBorder="1" applyAlignment="1">
      <alignment horizontal="right" vertical="top" wrapText="1"/>
    </xf>
    <xf numFmtId="17" fontId="7" fillId="10" borderId="46" xfId="0" applyNumberFormat="1" applyFont="1" applyFill="1" applyBorder="1" applyAlignment="1">
      <alignment horizontal="left" vertical="top" wrapText="1"/>
    </xf>
    <xf numFmtId="44" fontId="7" fillId="10" borderId="20" xfId="0" applyNumberFormat="1" applyFont="1" applyFill="1" applyBorder="1" applyAlignment="1">
      <alignment vertical="top" wrapText="1"/>
    </xf>
    <xf numFmtId="17" fontId="7" fillId="10" borderId="27" xfId="0" applyNumberFormat="1" applyFont="1" applyFill="1" applyBorder="1" applyAlignment="1">
      <alignment horizontal="right" vertical="top" wrapText="1"/>
    </xf>
    <xf numFmtId="17" fontId="7" fillId="10" borderId="27" xfId="0" applyNumberFormat="1" applyFont="1" applyFill="1" applyBorder="1" applyAlignment="1">
      <alignment horizontal="left" vertical="top" wrapText="1"/>
    </xf>
    <xf numFmtId="17" fontId="7" fillId="10" borderId="34" xfId="0" applyNumberFormat="1" applyFont="1" applyFill="1" applyBorder="1" applyAlignment="1">
      <alignment vertical="top" wrapText="1"/>
    </xf>
    <xf numFmtId="44" fontId="7" fillId="10" borderId="21" xfId="0" applyNumberFormat="1" applyFont="1" applyFill="1" applyBorder="1" applyAlignment="1">
      <alignment vertical="top"/>
    </xf>
    <xf numFmtId="17" fontId="7" fillId="10" borderId="34" xfId="0" applyNumberFormat="1" applyFont="1" applyFill="1" applyBorder="1" applyAlignment="1">
      <alignment horizontal="right" vertical="top"/>
    </xf>
    <xf numFmtId="17" fontId="7" fillId="10" borderId="34" xfId="0" applyNumberFormat="1" applyFont="1" applyFill="1" applyBorder="1" applyAlignment="1">
      <alignment horizontal="left" vertical="top"/>
    </xf>
    <xf numFmtId="0" fontId="7" fillId="10" borderId="34" xfId="0" applyFont="1" applyFill="1" applyBorder="1" applyAlignment="1">
      <alignment horizontal="left" vertical="top"/>
    </xf>
    <xf numFmtId="0" fontId="7" fillId="10" borderId="46" xfId="0" applyFont="1" applyFill="1" applyBorder="1" applyAlignment="1">
      <alignment horizontal="right" vertical="top" wrapText="1"/>
    </xf>
    <xf numFmtId="0" fontId="7" fillId="10" borderId="46" xfId="0" applyFont="1" applyFill="1" applyBorder="1" applyAlignment="1">
      <alignment horizontal="left" vertical="top" wrapText="1"/>
    </xf>
    <xf numFmtId="0" fontId="7" fillId="10" borderId="27" xfId="0" applyFont="1" applyFill="1" applyBorder="1" applyAlignment="1">
      <alignment horizontal="right" vertical="top" wrapText="1"/>
    </xf>
    <xf numFmtId="0" fontId="7" fillId="10" borderId="27" xfId="0" applyFont="1" applyFill="1" applyBorder="1" applyAlignment="1">
      <alignment horizontal="left" vertical="top" wrapText="1"/>
    </xf>
    <xf numFmtId="44" fontId="25" fillId="10" borderId="36" xfId="0" applyNumberFormat="1" applyFont="1" applyFill="1" applyBorder="1" applyAlignment="1">
      <alignment vertical="top" wrapText="1"/>
    </xf>
    <xf numFmtId="17" fontId="7" fillId="10" borderId="46" xfId="0" applyNumberFormat="1" applyFont="1" applyFill="1" applyBorder="1" applyAlignment="1">
      <alignment vertical="top" wrapText="1"/>
    </xf>
    <xf numFmtId="44" fontId="7" fillId="10" borderId="70" xfId="0" applyNumberFormat="1" applyFont="1" applyFill="1" applyBorder="1" applyAlignment="1">
      <alignment vertical="top" wrapText="1"/>
    </xf>
    <xf numFmtId="0" fontId="7" fillId="10" borderId="71" xfId="0" applyFont="1" applyFill="1" applyBorder="1" applyAlignment="1">
      <alignment vertical="top" wrapText="1"/>
    </xf>
    <xf numFmtId="0" fontId="7" fillId="10" borderId="71" xfId="0" applyFont="1" applyFill="1" applyBorder="1" applyAlignment="1">
      <alignment horizontal="right" vertical="top" wrapText="1"/>
    </xf>
    <xf numFmtId="44" fontId="6" fillId="10" borderId="21" xfId="0" applyNumberFormat="1" applyFont="1" applyFill="1" applyBorder="1" applyAlignment="1">
      <alignment vertical="top" wrapText="1"/>
    </xf>
    <xf numFmtId="17" fontId="6" fillId="10" borderId="34" xfId="0" applyNumberFormat="1" applyFont="1" applyFill="1" applyBorder="1" applyAlignment="1">
      <alignment horizontal="right" vertical="top" wrapText="1"/>
    </xf>
    <xf numFmtId="17" fontId="6" fillId="10" borderId="34" xfId="0" applyNumberFormat="1" applyFont="1" applyFill="1" applyBorder="1" applyAlignment="1">
      <alignment horizontal="left" vertical="top" wrapText="1"/>
    </xf>
    <xf numFmtId="44" fontId="25" fillId="10" borderId="54" xfId="0" applyNumberFormat="1" applyFont="1" applyFill="1" applyBorder="1" applyAlignment="1">
      <alignment vertical="top"/>
    </xf>
    <xf numFmtId="17" fontId="25" fillId="10" borderId="34" xfId="0" applyNumberFormat="1" applyFont="1" applyFill="1" applyBorder="1" applyAlignment="1">
      <alignment vertical="top" wrapText="1"/>
    </xf>
    <xf numFmtId="44" fontId="25" fillId="10" borderId="21" xfId="0" applyNumberFormat="1" applyFont="1" applyFill="1" applyBorder="1" applyAlignment="1">
      <alignment vertical="top"/>
    </xf>
    <xf numFmtId="17" fontId="25" fillId="10" borderId="34" xfId="0" applyNumberFormat="1" applyFont="1" applyFill="1" applyBorder="1" applyAlignment="1">
      <alignment vertical="top"/>
    </xf>
    <xf numFmtId="0" fontId="25" fillId="10" borderId="34" xfId="0" applyFont="1" applyFill="1" applyBorder="1" applyAlignment="1">
      <alignment vertical="top"/>
    </xf>
    <xf numFmtId="44" fontId="25" fillId="10" borderId="4" xfId="0" applyNumberFormat="1" applyFont="1" applyFill="1" applyBorder="1" applyAlignment="1">
      <alignment vertical="top"/>
    </xf>
    <xf numFmtId="17" fontId="25" fillId="10" borderId="8" xfId="0" applyNumberFormat="1" applyFont="1" applyFill="1" applyBorder="1" applyAlignment="1">
      <alignment vertical="top"/>
    </xf>
    <xf numFmtId="44" fontId="25" fillId="10" borderId="36" xfId="0" applyNumberFormat="1" applyFont="1" applyFill="1" applyBorder="1" applyAlignment="1">
      <alignment vertical="top"/>
    </xf>
    <xf numFmtId="17" fontId="25" fillId="10" borderId="46" xfId="0" applyNumberFormat="1" applyFont="1" applyFill="1" applyBorder="1" applyAlignment="1">
      <alignment vertical="top"/>
    </xf>
    <xf numFmtId="17" fontId="25" fillId="10" borderId="46" xfId="0" applyNumberFormat="1" applyFont="1" applyFill="1" applyBorder="1" applyAlignment="1">
      <alignment vertical="top" wrapText="1"/>
    </xf>
    <xf numFmtId="44" fontId="25" fillId="10" borderId="20" xfId="0" applyNumberFormat="1" applyFont="1" applyFill="1" applyBorder="1" applyAlignment="1">
      <alignment vertical="top" wrapText="1"/>
    </xf>
    <xf numFmtId="0" fontId="25" fillId="10" borderId="27" xfId="0" applyFont="1" applyFill="1" applyBorder="1" applyAlignment="1">
      <alignment vertical="top" wrapText="1"/>
    </xf>
    <xf numFmtId="44" fontId="25" fillId="10" borderId="21" xfId="2" applyFont="1" applyFill="1" applyBorder="1" applyAlignment="1" applyProtection="1">
      <alignment vertical="top" wrapText="1"/>
    </xf>
    <xf numFmtId="44" fontId="11" fillId="10" borderId="21" xfId="0" applyNumberFormat="1" applyFont="1" applyFill="1" applyBorder="1" applyAlignment="1">
      <alignment vertical="top"/>
    </xf>
    <xf numFmtId="0" fontId="11" fillId="10" borderId="34" xfId="0" applyFont="1" applyFill="1" applyBorder="1" applyAlignment="1">
      <alignment vertical="top"/>
    </xf>
    <xf numFmtId="0" fontId="25" fillId="10" borderId="46" xfId="0" applyFont="1" applyFill="1" applyBorder="1" applyAlignment="1">
      <alignment vertical="top" wrapText="1"/>
    </xf>
    <xf numFmtId="44" fontId="25" fillId="10" borderId="20" xfId="0" applyNumberFormat="1" applyFont="1" applyFill="1" applyBorder="1" applyAlignment="1">
      <alignment vertical="top"/>
    </xf>
    <xf numFmtId="0" fontId="25" fillId="10" borderId="27" xfId="0" applyFont="1" applyFill="1" applyBorder="1" applyAlignment="1">
      <alignment vertical="top"/>
    </xf>
    <xf numFmtId="44" fontId="25" fillId="10" borderId="70" xfId="0" applyNumberFormat="1" applyFont="1" applyFill="1" applyBorder="1" applyAlignment="1">
      <alignment vertical="top"/>
    </xf>
    <xf numFmtId="0" fontId="25" fillId="10" borderId="71" xfId="0" applyFont="1" applyFill="1" applyBorder="1" applyAlignment="1">
      <alignment vertical="top"/>
    </xf>
    <xf numFmtId="44" fontId="26" fillId="10" borderId="21" xfId="0" applyNumberFormat="1" applyFont="1" applyFill="1" applyBorder="1" applyAlignment="1">
      <alignment vertical="top" wrapText="1"/>
    </xf>
    <xf numFmtId="0" fontId="26" fillId="10" borderId="34" xfId="0" applyFont="1" applyFill="1" applyBorder="1" applyAlignment="1">
      <alignment vertical="top" wrapText="1"/>
    </xf>
    <xf numFmtId="0" fontId="25" fillId="10" borderId="46" xfId="0" applyFont="1" applyFill="1" applyBorder="1" applyAlignment="1">
      <alignment vertical="top"/>
    </xf>
    <xf numFmtId="4" fontId="14" fillId="6" borderId="49" xfId="0" applyNumberFormat="1" applyFont="1" applyFill="1" applyBorder="1" applyAlignment="1">
      <alignment vertical="top" wrapText="1"/>
    </xf>
    <xf numFmtId="4" fontId="32" fillId="6" borderId="33" xfId="0" applyNumberFormat="1" applyFont="1" applyFill="1" applyBorder="1" applyAlignment="1">
      <alignment vertical="top" wrapText="1"/>
    </xf>
    <xf numFmtId="4" fontId="29" fillId="6" borderId="2" xfId="0" applyNumberFormat="1" applyFont="1" applyFill="1" applyBorder="1" applyAlignment="1">
      <alignment vertical="top" wrapText="1"/>
    </xf>
    <xf numFmtId="4" fontId="14" fillId="10" borderId="66" xfId="0" applyNumberFormat="1" applyFont="1" applyFill="1" applyBorder="1" applyAlignment="1">
      <alignment horizontal="center" vertical="top" wrapText="1"/>
    </xf>
    <xf numFmtId="4" fontId="29" fillId="10" borderId="45" xfId="0" applyNumberFormat="1" applyFont="1" applyFill="1" applyBorder="1" applyAlignment="1">
      <alignment horizontal="center" vertical="top" wrapText="1"/>
    </xf>
    <xf numFmtId="4" fontId="28" fillId="10" borderId="46" xfId="0" applyNumberFormat="1" applyFont="1" applyFill="1" applyBorder="1" applyAlignment="1">
      <alignment horizontal="center" vertical="top" wrapText="1"/>
    </xf>
    <xf numFmtId="0" fontId="35" fillId="12" borderId="66" xfId="0" applyFont="1" applyFill="1" applyBorder="1" applyAlignment="1">
      <alignment horizontal="center" vertical="top" wrapText="1"/>
    </xf>
    <xf numFmtId="173" fontId="35" fillId="12" borderId="45" xfId="0" applyNumberFormat="1" applyFont="1" applyFill="1" applyBorder="1" applyAlignment="1">
      <alignment horizontal="center" vertical="top"/>
    </xf>
    <xf numFmtId="0" fontId="35" fillId="12" borderId="45" xfId="0" applyFont="1" applyFill="1" applyBorder="1" applyAlignment="1">
      <alignment horizontal="center" vertical="top" wrapText="1"/>
    </xf>
    <xf numFmtId="165" fontId="35" fillId="12" borderId="45" xfId="0" applyNumberFormat="1" applyFont="1" applyFill="1" applyBorder="1" applyAlignment="1">
      <alignment horizontal="center" vertical="top" wrapText="1"/>
    </xf>
    <xf numFmtId="40" fontId="28" fillId="12" borderId="66" xfId="0" applyNumberFormat="1" applyFont="1" applyFill="1" applyBorder="1" applyAlignment="1">
      <alignment horizontal="center" vertical="top" wrapText="1"/>
    </xf>
    <xf numFmtId="40" fontId="28" fillId="12" borderId="45" xfId="0" applyNumberFormat="1" applyFont="1" applyFill="1" applyBorder="1" applyAlignment="1">
      <alignment horizontal="center" vertical="top" wrapText="1"/>
    </xf>
    <xf numFmtId="4" fontId="33" fillId="10" borderId="5" xfId="0" applyNumberFormat="1" applyFont="1" applyFill="1" applyBorder="1" applyAlignment="1">
      <alignment vertical="top" wrapText="1"/>
    </xf>
    <xf numFmtId="4" fontId="33" fillId="10" borderId="11" xfId="0" applyNumberFormat="1" applyFont="1" applyFill="1" applyBorder="1" applyAlignment="1">
      <alignment vertical="top" wrapText="1"/>
    </xf>
    <xf numFmtId="4" fontId="33" fillId="10" borderId="1" xfId="0" applyNumberFormat="1" applyFont="1" applyFill="1" applyBorder="1" applyAlignment="1">
      <alignment vertical="top" wrapText="1"/>
    </xf>
    <xf numFmtId="0" fontId="33" fillId="6" borderId="63" xfId="0" applyFont="1" applyFill="1" applyBorder="1" applyAlignment="1">
      <alignment vertical="top" wrapText="1"/>
    </xf>
    <xf numFmtId="0" fontId="14" fillId="10" borderId="23" xfId="0" applyFont="1" applyFill="1" applyBorder="1" applyAlignment="1">
      <alignment horizontal="center" vertical="top" wrapText="1"/>
    </xf>
    <xf numFmtId="14" fontId="5" fillId="10" borderId="23" xfId="0" applyNumberFormat="1" applyFont="1" applyFill="1" applyBorder="1" applyAlignment="1">
      <alignment horizontal="center" vertical="top" wrapText="1"/>
    </xf>
    <xf numFmtId="0" fontId="5" fillId="10" borderId="34" xfId="0" applyFont="1" applyFill="1" applyBorder="1" applyAlignment="1">
      <alignment vertical="top" wrapText="1"/>
    </xf>
    <xf numFmtId="0" fontId="32" fillId="6" borderId="66" xfId="0" applyFont="1" applyFill="1" applyBorder="1" applyAlignment="1">
      <alignment vertical="top" wrapText="1"/>
    </xf>
    <xf numFmtId="0" fontId="32" fillId="6" borderId="46" xfId="0" applyFont="1" applyFill="1" applyBorder="1" applyAlignment="1">
      <alignment vertical="top" wrapText="1"/>
    </xf>
    <xf numFmtId="44" fontId="23" fillId="0" borderId="20" xfId="0" applyNumberFormat="1" applyFont="1" applyBorder="1" applyAlignment="1">
      <alignment vertical="top" wrapText="1"/>
    </xf>
    <xf numFmtId="44" fontId="24" fillId="10" borderId="21" xfId="0" applyNumberFormat="1" applyFont="1" applyFill="1" applyBorder="1" applyAlignment="1">
      <alignment vertical="top" wrapText="1"/>
    </xf>
    <xf numFmtId="44" fontId="7" fillId="6" borderId="70" xfId="0" applyNumberFormat="1" applyFont="1" applyFill="1" applyBorder="1" applyAlignment="1">
      <alignment vertical="top"/>
    </xf>
    <xf numFmtId="44" fontId="7" fillId="10" borderId="70" xfId="0" applyNumberFormat="1" applyFont="1" applyFill="1" applyBorder="1" applyAlignment="1">
      <alignment vertical="top"/>
    </xf>
    <xf numFmtId="0" fontId="7" fillId="6" borderId="70" xfId="0" applyFont="1" applyFill="1" applyBorder="1" applyAlignment="1">
      <alignment vertical="top" wrapText="1"/>
    </xf>
    <xf numFmtId="0" fontId="7" fillId="6" borderId="71" xfId="0" applyFont="1" applyFill="1" applyBorder="1" applyAlignment="1">
      <alignment vertical="top"/>
    </xf>
    <xf numFmtId="44" fontId="6" fillId="6" borderId="70" xfId="0" applyNumberFormat="1" applyFont="1" applyFill="1" applyBorder="1" applyAlignment="1">
      <alignment vertical="top"/>
    </xf>
    <xf numFmtId="0" fontId="6" fillId="6" borderId="71" xfId="0" applyFont="1" applyFill="1" applyBorder="1" applyAlignment="1">
      <alignment horizontal="left" vertical="top"/>
    </xf>
    <xf numFmtId="44" fontId="25" fillId="6" borderId="70" xfId="2" applyFont="1" applyFill="1" applyBorder="1" applyAlignment="1" applyProtection="1">
      <alignment vertical="top"/>
    </xf>
    <xf numFmtId="0" fontId="25" fillId="6" borderId="71" xfId="0" applyFont="1" applyFill="1" applyBorder="1" applyAlignment="1">
      <alignment vertical="top"/>
    </xf>
    <xf numFmtId="44" fontId="25" fillId="6" borderId="70" xfId="0" applyNumberFormat="1" applyFont="1" applyFill="1" applyBorder="1" applyAlignment="1">
      <alignment vertical="top"/>
    </xf>
    <xf numFmtId="44" fontId="7" fillId="6" borderId="36" xfId="0" applyNumberFormat="1" applyFont="1" applyFill="1" applyBorder="1" applyAlignment="1">
      <alignment vertical="top"/>
    </xf>
    <xf numFmtId="44" fontId="6" fillId="6" borderId="36" xfId="0" applyNumberFormat="1" applyFont="1" applyFill="1" applyBorder="1" applyAlignment="1">
      <alignment vertical="top"/>
    </xf>
    <xf numFmtId="0" fontId="7" fillId="6" borderId="37" xfId="0" applyFont="1" applyFill="1" applyBorder="1" applyAlignment="1">
      <alignment vertical="top"/>
    </xf>
    <xf numFmtId="0" fontId="26" fillId="6" borderId="65" xfId="0" applyFont="1" applyFill="1" applyBorder="1" applyAlignment="1">
      <alignment horizontal="center" vertical="top"/>
    </xf>
    <xf numFmtId="15" fontId="25" fillId="6" borderId="37" xfId="0" applyNumberFormat="1" applyFont="1" applyFill="1" applyBorder="1" applyAlignment="1">
      <alignment horizontal="center" vertical="top"/>
    </xf>
    <xf numFmtId="0" fontId="26" fillId="9" borderId="26" xfId="0" applyFont="1" applyFill="1" applyBorder="1" applyAlignment="1">
      <alignment vertical="top" wrapText="1"/>
    </xf>
    <xf numFmtId="0" fontId="25" fillId="6" borderId="27" xfId="0" applyFont="1" applyFill="1" applyBorder="1" applyAlignment="1">
      <alignment vertical="top"/>
    </xf>
    <xf numFmtId="44" fontId="25" fillId="6" borderId="20" xfId="0" applyNumberFormat="1" applyFont="1" applyFill="1" applyBorder="1" applyAlignment="1">
      <alignment vertical="top"/>
    </xf>
    <xf numFmtId="0" fontId="25" fillId="6" borderId="29" xfId="0" applyFont="1" applyFill="1" applyBorder="1" applyAlignment="1">
      <alignment vertical="top"/>
    </xf>
    <xf numFmtId="0" fontId="25" fillId="6" borderId="71" xfId="0" applyFont="1" applyFill="1" applyBorder="1" applyAlignment="1">
      <alignment horizontal="left" vertical="top" wrapText="1"/>
    </xf>
    <xf numFmtId="17" fontId="7" fillId="6" borderId="71" xfId="0" applyNumberFormat="1" applyFont="1" applyFill="1" applyBorder="1" applyAlignment="1">
      <alignment vertical="top"/>
    </xf>
    <xf numFmtId="0" fontId="7" fillId="10" borderId="71" xfId="0" applyFont="1" applyFill="1" applyBorder="1" applyAlignment="1">
      <alignment horizontal="right" vertical="top"/>
    </xf>
    <xf numFmtId="0" fontId="7" fillId="10" borderId="71" xfId="0" applyFont="1" applyFill="1" applyBorder="1" applyAlignment="1">
      <alignment horizontal="left" vertical="top"/>
    </xf>
    <xf numFmtId="166" fontId="7" fillId="6" borderId="71" xfId="0" applyNumberFormat="1" applyFont="1" applyFill="1" applyBorder="1" applyAlignment="1">
      <alignment horizontal="center" vertical="top" wrapText="1"/>
    </xf>
    <xf numFmtId="0" fontId="25" fillId="6" borderId="71" xfId="0" applyFont="1" applyFill="1" applyBorder="1" applyAlignment="1">
      <alignment horizontal="right" vertical="top" wrapText="1"/>
    </xf>
    <xf numFmtId="17" fontId="25" fillId="6" borderId="71" xfId="0" applyNumberFormat="1" applyFont="1" applyFill="1" applyBorder="1" applyAlignment="1">
      <alignment vertical="top" wrapText="1"/>
    </xf>
    <xf numFmtId="44" fontId="25" fillId="10" borderId="70" xfId="0" applyNumberFormat="1" applyFont="1" applyFill="1" applyBorder="1" applyAlignment="1">
      <alignment vertical="top" wrapText="1"/>
    </xf>
    <xf numFmtId="0" fontId="25" fillId="10" borderId="71" xfId="0" applyFont="1" applyFill="1" applyBorder="1" applyAlignment="1">
      <alignment vertical="top" wrapText="1"/>
    </xf>
    <xf numFmtId="17" fontId="25" fillId="6" borderId="71" xfId="0" applyNumberFormat="1" applyFont="1" applyFill="1" applyBorder="1" applyAlignment="1">
      <alignment vertical="top"/>
    </xf>
    <xf numFmtId="0" fontId="26" fillId="6" borderId="28" xfId="0" applyFont="1" applyFill="1" applyBorder="1" applyAlignment="1">
      <alignment horizontal="center" vertical="top"/>
    </xf>
    <xf numFmtId="15" fontId="25" fillId="6" borderId="29" xfId="0" applyNumberFormat="1" applyFont="1" applyFill="1" applyBorder="1" applyAlignment="1">
      <alignment horizontal="center" vertical="top"/>
    </xf>
    <xf numFmtId="0" fontId="25" fillId="6" borderId="27" xfId="0" applyFont="1" applyFill="1" applyBorder="1" applyAlignment="1">
      <alignment horizontal="right" vertical="top"/>
    </xf>
    <xf numFmtId="44" fontId="25" fillId="6" borderId="20" xfId="2" applyFont="1" applyFill="1" applyBorder="1" applyAlignment="1" applyProtection="1">
      <alignment vertical="top"/>
    </xf>
    <xf numFmtId="44" fontId="25" fillId="6" borderId="28" xfId="0" applyNumberFormat="1" applyFont="1" applyFill="1" applyBorder="1" applyAlignment="1">
      <alignment vertical="top"/>
    </xf>
    <xf numFmtId="44" fontId="7" fillId="10" borderId="36" xfId="0" applyNumberFormat="1" applyFont="1" applyFill="1" applyBorder="1" applyAlignment="1">
      <alignment vertical="top"/>
    </xf>
    <xf numFmtId="0" fontId="26" fillId="10" borderId="27" xfId="0" applyFont="1" applyFill="1" applyBorder="1" applyAlignment="1">
      <alignment vertical="top" wrapText="1"/>
    </xf>
    <xf numFmtId="49" fontId="6" fillId="9" borderId="28" xfId="0" applyNumberFormat="1" applyFont="1" applyFill="1" applyBorder="1" applyAlignment="1">
      <alignment horizontal="left" vertical="top" wrapText="1"/>
    </xf>
    <xf numFmtId="0" fontId="7" fillId="9" borderId="26" xfId="0" applyFont="1" applyFill="1" applyBorder="1" applyAlignment="1">
      <alignment vertical="top" wrapText="1"/>
    </xf>
    <xf numFmtId="166" fontId="7" fillId="0" borderId="63" xfId="0" applyNumberFormat="1" applyFont="1" applyBorder="1" applyAlignment="1">
      <alignment horizontal="left" vertical="top"/>
    </xf>
    <xf numFmtId="166" fontId="7" fillId="0" borderId="61" xfId="0" applyNumberFormat="1" applyFont="1" applyBorder="1" applyAlignment="1">
      <alignment horizontal="center" vertical="top" wrapText="1"/>
    </xf>
    <xf numFmtId="17" fontId="25" fillId="0" borderId="71" xfId="0" applyNumberFormat="1" applyFont="1" applyBorder="1" applyAlignment="1">
      <alignment vertical="top" wrapText="1"/>
    </xf>
    <xf numFmtId="0" fontId="25" fillId="0" borderId="22" xfId="0" applyFont="1" applyBorder="1" applyAlignment="1">
      <alignment horizontal="left" vertical="top" wrapText="1"/>
    </xf>
    <xf numFmtId="0" fontId="25" fillId="0" borderId="71" xfId="0" applyFont="1" applyBorder="1" applyAlignment="1">
      <alignment horizontal="right" vertical="top" wrapText="1"/>
    </xf>
    <xf numFmtId="0" fontId="26" fillId="0" borderId="26" xfId="0" applyFont="1" applyBorder="1" applyAlignment="1">
      <alignment vertical="top" wrapText="1"/>
    </xf>
    <xf numFmtId="44" fontId="26" fillId="16" borderId="21" xfId="0" applyNumberFormat="1" applyFont="1" applyFill="1" applyBorder="1" applyAlignment="1">
      <alignment vertical="top" wrapText="1"/>
    </xf>
    <xf numFmtId="17" fontId="26" fillId="16" borderId="34" xfId="0" applyNumberFormat="1" applyFont="1" applyFill="1" applyBorder="1" applyAlignment="1">
      <alignment vertical="top" wrapText="1"/>
    </xf>
    <xf numFmtId="17" fontId="26" fillId="0" borderId="34" xfId="0" applyNumberFormat="1" applyFont="1" applyBorder="1" applyAlignment="1">
      <alignment vertical="top" wrapText="1"/>
    </xf>
    <xf numFmtId="44" fontId="26" fillId="0" borderId="36" xfId="0" applyNumberFormat="1" applyFont="1" applyBorder="1" applyAlignment="1">
      <alignment vertical="top" wrapText="1"/>
    </xf>
    <xf numFmtId="17" fontId="26" fillId="0" borderId="46" xfId="0" applyNumberFormat="1" applyFont="1" applyBorder="1" applyAlignment="1">
      <alignment vertical="top" wrapText="1"/>
    </xf>
    <xf numFmtId="0" fontId="25" fillId="6" borderId="26" xfId="0" applyFont="1" applyFill="1" applyBorder="1" applyAlignment="1">
      <alignment vertical="top" wrapText="1"/>
    </xf>
    <xf numFmtId="17" fontId="7" fillId="10" borderId="27" xfId="0" applyNumberFormat="1" applyFont="1" applyFill="1" applyBorder="1" applyAlignment="1">
      <alignment vertical="top" wrapText="1"/>
    </xf>
    <xf numFmtId="17" fontId="25" fillId="6" borderId="27" xfId="0" applyNumberFormat="1" applyFont="1" applyFill="1" applyBorder="1" applyAlignment="1">
      <alignment vertical="top"/>
    </xf>
    <xf numFmtId="44" fontId="7" fillId="0" borderId="36" xfId="0" applyNumberFormat="1" applyFont="1" applyBorder="1" applyAlignment="1">
      <alignment vertical="top"/>
    </xf>
    <xf numFmtId="0" fontId="7" fillId="0" borderId="46" xfId="0" applyFont="1" applyBorder="1" applyAlignment="1">
      <alignment vertical="top"/>
    </xf>
    <xf numFmtId="44" fontId="6" fillId="0" borderId="36" xfId="0" applyNumberFormat="1" applyFont="1" applyBorder="1" applyAlignment="1">
      <alignment vertical="top"/>
    </xf>
    <xf numFmtId="0" fontId="6" fillId="0" borderId="46" xfId="0" applyFont="1" applyBorder="1" applyAlignment="1">
      <alignment horizontal="left" vertical="top"/>
    </xf>
    <xf numFmtId="0" fontId="7" fillId="0" borderId="46" xfId="0" applyFont="1" applyBorder="1" applyAlignment="1">
      <alignment horizontal="left" vertical="top"/>
    </xf>
    <xf numFmtId="17" fontId="7" fillId="0" borderId="46" xfId="0" applyNumberFormat="1" applyFont="1" applyBorder="1" applyAlignment="1">
      <alignment vertical="top"/>
    </xf>
    <xf numFmtId="0" fontId="7" fillId="10" borderId="46" xfId="0" applyFont="1" applyFill="1" applyBorder="1" applyAlignment="1">
      <alignment horizontal="right" vertical="top"/>
    </xf>
    <xf numFmtId="0" fontId="7" fillId="10" borderId="46" xfId="0" applyFont="1" applyFill="1" applyBorder="1" applyAlignment="1">
      <alignment horizontal="left" vertical="top"/>
    </xf>
    <xf numFmtId="0" fontId="7" fillId="0" borderId="37" xfId="0" applyFont="1" applyBorder="1" applyAlignment="1">
      <alignment vertical="top"/>
    </xf>
    <xf numFmtId="44" fontId="23" fillId="6" borderId="20" xfId="0" applyNumberFormat="1" applyFont="1" applyFill="1" applyBorder="1" applyAlignment="1">
      <alignment vertical="top" wrapText="1"/>
    </xf>
    <xf numFmtId="166" fontId="6" fillId="6" borderId="28" xfId="0" applyNumberFormat="1" applyFont="1" applyFill="1" applyBorder="1" applyAlignment="1">
      <alignment horizontal="left" vertical="top" wrapText="1"/>
    </xf>
    <xf numFmtId="44" fontId="25" fillId="6" borderId="28" xfId="0" applyNumberFormat="1" applyFont="1" applyFill="1" applyBorder="1" applyAlignment="1">
      <alignment vertical="top" wrapText="1"/>
    </xf>
    <xf numFmtId="17" fontId="24" fillId="6" borderId="27" xfId="0" applyNumberFormat="1" applyFont="1" applyFill="1" applyBorder="1" applyAlignment="1">
      <alignment horizontal="left" vertical="top" wrapText="1"/>
    </xf>
    <xf numFmtId="166" fontId="6" fillId="6" borderId="67" xfId="0" applyNumberFormat="1" applyFont="1" applyFill="1" applyBorder="1" applyAlignment="1">
      <alignment horizontal="left" vertical="top" wrapText="1"/>
    </xf>
    <xf numFmtId="0" fontId="26" fillId="0" borderId="28" xfId="0" applyFont="1" applyBorder="1" applyAlignment="1">
      <alignment horizontal="center" vertical="top"/>
    </xf>
    <xf numFmtId="15" fontId="25" fillId="0" borderId="29" xfId="0" applyNumberFormat="1" applyFont="1" applyBorder="1" applyAlignment="1">
      <alignment horizontal="center" vertical="top"/>
    </xf>
    <xf numFmtId="0" fontId="25" fillId="0" borderId="27" xfId="0" applyFont="1" applyBorder="1" applyAlignment="1">
      <alignment horizontal="right" vertical="top"/>
    </xf>
    <xf numFmtId="0" fontId="22" fillId="6" borderId="72" xfId="0" applyFont="1" applyFill="1" applyBorder="1" applyAlignment="1">
      <alignment vertical="top" wrapText="1"/>
    </xf>
    <xf numFmtId="166" fontId="12" fillId="6" borderId="65" xfId="0" applyNumberFormat="1" applyFont="1" applyFill="1" applyBorder="1" applyAlignment="1">
      <alignment horizontal="left" vertical="top" wrapText="1"/>
    </xf>
    <xf numFmtId="166" fontId="12" fillId="6" borderId="37" xfId="0" applyNumberFormat="1" applyFont="1" applyFill="1" applyBorder="1" applyAlignment="1">
      <alignment horizontal="center" vertical="top" wrapText="1"/>
    </xf>
    <xf numFmtId="166" fontId="12" fillId="0" borderId="71" xfId="0" applyNumberFormat="1" applyFont="1" applyBorder="1" applyAlignment="1">
      <alignment horizontal="center" vertical="top" wrapText="1"/>
    </xf>
    <xf numFmtId="166" fontId="7" fillId="0" borderId="70" xfId="0" applyNumberFormat="1" applyFont="1" applyBorder="1" applyAlignment="1">
      <alignment horizontal="left" vertical="top" wrapText="1"/>
    </xf>
    <xf numFmtId="166" fontId="7" fillId="0" borderId="71" xfId="0" applyNumberFormat="1" applyFont="1" applyBorder="1" applyAlignment="1">
      <alignment horizontal="center" vertical="top" wrapText="1"/>
    </xf>
    <xf numFmtId="166" fontId="7" fillId="0" borderId="36" xfId="0" applyNumberFormat="1" applyFont="1" applyBorder="1" applyAlignment="1">
      <alignment horizontal="left" vertical="top" wrapText="1"/>
    </xf>
    <xf numFmtId="0" fontId="6" fillId="10" borderId="1" xfId="0" applyFont="1" applyFill="1" applyBorder="1" applyAlignment="1">
      <alignment horizontal="right" vertical="top"/>
    </xf>
    <xf numFmtId="0" fontId="6" fillId="10" borderId="2" xfId="0" applyFont="1" applyFill="1" applyBorder="1" applyAlignment="1">
      <alignment horizontal="right" vertical="top"/>
    </xf>
    <xf numFmtId="44" fontId="7" fillId="10" borderId="5" xfId="0" applyNumberFormat="1" applyFont="1" applyFill="1" applyBorder="1" applyAlignment="1">
      <alignment vertical="top" wrapText="1"/>
    </xf>
    <xf numFmtId="17" fontId="7" fillId="10" borderId="31" xfId="0" applyNumberFormat="1" applyFont="1" applyFill="1" applyBorder="1" applyAlignment="1">
      <alignment horizontal="right" vertical="top" wrapText="1"/>
    </xf>
    <xf numFmtId="17" fontId="7" fillId="10" borderId="31" xfId="0" applyNumberFormat="1" applyFont="1" applyFill="1" applyBorder="1" applyAlignment="1">
      <alignment horizontal="left" vertical="top" wrapText="1"/>
    </xf>
    <xf numFmtId="0" fontId="7" fillId="10" borderId="34" xfId="0" applyFont="1" applyFill="1" applyBorder="1" applyAlignment="1">
      <alignment vertical="top" wrapText="1"/>
    </xf>
    <xf numFmtId="6" fontId="26" fillId="10" borderId="21" xfId="0" applyNumberFormat="1" applyFont="1" applyFill="1" applyBorder="1" applyAlignment="1">
      <alignment vertical="top" wrapText="1"/>
    </xf>
    <xf numFmtId="17" fontId="12" fillId="10" borderId="34" xfId="0" applyNumberFormat="1" applyFont="1" applyFill="1" applyBorder="1" applyAlignment="1">
      <alignment vertical="top" wrapText="1"/>
    </xf>
    <xf numFmtId="0" fontId="7" fillId="10" borderId="34" xfId="0" applyFont="1" applyFill="1" applyBorder="1" applyAlignment="1">
      <alignment horizontal="right" vertical="top"/>
    </xf>
    <xf numFmtId="17" fontId="7" fillId="10" borderId="34" xfId="0" applyNumberFormat="1" applyFont="1" applyFill="1" applyBorder="1" applyAlignment="1">
      <alignment vertical="top"/>
    </xf>
    <xf numFmtId="17" fontId="7" fillId="10" borderId="31" xfId="0" applyNumberFormat="1" applyFont="1" applyFill="1" applyBorder="1" applyAlignment="1">
      <alignment vertical="top" wrapText="1"/>
    </xf>
    <xf numFmtId="44" fontId="26" fillId="10" borderId="20" xfId="0" applyNumberFormat="1" applyFont="1" applyFill="1" applyBorder="1" applyAlignment="1">
      <alignment horizontal="left" vertical="top"/>
    </xf>
    <xf numFmtId="0" fontId="26" fillId="10" borderId="15" xfId="0" applyFont="1" applyFill="1" applyBorder="1" applyAlignment="1">
      <alignment vertical="top"/>
    </xf>
    <xf numFmtId="44" fontId="26" fillId="10" borderId="6" xfId="0" applyNumberFormat="1" applyFont="1" applyFill="1" applyBorder="1" applyAlignment="1">
      <alignment horizontal="center" vertical="top"/>
    </xf>
    <xf numFmtId="0" fontId="26" fillId="10" borderId="2" xfId="0" applyFont="1" applyFill="1" applyBorder="1" applyAlignment="1">
      <alignment vertical="top"/>
    </xf>
    <xf numFmtId="44" fontId="25" fillId="10" borderId="5" xfId="0" applyNumberFormat="1" applyFont="1" applyFill="1" applyBorder="1" applyAlignment="1">
      <alignment vertical="top" wrapText="1"/>
    </xf>
    <xf numFmtId="44" fontId="25" fillId="10" borderId="5" xfId="0" applyNumberFormat="1" applyFont="1" applyFill="1" applyBorder="1" applyAlignment="1">
      <alignment vertical="top"/>
    </xf>
    <xf numFmtId="17" fontId="25" fillId="10" borderId="31" xfId="0" applyNumberFormat="1" applyFont="1" applyFill="1" applyBorder="1" applyAlignment="1">
      <alignment vertical="top" wrapText="1"/>
    </xf>
    <xf numFmtId="44" fontId="26" fillId="0" borderId="22" xfId="0" applyNumberFormat="1" applyFont="1" applyBorder="1" applyAlignment="1">
      <alignment vertical="top"/>
    </xf>
    <xf numFmtId="0" fontId="33" fillId="0" borderId="64" xfId="0" applyFont="1" applyBorder="1" applyAlignment="1">
      <alignment vertical="top" wrapText="1"/>
    </xf>
    <xf numFmtId="164" fontId="8" fillId="0" borderId="0" xfId="0" applyNumberFormat="1" applyFont="1" applyAlignment="1">
      <alignment horizontal="right" vertical="top" wrapText="1"/>
    </xf>
    <xf numFmtId="164" fontId="9" fillId="0" borderId="0" xfId="2" applyNumberFormat="1" applyFont="1" applyFill="1" applyBorder="1" applyAlignment="1" applyProtection="1">
      <alignment horizontal="right" vertical="top" wrapText="1"/>
    </xf>
    <xf numFmtId="166" fontId="12" fillId="0" borderId="63" xfId="0" applyNumberFormat="1" applyFont="1" applyBorder="1" applyAlignment="1">
      <alignment horizontal="left" vertical="top" wrapText="1"/>
    </xf>
    <xf numFmtId="0" fontId="14" fillId="0" borderId="68" xfId="0" applyFont="1" applyBorder="1" applyAlignment="1">
      <alignment horizontal="center" vertical="top" wrapText="1"/>
    </xf>
    <xf numFmtId="0" fontId="14" fillId="0" borderId="69" xfId="0" applyFont="1" applyBorder="1" applyAlignment="1">
      <alignment horizontal="center" vertical="top" wrapText="1"/>
    </xf>
    <xf numFmtId="14" fontId="5" fillId="0" borderId="69" xfId="0" applyNumberFormat="1" applyFont="1" applyBorder="1" applyAlignment="1">
      <alignment horizontal="center" vertical="top" wrapText="1"/>
    </xf>
    <xf numFmtId="165" fontId="5" fillId="0" borderId="69" xfId="0" applyNumberFormat="1" applyFont="1" applyBorder="1" applyAlignment="1">
      <alignment horizontal="center" vertical="top" wrapText="1"/>
    </xf>
    <xf numFmtId="0" fontId="5" fillId="0" borderId="58" xfId="0" applyFont="1" applyBorder="1" applyAlignment="1">
      <alignment vertical="top" wrapText="1"/>
    </xf>
    <xf numFmtId="0" fontId="5" fillId="0" borderId="68" xfId="0" applyFont="1" applyBorder="1" applyAlignment="1">
      <alignment vertical="top" wrapText="1"/>
    </xf>
    <xf numFmtId="0" fontId="5" fillId="0" borderId="69" xfId="0" applyFont="1" applyBorder="1" applyAlignment="1">
      <alignment vertical="top" wrapText="1"/>
    </xf>
    <xf numFmtId="14" fontId="5" fillId="0" borderId="58" xfId="0" applyNumberFormat="1" applyFont="1" applyBorder="1" applyAlignment="1">
      <alignment horizontal="center" vertical="top" wrapText="1"/>
    </xf>
    <xf numFmtId="0" fontId="33" fillId="0" borderId="68" xfId="0" applyFont="1" applyBorder="1" applyAlignment="1">
      <alignment vertical="top" wrapText="1"/>
    </xf>
    <xf numFmtId="0" fontId="33" fillId="0" borderId="58" xfId="0" applyFont="1" applyBorder="1" applyAlignment="1">
      <alignment vertical="top" wrapText="1"/>
    </xf>
    <xf numFmtId="4" fontId="5" fillId="0" borderId="68" xfId="0" applyNumberFormat="1" applyFont="1" applyBorder="1" applyAlignment="1">
      <alignment vertical="top" wrapText="1"/>
    </xf>
    <xf numFmtId="4" fontId="32" fillId="0" borderId="69" xfId="0" applyNumberFormat="1" applyFont="1" applyBorder="1" applyAlignment="1">
      <alignment vertical="top" wrapText="1"/>
    </xf>
    <xf numFmtId="4" fontId="33" fillId="0" borderId="58" xfId="0" applyNumberFormat="1" applyFont="1" applyBorder="1" applyAlignment="1">
      <alignment vertical="top" wrapText="1"/>
    </xf>
    <xf numFmtId="4" fontId="5" fillId="10" borderId="68" xfId="0" applyNumberFormat="1" applyFont="1" applyFill="1" applyBorder="1" applyAlignment="1">
      <alignment vertical="top" wrapText="1"/>
    </xf>
    <xf numFmtId="4" fontId="32" fillId="10" borderId="69" xfId="0" applyNumberFormat="1" applyFont="1" applyFill="1" applyBorder="1" applyAlignment="1">
      <alignment vertical="top" wrapText="1"/>
    </xf>
    <xf numFmtId="4" fontId="33" fillId="10" borderId="58" xfId="0" applyNumberFormat="1" applyFont="1" applyFill="1" applyBorder="1" applyAlignment="1">
      <alignment vertical="top" wrapText="1"/>
    </xf>
    <xf numFmtId="4" fontId="14" fillId="0" borderId="68" xfId="0" applyNumberFormat="1" applyFont="1" applyBorder="1" applyAlignment="1">
      <alignment vertical="top" wrapText="1"/>
    </xf>
    <xf numFmtId="4" fontId="28" fillId="0" borderId="58" xfId="0" applyNumberFormat="1" applyFont="1" applyBorder="1" applyAlignment="1">
      <alignment vertical="top" wrapText="1"/>
    </xf>
    <xf numFmtId="40" fontId="33" fillId="0" borderId="68" xfId="0" applyNumberFormat="1" applyFont="1" applyBorder="1" applyAlignment="1">
      <alignment vertical="top" wrapText="1"/>
    </xf>
    <xf numFmtId="40" fontId="33" fillId="0" borderId="69" xfId="0" applyNumberFormat="1" applyFont="1" applyBorder="1" applyAlignment="1">
      <alignment vertical="top" wrapText="1"/>
    </xf>
    <xf numFmtId="40" fontId="33" fillId="10" borderId="69" xfId="0" applyNumberFormat="1" applyFont="1" applyFill="1" applyBorder="1" applyAlignment="1">
      <alignment vertical="top" wrapText="1"/>
    </xf>
    <xf numFmtId="0" fontId="28" fillId="0" borderId="52" xfId="0" applyFont="1" applyBorder="1" applyAlignment="1">
      <alignment vertical="top" wrapText="1"/>
    </xf>
    <xf numFmtId="44" fontId="25" fillId="6" borderId="5" xfId="0" applyNumberFormat="1" applyFont="1" applyFill="1" applyBorder="1" applyAlignment="1">
      <alignment vertical="top"/>
    </xf>
    <xf numFmtId="0" fontId="25" fillId="6" borderId="31" xfId="0" applyFont="1" applyFill="1" applyBorder="1" applyAlignment="1">
      <alignment vertical="top"/>
    </xf>
    <xf numFmtId="0" fontId="25" fillId="6" borderId="19" xfId="0" applyFont="1" applyFill="1" applyBorder="1" applyAlignment="1">
      <alignment vertical="top"/>
    </xf>
    <xf numFmtId="44" fontId="26" fillId="6" borderId="53" xfId="2" applyFont="1" applyFill="1" applyBorder="1" applyAlignment="1" applyProtection="1">
      <alignment horizontal="left" vertical="top" wrapText="1"/>
    </xf>
    <xf numFmtId="49" fontId="6" fillId="6" borderId="11" xfId="0" applyNumberFormat="1" applyFont="1" applyFill="1" applyBorder="1" applyAlignment="1">
      <alignment horizontal="left" vertical="top" wrapText="1"/>
    </xf>
    <xf numFmtId="0" fontId="7" fillId="6" borderId="53" xfId="0" applyFont="1" applyFill="1" applyBorder="1" applyAlignment="1">
      <alignment vertical="top" wrapText="1"/>
    </xf>
    <xf numFmtId="0" fontId="7" fillId="6" borderId="5" xfId="0" applyFont="1" applyFill="1" applyBorder="1" applyAlignment="1">
      <alignment vertical="top" wrapText="1"/>
    </xf>
    <xf numFmtId="0" fontId="7" fillId="6" borderId="31" xfId="0" applyFont="1" applyFill="1" applyBorder="1" applyAlignment="1">
      <alignment vertical="top" wrapText="1"/>
    </xf>
    <xf numFmtId="0" fontId="7" fillId="6" borderId="19" xfId="0" applyFont="1" applyFill="1" applyBorder="1" applyAlignment="1">
      <alignment vertical="top" wrapText="1"/>
    </xf>
    <xf numFmtId="44" fontId="7" fillId="6" borderId="5" xfId="0" applyNumberFormat="1" applyFont="1" applyFill="1" applyBorder="1" applyAlignment="1">
      <alignment vertical="top" wrapText="1"/>
    </xf>
    <xf numFmtId="17" fontId="7" fillId="6" borderId="31" xfId="0" applyNumberFormat="1" applyFont="1" applyFill="1" applyBorder="1" applyAlignment="1">
      <alignment vertical="top" wrapText="1"/>
    </xf>
    <xf numFmtId="44" fontId="6" fillId="6" borderId="5" xfId="0" applyNumberFormat="1" applyFont="1" applyFill="1" applyBorder="1" applyAlignment="1">
      <alignment vertical="top" wrapText="1"/>
    </xf>
    <xf numFmtId="17" fontId="6" fillId="6" borderId="31" xfId="0" applyNumberFormat="1" applyFont="1" applyFill="1" applyBorder="1" applyAlignment="1">
      <alignment horizontal="left" vertical="top" wrapText="1"/>
    </xf>
    <xf numFmtId="0" fontId="7" fillId="6" borderId="31" xfId="0" applyFont="1" applyFill="1" applyBorder="1" applyAlignment="1">
      <alignment horizontal="left" vertical="top" wrapText="1"/>
    </xf>
    <xf numFmtId="44" fontId="6" fillId="6" borderId="53" xfId="2" applyFont="1" applyFill="1" applyBorder="1" applyAlignment="1" applyProtection="1">
      <alignment vertical="top" wrapText="1"/>
    </xf>
    <xf numFmtId="166" fontId="7" fillId="6" borderId="11" xfId="0" applyNumberFormat="1" applyFont="1" applyFill="1" applyBorder="1" applyAlignment="1">
      <alignment horizontal="left" vertical="top" wrapText="1"/>
    </xf>
    <xf numFmtId="166" fontId="7" fillId="6" borderId="19" xfId="0" applyNumberFormat="1" applyFont="1" applyFill="1" applyBorder="1" applyAlignment="1">
      <alignment horizontal="center" vertical="top" wrapText="1"/>
    </xf>
    <xf numFmtId="166" fontId="7" fillId="6" borderId="31" xfId="0" applyNumberFormat="1" applyFont="1" applyFill="1" applyBorder="1" applyAlignment="1">
      <alignment horizontal="center" vertical="top" wrapText="1"/>
    </xf>
    <xf numFmtId="0" fontId="26" fillId="6" borderId="11" xfId="0" applyFont="1" applyFill="1" applyBorder="1" applyAlignment="1">
      <alignment horizontal="center" vertical="top" wrapText="1"/>
    </xf>
    <xf numFmtId="15" fontId="25" fillId="6" borderId="19" xfId="0" applyNumberFormat="1" applyFont="1" applyFill="1" applyBorder="1" applyAlignment="1">
      <alignment horizontal="center" vertical="top" wrapText="1"/>
    </xf>
    <xf numFmtId="0" fontId="25" fillId="6" borderId="31" xfId="0" applyFont="1" applyFill="1" applyBorder="1" applyAlignment="1">
      <alignment horizontal="right" vertical="top" wrapText="1"/>
    </xf>
    <xf numFmtId="44" fontId="25" fillId="6" borderId="5" xfId="0" applyNumberFormat="1" applyFont="1" applyFill="1" applyBorder="1" applyAlignment="1">
      <alignment vertical="top" wrapText="1"/>
    </xf>
    <xf numFmtId="17" fontId="25" fillId="6" borderId="31" xfId="0" applyNumberFormat="1" applyFont="1" applyFill="1" applyBorder="1" applyAlignment="1">
      <alignment vertical="top" wrapText="1"/>
    </xf>
    <xf numFmtId="44" fontId="25" fillId="6" borderId="11" xfId="0" applyNumberFormat="1" applyFont="1" applyFill="1" applyBorder="1" applyAlignment="1">
      <alignment vertical="top"/>
    </xf>
    <xf numFmtId="17" fontId="25" fillId="6" borderId="31" xfId="0" applyNumberFormat="1" applyFont="1" applyFill="1" applyBorder="1" applyAlignment="1">
      <alignment vertical="top"/>
    </xf>
    <xf numFmtId="0" fontId="6" fillId="6" borderId="53" xfId="0" applyFont="1" applyFill="1" applyBorder="1" applyAlignment="1">
      <alignment horizontal="center" vertical="top" wrapText="1"/>
    </xf>
    <xf numFmtId="0" fontId="7" fillId="15" borderId="27" xfId="0" applyFont="1" applyFill="1" applyBorder="1" applyAlignment="1">
      <alignment vertical="top" wrapText="1"/>
    </xf>
    <xf numFmtId="44" fontId="7" fillId="10" borderId="6" xfId="0" applyNumberFormat="1" applyFont="1" applyFill="1" applyBorder="1" applyAlignment="1">
      <alignment vertical="top" wrapText="1"/>
    </xf>
    <xf numFmtId="17" fontId="7" fillId="10" borderId="2" xfId="0" applyNumberFormat="1" applyFont="1" applyFill="1" applyBorder="1" applyAlignment="1">
      <alignment vertical="top" wrapText="1"/>
    </xf>
    <xf numFmtId="166" fontId="7" fillId="6" borderId="3" xfId="0" applyNumberFormat="1" applyFont="1" applyFill="1" applyBorder="1" applyAlignment="1">
      <alignment horizontal="left" vertical="top" wrapText="1"/>
    </xf>
    <xf numFmtId="166" fontId="7" fillId="6" borderId="12" xfId="0" applyNumberFormat="1" applyFont="1" applyFill="1" applyBorder="1" applyAlignment="1">
      <alignment horizontal="center" vertical="top" wrapText="1"/>
    </xf>
    <xf numFmtId="0" fontId="26" fillId="6" borderId="3" xfId="0" applyFont="1" applyFill="1" applyBorder="1" applyAlignment="1">
      <alignment vertical="top" wrapText="1"/>
    </xf>
    <xf numFmtId="15" fontId="25" fillId="6" borderId="12" xfId="0" applyNumberFormat="1" applyFont="1" applyFill="1" applyBorder="1" applyAlignment="1">
      <alignment horizontal="center" vertical="top" wrapText="1"/>
    </xf>
    <xf numFmtId="0" fontId="25" fillId="6" borderId="2" xfId="0" applyFont="1" applyFill="1" applyBorder="1" applyAlignment="1">
      <alignment horizontal="right" vertical="top" wrapText="1"/>
    </xf>
    <xf numFmtId="44" fontId="25" fillId="6" borderId="6" xfId="2" applyFont="1" applyFill="1" applyBorder="1" applyAlignment="1" applyProtection="1">
      <alignment vertical="top"/>
    </xf>
    <xf numFmtId="17" fontId="25" fillId="6" borderId="2" xfId="0" applyNumberFormat="1" applyFont="1" applyFill="1" applyBorder="1" applyAlignment="1">
      <alignment vertical="top" wrapText="1"/>
    </xf>
    <xf numFmtId="44" fontId="25" fillId="6" borderId="6" xfId="0" applyNumberFormat="1" applyFont="1" applyFill="1" applyBorder="1" applyAlignment="1">
      <alignment vertical="top"/>
    </xf>
    <xf numFmtId="0" fontId="25" fillId="6" borderId="2" xfId="0" applyFont="1" applyFill="1" applyBorder="1" applyAlignment="1">
      <alignment vertical="top"/>
    </xf>
    <xf numFmtId="44" fontId="25" fillId="10" borderId="6" xfId="0" applyNumberFormat="1" applyFont="1" applyFill="1" applyBorder="1" applyAlignment="1">
      <alignment vertical="top"/>
    </xf>
    <xf numFmtId="17" fontId="25" fillId="10" borderId="2" xfId="0" applyNumberFormat="1" applyFont="1" applyFill="1" applyBorder="1" applyAlignment="1">
      <alignment vertical="top" wrapText="1"/>
    </xf>
    <xf numFmtId="0" fontId="25" fillId="6" borderId="12" xfId="0" applyFont="1" applyFill="1" applyBorder="1" applyAlignment="1">
      <alignment vertical="top"/>
    </xf>
    <xf numFmtId="44" fontId="26" fillId="6" borderId="18" xfId="2" applyFont="1" applyFill="1" applyBorder="1" applyAlignment="1" applyProtection="1">
      <alignment horizontal="left" vertical="top" wrapText="1"/>
    </xf>
    <xf numFmtId="17" fontId="25" fillId="0" borderId="27" xfId="0" applyNumberFormat="1" applyFont="1" applyBorder="1" applyAlignment="1">
      <alignment horizontal="right" vertical="top" wrapText="1"/>
    </xf>
    <xf numFmtId="0" fontId="14" fillId="6" borderId="68" xfId="0" applyFont="1" applyFill="1" applyBorder="1" applyAlignment="1">
      <alignment horizontal="center" vertical="top" wrapText="1"/>
    </xf>
    <xf numFmtId="0" fontId="14" fillId="6" borderId="69" xfId="0" applyFont="1" applyFill="1" applyBorder="1" applyAlignment="1">
      <alignment horizontal="center" vertical="top" wrapText="1"/>
    </xf>
    <xf numFmtId="14" fontId="5" fillId="6" borderId="69" xfId="0" applyNumberFormat="1" applyFont="1" applyFill="1" applyBorder="1" applyAlignment="1">
      <alignment horizontal="center" vertical="top" wrapText="1"/>
    </xf>
    <xf numFmtId="0" fontId="5" fillId="6" borderId="58" xfId="0" applyFont="1" applyFill="1" applyBorder="1" applyAlignment="1">
      <alignment vertical="top" wrapText="1"/>
    </xf>
    <xf numFmtId="0" fontId="5" fillId="6" borderId="68" xfId="0" applyFont="1" applyFill="1" applyBorder="1" applyAlignment="1">
      <alignment vertical="top" wrapText="1"/>
    </xf>
    <xf numFmtId="0" fontId="5" fillId="6" borderId="69" xfId="0" applyFont="1" applyFill="1" applyBorder="1" applyAlignment="1">
      <alignment vertical="top" wrapText="1"/>
    </xf>
    <xf numFmtId="14" fontId="5" fillId="6" borderId="58" xfId="0" applyNumberFormat="1" applyFont="1" applyFill="1" applyBorder="1" applyAlignment="1">
      <alignment horizontal="center" vertical="top" wrapText="1"/>
    </xf>
    <xf numFmtId="0" fontId="33" fillId="6" borderId="68" xfId="0" applyFont="1" applyFill="1" applyBorder="1" applyAlignment="1">
      <alignment vertical="top" wrapText="1"/>
    </xf>
    <xf numFmtId="0" fontId="33" fillId="6" borderId="58" xfId="0" applyFont="1" applyFill="1" applyBorder="1" applyAlignment="1">
      <alignment vertical="top" wrapText="1"/>
    </xf>
    <xf numFmtId="4" fontId="5" fillId="6" borderId="68" xfId="0" applyNumberFormat="1" applyFont="1" applyFill="1" applyBorder="1" applyAlignment="1">
      <alignment vertical="top" wrapText="1"/>
    </xf>
    <xf numFmtId="4" fontId="33" fillId="6" borderId="58" xfId="0" applyNumberFormat="1" applyFont="1" applyFill="1" applyBorder="1" applyAlignment="1">
      <alignment vertical="top" wrapText="1"/>
    </xf>
    <xf numFmtId="4" fontId="14" fillId="6" borderId="68" xfId="0" applyNumberFormat="1" applyFont="1" applyFill="1" applyBorder="1" applyAlignment="1">
      <alignment vertical="top" wrapText="1"/>
    </xf>
    <xf numFmtId="4" fontId="28" fillId="6" borderId="58" xfId="0" applyNumberFormat="1" applyFont="1" applyFill="1" applyBorder="1" applyAlignment="1">
      <alignment vertical="top" wrapText="1"/>
    </xf>
    <xf numFmtId="0" fontId="5" fillId="0" borderId="73" xfId="0" applyFont="1" applyBorder="1" applyAlignment="1">
      <alignment vertical="top" wrapText="1"/>
    </xf>
    <xf numFmtId="165" fontId="32" fillId="0" borderId="23" xfId="0" applyNumberFormat="1" applyFont="1" applyBorder="1" applyAlignment="1">
      <alignment horizontal="center" vertical="top" wrapText="1"/>
    </xf>
    <xf numFmtId="0" fontId="32" fillId="0" borderId="23" xfId="0" applyFont="1" applyBorder="1" applyAlignment="1">
      <alignment horizontal="center" vertical="top" wrapText="1"/>
    </xf>
    <xf numFmtId="166" fontId="7" fillId="0" borderId="51" xfId="0" applyNumberFormat="1" applyFont="1" applyBorder="1" applyAlignment="1">
      <alignment horizontal="center" vertical="top"/>
    </xf>
    <xf numFmtId="166" fontId="7" fillId="0" borderId="34" xfId="0" applyNumberFormat="1" applyFont="1" applyBorder="1" applyAlignment="1">
      <alignment horizontal="center" vertical="top"/>
    </xf>
    <xf numFmtId="40" fontId="28" fillId="0" borderId="73" xfId="0" applyNumberFormat="1" applyFont="1" applyBorder="1" applyAlignment="1">
      <alignment vertical="top" wrapText="1"/>
    </xf>
    <xf numFmtId="0" fontId="9" fillId="0" borderId="52" xfId="0" applyFont="1" applyBorder="1" applyAlignment="1">
      <alignment vertical="top" wrapText="1"/>
    </xf>
    <xf numFmtId="0" fontId="12" fillId="0" borderId="37" xfId="0" applyFont="1" applyBorder="1" applyAlignment="1">
      <alignment vertical="top" wrapText="1"/>
    </xf>
    <xf numFmtId="17" fontId="13" fillId="0" borderId="46" xfId="0" applyNumberFormat="1" applyFont="1" applyBorder="1" applyAlignment="1">
      <alignment horizontal="left" vertical="top" wrapText="1"/>
    </xf>
    <xf numFmtId="17" fontId="12" fillId="0" borderId="46" xfId="0" applyNumberFormat="1" applyFont="1" applyBorder="1" applyAlignment="1">
      <alignment vertical="top" wrapText="1"/>
    </xf>
    <xf numFmtId="0" fontId="7" fillId="0" borderId="73" xfId="0" applyFont="1" applyBorder="1" applyAlignment="1">
      <alignment vertical="top" wrapText="1"/>
    </xf>
    <xf numFmtId="44" fontId="26" fillId="0" borderId="70" xfId="0" applyNumberFormat="1" applyFont="1" applyBorder="1" applyAlignment="1">
      <alignment vertical="top" wrapText="1"/>
    </xf>
    <xf numFmtId="17" fontId="26" fillId="0" borderId="73" xfId="0" applyNumberFormat="1" applyFont="1" applyBorder="1" applyAlignment="1">
      <alignment vertical="top" wrapText="1"/>
    </xf>
    <xf numFmtId="166" fontId="7" fillId="10" borderId="73" xfId="0" applyNumberFormat="1" applyFont="1" applyFill="1" applyBorder="1" applyAlignment="1">
      <alignment horizontal="center" vertical="top" wrapText="1"/>
    </xf>
    <xf numFmtId="0" fontId="25" fillId="0" borderId="73" xfId="0" applyFont="1" applyBorder="1" applyAlignment="1">
      <alignment horizontal="right" vertical="top" wrapText="1"/>
    </xf>
    <xf numFmtId="44" fontId="25" fillId="0" borderId="70" xfId="0" applyNumberFormat="1" applyFont="1" applyBorder="1" applyAlignment="1">
      <alignment vertical="top" wrapText="1"/>
    </xf>
    <xf numFmtId="167" fontId="5" fillId="6" borderId="23" xfId="0" applyNumberFormat="1" applyFont="1" applyFill="1" applyBorder="1" applyAlignment="1">
      <alignment horizontal="center" vertical="top" wrapText="1"/>
    </xf>
    <xf numFmtId="17" fontId="25" fillId="10" borderId="34" xfId="0" applyNumberFormat="1" applyFont="1" applyFill="1" applyBorder="1" applyAlignment="1">
      <alignment horizontal="right" vertical="top" wrapText="1"/>
    </xf>
    <xf numFmtId="6" fontId="14" fillId="0" borderId="0" xfId="2" applyNumberFormat="1" applyFont="1" applyFill="1" applyBorder="1" applyAlignment="1" applyProtection="1">
      <alignment vertical="top" wrapText="1"/>
    </xf>
    <xf numFmtId="6" fontId="33" fillId="0" borderId="0" xfId="0" applyNumberFormat="1" applyFont="1" applyAlignment="1">
      <alignment vertical="top" wrapText="1"/>
    </xf>
    <xf numFmtId="6" fontId="33" fillId="0" borderId="0" xfId="2" applyNumberFormat="1" applyFont="1" applyFill="1" applyBorder="1" applyAlignment="1" applyProtection="1">
      <alignment vertical="top" wrapText="1"/>
    </xf>
    <xf numFmtId="0" fontId="29" fillId="6" borderId="46" xfId="0" applyFont="1" applyFill="1" applyBorder="1" applyAlignment="1">
      <alignment vertical="top" wrapText="1"/>
    </xf>
    <xf numFmtId="44" fontId="24" fillId="0" borderId="20" xfId="0" applyNumberFormat="1" applyFont="1" applyBorder="1" applyAlignment="1">
      <alignment vertical="top" wrapText="1"/>
    </xf>
    <xf numFmtId="44" fontId="24" fillId="10" borderId="20" xfId="0" applyNumberFormat="1" applyFont="1" applyFill="1" applyBorder="1" applyAlignment="1">
      <alignment vertical="top" wrapText="1"/>
    </xf>
    <xf numFmtId="166" fontId="7" fillId="0" borderId="28" xfId="0" applyNumberFormat="1" applyFont="1" applyBorder="1" applyAlignment="1">
      <alignment horizontal="left" vertical="top" wrapText="1"/>
    </xf>
    <xf numFmtId="0" fontId="26" fillId="0" borderId="28" xfId="0" applyFont="1" applyBorder="1" applyAlignment="1">
      <alignment vertical="top" wrapText="1"/>
    </xf>
    <xf numFmtId="17" fontId="25" fillId="10" borderId="27" xfId="0" applyNumberFormat="1" applyFont="1" applyFill="1" applyBorder="1" applyAlignment="1">
      <alignment vertical="top" wrapText="1"/>
    </xf>
    <xf numFmtId="44" fontId="7" fillId="6" borderId="70" xfId="0" applyNumberFormat="1" applyFont="1" applyFill="1" applyBorder="1" applyAlignment="1">
      <alignment vertical="top" wrapText="1"/>
    </xf>
    <xf numFmtId="17" fontId="7" fillId="6" borderId="73" xfId="0" applyNumberFormat="1" applyFont="1" applyFill="1" applyBorder="1" applyAlignment="1">
      <alignment horizontal="right" vertical="top" wrapText="1"/>
    </xf>
    <xf numFmtId="17" fontId="7" fillId="10" borderId="73" xfId="0" applyNumberFormat="1" applyFont="1" applyFill="1" applyBorder="1" applyAlignment="1">
      <alignment horizontal="left" vertical="top" wrapText="1"/>
    </xf>
    <xf numFmtId="166" fontId="7" fillId="10" borderId="74" xfId="0" applyNumberFormat="1" applyFont="1" applyFill="1" applyBorder="1" applyAlignment="1">
      <alignment horizontal="left" vertical="top" wrapText="1"/>
    </xf>
    <xf numFmtId="0" fontId="25" fillId="6" borderId="73" xfId="0" applyFont="1" applyFill="1" applyBorder="1" applyAlignment="1">
      <alignment vertical="top" wrapText="1"/>
    </xf>
    <xf numFmtId="44" fontId="25" fillId="6" borderId="70" xfId="0" applyNumberFormat="1" applyFont="1" applyFill="1" applyBorder="1" applyAlignment="1">
      <alignment vertical="top" wrapText="1"/>
    </xf>
    <xf numFmtId="0" fontId="25" fillId="10" borderId="73" xfId="0" applyFont="1" applyFill="1" applyBorder="1" applyAlignment="1">
      <alignment vertical="top" wrapText="1"/>
    </xf>
    <xf numFmtId="44" fontId="25" fillId="6" borderId="74" xfId="0" applyNumberFormat="1" applyFont="1" applyFill="1" applyBorder="1" applyAlignment="1">
      <alignment vertical="top" wrapText="1"/>
    </xf>
    <xf numFmtId="0" fontId="26" fillId="6" borderId="74" xfId="0" applyFont="1" applyFill="1" applyBorder="1" applyAlignment="1">
      <alignment horizontal="center" vertical="top" wrapText="1"/>
    </xf>
    <xf numFmtId="0" fontId="25" fillId="6" borderId="73" xfId="0" applyFont="1" applyFill="1" applyBorder="1" applyAlignment="1">
      <alignment horizontal="right" vertical="top" wrapText="1"/>
    </xf>
    <xf numFmtId="0" fontId="7" fillId="6" borderId="73" xfId="0" applyFont="1" applyFill="1" applyBorder="1" applyAlignment="1">
      <alignment vertical="top" wrapText="1"/>
    </xf>
    <xf numFmtId="49" fontId="6" fillId="6" borderId="74" xfId="0" applyNumberFormat="1" applyFont="1" applyFill="1" applyBorder="1" applyAlignment="1">
      <alignment horizontal="left" vertical="top" wrapText="1"/>
    </xf>
    <xf numFmtId="44" fontId="26" fillId="6" borderId="70" xfId="2" applyFont="1" applyFill="1" applyBorder="1" applyAlignment="1" applyProtection="1">
      <alignment horizontal="left" vertical="top" wrapText="1"/>
    </xf>
    <xf numFmtId="14" fontId="5" fillId="0" borderId="73" xfId="0" applyNumberFormat="1" applyFont="1" applyBorder="1" applyAlignment="1">
      <alignment horizontal="center" vertical="top" wrapText="1"/>
    </xf>
    <xf numFmtId="4" fontId="33" fillId="0" borderId="73" xfId="0" applyNumberFormat="1" applyFont="1" applyBorder="1" applyAlignment="1">
      <alignment vertical="top" wrapText="1"/>
    </xf>
    <xf numFmtId="4" fontId="33" fillId="10" borderId="73" xfId="0" applyNumberFormat="1" applyFont="1" applyFill="1" applyBorder="1" applyAlignment="1">
      <alignment vertical="top" wrapText="1"/>
    </xf>
    <xf numFmtId="4" fontId="28" fillId="0" borderId="73" xfId="0" applyNumberFormat="1" applyFont="1" applyBorder="1" applyAlignment="1">
      <alignment vertical="top" wrapText="1"/>
    </xf>
    <xf numFmtId="0" fontId="26" fillId="6" borderId="26" xfId="0" applyFont="1" applyFill="1" applyBorder="1" applyAlignment="1">
      <alignment vertical="top" wrapText="1"/>
    </xf>
    <xf numFmtId="17" fontId="7" fillId="6" borderId="27" xfId="0" applyNumberFormat="1" applyFont="1" applyFill="1" applyBorder="1" applyAlignment="1">
      <alignment horizontal="right" vertical="top" wrapText="1"/>
    </xf>
    <xf numFmtId="44" fontId="26" fillId="6" borderId="20" xfId="2" applyFont="1" applyFill="1" applyBorder="1" applyAlignment="1" applyProtection="1">
      <alignment horizontal="left" vertical="top" wrapText="1"/>
    </xf>
    <xf numFmtId="0" fontId="26" fillId="0" borderId="46" xfId="0" applyFont="1" applyBorder="1" applyAlignment="1">
      <alignment horizontal="left" vertical="top" wrapText="1"/>
    </xf>
    <xf numFmtId="166" fontId="12" fillId="0" borderId="46" xfId="0" applyNumberFormat="1" applyFont="1" applyBorder="1" applyAlignment="1">
      <alignment horizontal="center" vertical="top" wrapText="1"/>
    </xf>
    <xf numFmtId="17" fontId="25" fillId="0" borderId="46" xfId="0" applyNumberFormat="1" applyFont="1" applyBorder="1" applyAlignment="1">
      <alignment horizontal="right" vertical="top" wrapText="1"/>
    </xf>
    <xf numFmtId="0" fontId="25" fillId="0" borderId="37" xfId="0" applyFont="1" applyBorder="1" applyAlignment="1">
      <alignment horizontal="right" vertical="top" wrapText="1"/>
    </xf>
    <xf numFmtId="44" fontId="23" fillId="6" borderId="36" xfId="0" applyNumberFormat="1" applyFont="1" applyFill="1" applyBorder="1" applyAlignment="1">
      <alignment vertical="top" wrapText="1"/>
    </xf>
    <xf numFmtId="166" fontId="6" fillId="6" borderId="65" xfId="0" applyNumberFormat="1" applyFont="1" applyFill="1" applyBorder="1" applyAlignment="1">
      <alignment horizontal="left" vertical="top" wrapText="1"/>
    </xf>
    <xf numFmtId="0" fontId="25" fillId="6" borderId="65" xfId="0" applyFont="1" applyFill="1" applyBorder="1" applyAlignment="1">
      <alignment horizontal="center" vertical="top" wrapText="1"/>
    </xf>
    <xf numFmtId="44" fontId="26" fillId="6" borderId="65" xfId="0" applyNumberFormat="1" applyFont="1" applyFill="1" applyBorder="1" applyAlignment="1">
      <alignment vertical="top"/>
    </xf>
    <xf numFmtId="17" fontId="26" fillId="6" borderId="46" xfId="0" applyNumberFormat="1" applyFont="1" applyFill="1" applyBorder="1" applyAlignment="1">
      <alignment vertical="top" wrapText="1"/>
    </xf>
    <xf numFmtId="0" fontId="29" fillId="0" borderId="66" xfId="0" applyFont="1" applyBorder="1" applyAlignment="1">
      <alignment vertical="top" wrapText="1"/>
    </xf>
    <xf numFmtId="0" fontId="14" fillId="0" borderId="38" xfId="0" applyFont="1" applyBorder="1" applyAlignment="1">
      <alignment horizontal="center" vertical="top" wrapText="1"/>
    </xf>
    <xf numFmtId="0" fontId="14" fillId="0" borderId="30" xfId="0" applyFont="1" applyBorder="1" applyAlignment="1">
      <alignment horizontal="center" vertical="top" wrapText="1"/>
    </xf>
    <xf numFmtId="14" fontId="5" fillId="0" borderId="30" xfId="0" applyNumberFormat="1" applyFont="1" applyBorder="1" applyAlignment="1">
      <alignment horizontal="center" vertical="top" wrapText="1"/>
    </xf>
    <xf numFmtId="0" fontId="5" fillId="0" borderId="8" xfId="0" applyFont="1" applyBorder="1" applyAlignment="1">
      <alignment vertical="top" wrapText="1"/>
    </xf>
    <xf numFmtId="0" fontId="5" fillId="0" borderId="38" xfId="0" applyFont="1" applyBorder="1" applyAlignment="1">
      <alignment vertical="top" wrapText="1"/>
    </xf>
    <xf numFmtId="0" fontId="5" fillId="0" borderId="30" xfId="0" applyFont="1" applyBorder="1" applyAlignment="1">
      <alignment vertical="top" wrapText="1"/>
    </xf>
    <xf numFmtId="14" fontId="5" fillId="0" borderId="8" xfId="0" applyNumberFormat="1" applyFont="1" applyBorder="1" applyAlignment="1">
      <alignment horizontal="center" vertical="top" wrapText="1"/>
    </xf>
    <xf numFmtId="0" fontId="33" fillId="0" borderId="38" xfId="0" applyFont="1" applyBorder="1" applyAlignment="1">
      <alignment vertical="top" wrapText="1"/>
    </xf>
    <xf numFmtId="0" fontId="33" fillId="0" borderId="8" xfId="0" applyFont="1" applyBorder="1" applyAlignment="1">
      <alignment vertical="top" wrapText="1"/>
    </xf>
    <xf numFmtId="4" fontId="5" fillId="0" borderId="49" xfId="0" applyNumberFormat="1" applyFont="1" applyBorder="1" applyAlignment="1">
      <alignment vertical="top" wrapText="1"/>
    </xf>
    <xf numFmtId="4" fontId="32" fillId="0" borderId="33" xfId="0" applyNumberFormat="1" applyFont="1" applyBorder="1" applyAlignment="1">
      <alignment vertical="top" wrapText="1"/>
    </xf>
    <xf numFmtId="4" fontId="33" fillId="0" borderId="2" xfId="0" applyNumberFormat="1" applyFont="1" applyBorder="1" applyAlignment="1">
      <alignment vertical="top" wrapText="1"/>
    </xf>
    <xf numFmtId="4" fontId="5" fillId="10" borderId="49" xfId="0" applyNumberFormat="1" applyFont="1" applyFill="1" applyBorder="1" applyAlignment="1">
      <alignment vertical="top" wrapText="1"/>
    </xf>
    <xf numFmtId="4" fontId="32" fillId="10" borderId="33" xfId="0" applyNumberFormat="1" applyFont="1" applyFill="1" applyBorder="1" applyAlignment="1">
      <alignment vertical="top" wrapText="1"/>
    </xf>
    <xf numFmtId="4" fontId="33" fillId="10" borderId="2" xfId="0" applyNumberFormat="1" applyFont="1" applyFill="1" applyBorder="1" applyAlignment="1">
      <alignment vertical="top" wrapText="1"/>
    </xf>
    <xf numFmtId="4" fontId="14" fillId="0" borderId="49" xfId="0" applyNumberFormat="1" applyFont="1" applyBorder="1" applyAlignment="1">
      <alignment vertical="top" wrapText="1"/>
    </xf>
    <xf numFmtId="4" fontId="28" fillId="0" borderId="2" xfId="0" applyNumberFormat="1" applyFont="1" applyBorder="1" applyAlignment="1">
      <alignment vertical="top" wrapText="1"/>
    </xf>
    <xf numFmtId="40" fontId="33" fillId="0" borderId="49" xfId="0" applyNumberFormat="1" applyFont="1" applyBorder="1" applyAlignment="1">
      <alignment vertical="top" wrapText="1"/>
    </xf>
    <xf numFmtId="40" fontId="33" fillId="0" borderId="33" xfId="0" applyNumberFormat="1" applyFont="1" applyBorder="1" applyAlignment="1">
      <alignment vertical="top" wrapText="1"/>
    </xf>
    <xf numFmtId="40" fontId="33" fillId="10" borderId="33" xfId="0" applyNumberFormat="1" applyFont="1" applyFill="1" applyBorder="1" applyAlignment="1">
      <alignment vertical="top" wrapText="1"/>
    </xf>
    <xf numFmtId="0" fontId="29" fillId="7" borderId="55" xfId="0" applyFont="1" applyFill="1" applyBorder="1" applyAlignment="1">
      <alignment vertical="top" wrapText="1"/>
    </xf>
    <xf numFmtId="44" fontId="6" fillId="9" borderId="20" xfId="0" applyNumberFormat="1" applyFont="1" applyFill="1" applyBorder="1" applyAlignment="1">
      <alignment vertical="top" wrapText="1"/>
    </xf>
    <xf numFmtId="17" fontId="6" fillId="9" borderId="27" xfId="0" applyNumberFormat="1" applyFont="1" applyFill="1" applyBorder="1" applyAlignment="1">
      <alignment horizontal="left" vertical="top" wrapText="1"/>
    </xf>
    <xf numFmtId="44" fontId="26" fillId="9" borderId="20" xfId="0" applyNumberFormat="1" applyFont="1" applyFill="1" applyBorder="1" applyAlignment="1">
      <alignment vertical="top" wrapText="1"/>
    </xf>
    <xf numFmtId="0" fontId="26" fillId="9" borderId="27" xfId="0" applyFont="1" applyFill="1" applyBorder="1" applyAlignment="1">
      <alignment vertical="top" wrapText="1"/>
    </xf>
    <xf numFmtId="44" fontId="6" fillId="9" borderId="70" xfId="0" applyNumberFormat="1" applyFont="1" applyFill="1" applyBorder="1" applyAlignment="1">
      <alignment vertical="top" wrapText="1"/>
    </xf>
    <xf numFmtId="17" fontId="6" fillId="9" borderId="73" xfId="0" applyNumberFormat="1" applyFont="1" applyFill="1" applyBorder="1" applyAlignment="1">
      <alignment horizontal="left" vertical="top" wrapText="1"/>
    </xf>
    <xf numFmtId="44" fontId="26" fillId="9" borderId="70" xfId="0" applyNumberFormat="1" applyFont="1" applyFill="1" applyBorder="1" applyAlignment="1">
      <alignment vertical="top" wrapText="1"/>
    </xf>
    <xf numFmtId="0" fontId="26" fillId="9" borderId="73" xfId="0" applyFont="1" applyFill="1" applyBorder="1" applyAlignment="1">
      <alignment vertical="top" wrapText="1"/>
    </xf>
    <xf numFmtId="0" fontId="6" fillId="9" borderId="26" xfId="0" applyFont="1" applyFill="1" applyBorder="1" applyAlignment="1">
      <alignment horizontal="center" vertical="top" wrapText="1"/>
    </xf>
    <xf numFmtId="0" fontId="26" fillId="9" borderId="29" xfId="0" applyFont="1" applyFill="1" applyBorder="1" applyAlignment="1">
      <alignment vertical="top" wrapText="1"/>
    </xf>
    <xf numFmtId="0" fontId="26" fillId="9" borderId="51" xfId="0" applyFont="1" applyFill="1" applyBorder="1" applyAlignment="1">
      <alignment vertical="top" wrapText="1"/>
    </xf>
    <xf numFmtId="44" fontId="25" fillId="10" borderId="13" xfId="0" applyNumberFormat="1" applyFont="1" applyFill="1" applyBorder="1" applyAlignment="1">
      <alignment horizontal="left" vertical="top"/>
    </xf>
    <xf numFmtId="44" fontId="26" fillId="10" borderId="14" xfId="2" applyFont="1" applyFill="1" applyBorder="1" applyAlignment="1" applyProtection="1">
      <alignment horizontal="right" vertical="top"/>
    </xf>
    <xf numFmtId="44" fontId="26" fillId="10" borderId="14" xfId="2" applyFont="1" applyFill="1" applyBorder="1" applyAlignment="1" applyProtection="1">
      <alignment horizontal="left" vertical="top"/>
    </xf>
    <xf numFmtId="4" fontId="25" fillId="10" borderId="0" xfId="0" applyNumberFormat="1" applyFont="1" applyFill="1" applyAlignment="1">
      <alignment horizontal="center" vertical="top"/>
    </xf>
    <xf numFmtId="4" fontId="33" fillId="8" borderId="5" xfId="0" applyNumberFormat="1" applyFont="1" applyFill="1" applyBorder="1" applyAlignment="1">
      <alignment vertical="top" wrapText="1"/>
    </xf>
    <xf numFmtId="4" fontId="33" fillId="8" borderId="11" xfId="0" applyNumberFormat="1" applyFont="1" applyFill="1" applyBorder="1" applyAlignment="1">
      <alignment vertical="top" wrapText="1"/>
    </xf>
    <xf numFmtId="4" fontId="33" fillId="8" borderId="1" xfId="0" applyNumberFormat="1" applyFont="1" applyFill="1" applyBorder="1" applyAlignment="1">
      <alignment vertical="top" wrapText="1"/>
    </xf>
    <xf numFmtId="0" fontId="29" fillId="0" borderId="63" xfId="0" applyFont="1" applyBorder="1" applyAlignment="1">
      <alignment horizontal="center" vertical="top" wrapText="1"/>
    </xf>
    <xf numFmtId="0" fontId="32" fillId="0" borderId="73" xfId="0" applyFont="1" applyBorder="1" applyAlignment="1">
      <alignment vertical="top" wrapText="1"/>
    </xf>
    <xf numFmtId="4" fontId="32" fillId="10" borderId="63" xfId="0" applyNumberFormat="1" applyFont="1" applyFill="1" applyBorder="1" applyAlignment="1">
      <alignment vertical="top" wrapText="1"/>
    </xf>
    <xf numFmtId="4" fontId="32" fillId="10" borderId="73" xfId="0" applyNumberFormat="1" applyFont="1" applyFill="1" applyBorder="1" applyAlignment="1">
      <alignment vertical="top" wrapText="1"/>
    </xf>
    <xf numFmtId="40" fontId="32" fillId="10" borderId="23" xfId="0" applyNumberFormat="1" applyFont="1" applyFill="1" applyBorder="1" applyAlignment="1">
      <alignment vertical="top" wrapText="1"/>
    </xf>
    <xf numFmtId="167" fontId="5" fillId="6" borderId="35" xfId="0" applyNumberFormat="1" applyFont="1" applyFill="1" applyBorder="1" applyAlignment="1">
      <alignment horizontal="center" vertical="top" wrapText="1"/>
    </xf>
    <xf numFmtId="0" fontId="7" fillId="0" borderId="16" xfId="0" applyFont="1" applyBorder="1" applyAlignment="1">
      <alignment vertical="top"/>
    </xf>
    <xf numFmtId="49" fontId="6" fillId="0" borderId="28" xfId="0" applyNumberFormat="1" applyFont="1" applyBorder="1" applyAlignment="1">
      <alignment horizontal="left" vertical="top"/>
    </xf>
    <xf numFmtId="0" fontId="7" fillId="0" borderId="26" xfId="0" applyFont="1" applyBorder="1" applyAlignment="1">
      <alignment vertical="top"/>
    </xf>
    <xf numFmtId="44" fontId="7" fillId="0" borderId="20" xfId="0" applyNumberFormat="1" applyFont="1" applyBorder="1" applyAlignment="1">
      <alignment vertical="top"/>
    </xf>
    <xf numFmtId="17" fontId="7" fillId="0" borderId="27" xfId="0" applyNumberFormat="1" applyFont="1" applyBorder="1" applyAlignment="1">
      <alignment vertical="top"/>
    </xf>
    <xf numFmtId="44" fontId="6" fillId="0" borderId="20" xfId="0" applyNumberFormat="1" applyFont="1" applyBorder="1" applyAlignment="1">
      <alignment vertical="top"/>
    </xf>
    <xf numFmtId="0" fontId="6" fillId="0" borderId="27" xfId="0" applyFont="1" applyBorder="1" applyAlignment="1">
      <alignment horizontal="left" vertical="top"/>
    </xf>
    <xf numFmtId="0" fontId="7" fillId="0" borderId="27" xfId="0" applyFont="1" applyBorder="1" applyAlignment="1">
      <alignment horizontal="left" vertical="top"/>
    </xf>
    <xf numFmtId="0" fontId="7" fillId="0" borderId="27" xfId="0" applyFont="1" applyBorder="1" applyAlignment="1">
      <alignment vertical="top"/>
    </xf>
    <xf numFmtId="17" fontId="7" fillId="10" borderId="73" xfId="0" applyNumberFormat="1" applyFont="1" applyFill="1" applyBorder="1" applyAlignment="1">
      <alignment horizontal="right" vertical="top" wrapText="1"/>
    </xf>
    <xf numFmtId="0" fontId="7" fillId="0" borderId="29" xfId="0" applyFont="1" applyBorder="1" applyAlignment="1">
      <alignment vertical="top"/>
    </xf>
    <xf numFmtId="166" fontId="7" fillId="10" borderId="29" xfId="0" applyNumberFormat="1" applyFont="1" applyFill="1" applyBorder="1" applyAlignment="1">
      <alignment horizontal="center" vertical="top"/>
    </xf>
    <xf numFmtId="166" fontId="7" fillId="10" borderId="27" xfId="0" applyNumberFormat="1" applyFont="1" applyFill="1" applyBorder="1" applyAlignment="1">
      <alignment horizontal="center" vertical="top"/>
    </xf>
    <xf numFmtId="0" fontId="10" fillId="0" borderId="28" xfId="0" applyFont="1" applyBorder="1" applyAlignment="1">
      <alignment horizontal="center" vertical="top"/>
    </xf>
    <xf numFmtId="15" fontId="11" fillId="0" borderId="29" xfId="0" applyNumberFormat="1" applyFont="1" applyBorder="1" applyAlignment="1">
      <alignment horizontal="center" vertical="top"/>
    </xf>
    <xf numFmtId="0" fontId="11" fillId="0" borderId="27" xfId="0" applyFont="1" applyBorder="1" applyAlignment="1">
      <alignment horizontal="right" vertical="top"/>
    </xf>
    <xf numFmtId="44" fontId="11" fillId="0" borderId="20" xfId="2" applyFont="1" applyFill="1" applyBorder="1" applyAlignment="1" applyProtection="1">
      <alignment vertical="top"/>
    </xf>
    <xf numFmtId="0" fontId="11" fillId="0" borderId="27" xfId="0" applyFont="1" applyBorder="1" applyAlignment="1">
      <alignment vertical="top"/>
    </xf>
    <xf numFmtId="44" fontId="11" fillId="0" borderId="28" xfId="0" applyNumberFormat="1" applyFont="1" applyBorder="1" applyAlignment="1">
      <alignment vertical="top"/>
    </xf>
    <xf numFmtId="44" fontId="11" fillId="0" borderId="20" xfId="0" applyNumberFormat="1" applyFont="1" applyBorder="1" applyAlignment="1">
      <alignment vertical="top"/>
    </xf>
    <xf numFmtId="0" fontId="11" fillId="0" borderId="29" xfId="0" applyFont="1" applyBorder="1" applyAlignment="1">
      <alignment vertical="top"/>
    </xf>
    <xf numFmtId="44" fontId="10" fillId="0" borderId="26" xfId="0" applyNumberFormat="1" applyFont="1" applyBorder="1" applyAlignment="1">
      <alignment vertical="top"/>
    </xf>
    <xf numFmtId="0" fontId="7" fillId="15" borderId="31" xfId="0" applyFont="1" applyFill="1" applyBorder="1" applyAlignment="1">
      <alignment vertical="top" wrapText="1"/>
    </xf>
    <xf numFmtId="0" fontId="7" fillId="15" borderId="46" xfId="0" applyFont="1" applyFill="1" applyBorder="1" applyAlignment="1">
      <alignment vertical="top" wrapText="1"/>
    </xf>
    <xf numFmtId="0" fontId="14" fillId="15" borderId="66" xfId="0" applyFont="1" applyFill="1" applyBorder="1" applyAlignment="1">
      <alignment horizontal="center" vertical="top" wrapText="1"/>
    </xf>
    <xf numFmtId="0" fontId="14" fillId="15" borderId="45" xfId="0" applyFont="1" applyFill="1" applyBorder="1" applyAlignment="1">
      <alignment horizontal="center" vertical="top" wrapText="1"/>
    </xf>
    <xf numFmtId="14" fontId="5" fillId="15" borderId="45" xfId="0" applyNumberFormat="1" applyFont="1" applyFill="1" applyBorder="1" applyAlignment="1">
      <alignment horizontal="center" vertical="top" wrapText="1"/>
    </xf>
    <xf numFmtId="165" fontId="5" fillId="15" borderId="45" xfId="0" applyNumberFormat="1" applyFont="1" applyFill="1" applyBorder="1" applyAlignment="1">
      <alignment horizontal="center" vertical="top" wrapText="1"/>
    </xf>
    <xf numFmtId="167" fontId="5" fillId="15" borderId="45" xfId="0" applyNumberFormat="1" applyFont="1" applyFill="1" applyBorder="1" applyAlignment="1">
      <alignment horizontal="center" vertical="top" wrapText="1"/>
    </xf>
    <xf numFmtId="0" fontId="5" fillId="15" borderId="46" xfId="0" applyFont="1" applyFill="1" applyBorder="1" applyAlignment="1">
      <alignment vertical="top" wrapText="1"/>
    </xf>
    <xf numFmtId="0" fontId="5" fillId="15" borderId="66" xfId="0" applyFont="1" applyFill="1" applyBorder="1" applyAlignment="1">
      <alignment vertical="top" wrapText="1"/>
    </xf>
    <xf numFmtId="0" fontId="5" fillId="15" borderId="45" xfId="0" applyFont="1" applyFill="1" applyBorder="1" applyAlignment="1">
      <alignment vertical="top" wrapText="1"/>
    </xf>
    <xf numFmtId="14" fontId="5" fillId="15" borderId="46" xfId="0" applyNumberFormat="1" applyFont="1" applyFill="1" applyBorder="1" applyAlignment="1">
      <alignment horizontal="center" vertical="top" wrapText="1"/>
    </xf>
    <xf numFmtId="0" fontId="33" fillId="15" borderId="66" xfId="0" applyFont="1" applyFill="1" applyBorder="1" applyAlignment="1">
      <alignment vertical="top" wrapText="1"/>
    </xf>
    <xf numFmtId="0" fontId="33" fillId="15" borderId="46" xfId="0" applyFont="1" applyFill="1" applyBorder="1" applyAlignment="1">
      <alignment vertical="top" wrapText="1"/>
    </xf>
    <xf numFmtId="4" fontId="5" fillId="15" borderId="66" xfId="0" applyNumberFormat="1" applyFont="1" applyFill="1" applyBorder="1" applyAlignment="1">
      <alignment vertical="top" wrapText="1"/>
    </xf>
    <xf numFmtId="4" fontId="32" fillId="15" borderId="45" xfId="0" applyNumberFormat="1" applyFont="1" applyFill="1" applyBorder="1" applyAlignment="1">
      <alignment vertical="top" wrapText="1"/>
    </xf>
    <xf numFmtId="4" fontId="33" fillId="15" borderId="46" xfId="0" applyNumberFormat="1" applyFont="1" applyFill="1" applyBorder="1" applyAlignment="1">
      <alignment vertical="top" wrapText="1"/>
    </xf>
    <xf numFmtId="4" fontId="14" fillId="15" borderId="66" xfId="0" applyNumberFormat="1" applyFont="1" applyFill="1" applyBorder="1" applyAlignment="1">
      <alignment vertical="top" wrapText="1"/>
    </xf>
    <xf numFmtId="4" fontId="28" fillId="15" borderId="46" xfId="0" applyNumberFormat="1" applyFont="1" applyFill="1" applyBorder="1" applyAlignment="1">
      <alignment vertical="top" wrapText="1"/>
    </xf>
    <xf numFmtId="40" fontId="33" fillId="15" borderId="66" xfId="0" applyNumberFormat="1" applyFont="1" applyFill="1" applyBorder="1" applyAlignment="1">
      <alignment vertical="top" wrapText="1"/>
    </xf>
    <xf numFmtId="40" fontId="33" fillId="15" borderId="45" xfId="0" applyNumberFormat="1" applyFont="1" applyFill="1" applyBorder="1" applyAlignment="1">
      <alignment vertical="top" wrapText="1"/>
    </xf>
    <xf numFmtId="44" fontId="24" fillId="10" borderId="40" xfId="0" applyNumberFormat="1" applyFont="1" applyFill="1" applyBorder="1" applyAlignment="1">
      <alignment vertical="top" wrapText="1"/>
    </xf>
    <xf numFmtId="17" fontId="24" fillId="10" borderId="41" xfId="0" applyNumberFormat="1" applyFont="1" applyFill="1" applyBorder="1" applyAlignment="1">
      <alignment horizontal="right" vertical="top" wrapText="1"/>
    </xf>
    <xf numFmtId="17" fontId="24" fillId="10" borderId="41" xfId="0" applyNumberFormat="1" applyFont="1" applyFill="1" applyBorder="1" applyAlignment="1">
      <alignment horizontal="left" vertical="top" wrapText="1"/>
    </xf>
    <xf numFmtId="0" fontId="23" fillId="0" borderId="52" xfId="0" applyFont="1" applyBorder="1" applyAlignment="1">
      <alignment vertical="top" wrapText="1"/>
    </xf>
    <xf numFmtId="49" fontId="6" fillId="0" borderId="65" xfId="0" applyNumberFormat="1" applyFont="1" applyBorder="1" applyAlignment="1">
      <alignment horizontal="left" vertical="top"/>
    </xf>
    <xf numFmtId="0" fontId="7" fillId="0" borderId="52" xfId="0" applyFont="1" applyBorder="1" applyAlignment="1">
      <alignment vertical="top"/>
    </xf>
    <xf numFmtId="0" fontId="6" fillId="15" borderId="53" xfId="0" applyFont="1" applyFill="1" applyBorder="1" applyAlignment="1">
      <alignment horizontal="center" vertical="top" wrapText="1"/>
    </xf>
    <xf numFmtId="49" fontId="6" fillId="15" borderId="11" xfId="0" applyNumberFormat="1" applyFont="1" applyFill="1" applyBorder="1" applyAlignment="1">
      <alignment horizontal="left" vertical="top" wrapText="1"/>
    </xf>
    <xf numFmtId="0" fontId="7" fillId="15" borderId="53" xfId="0" applyFont="1" applyFill="1" applyBorder="1" applyAlignment="1">
      <alignment vertical="top" wrapText="1"/>
    </xf>
    <xf numFmtId="0" fontId="7" fillId="15" borderId="5" xfId="0" applyFont="1" applyFill="1" applyBorder="1" applyAlignment="1">
      <alignment vertical="top" wrapText="1"/>
    </xf>
    <xf numFmtId="0" fontId="7" fillId="15" borderId="19" xfId="0" applyFont="1" applyFill="1" applyBorder="1" applyAlignment="1">
      <alignment vertical="top" wrapText="1"/>
    </xf>
    <xf numFmtId="44" fontId="24" fillId="15" borderId="40" xfId="0" applyNumberFormat="1" applyFont="1" applyFill="1" applyBorder="1" applyAlignment="1">
      <alignment vertical="top" wrapText="1"/>
    </xf>
    <xf numFmtId="17" fontId="24" fillId="15" borderId="41" xfId="0" applyNumberFormat="1" applyFont="1" applyFill="1" applyBorder="1" applyAlignment="1">
      <alignment vertical="top" wrapText="1"/>
    </xf>
    <xf numFmtId="44" fontId="23" fillId="15" borderId="40" xfId="0" applyNumberFormat="1" applyFont="1" applyFill="1" applyBorder="1" applyAlignment="1">
      <alignment vertical="top" wrapText="1"/>
    </xf>
    <xf numFmtId="17" fontId="23" fillId="15" borderId="41" xfId="0" applyNumberFormat="1" applyFont="1" applyFill="1" applyBorder="1" applyAlignment="1">
      <alignment horizontal="left" vertical="top" wrapText="1"/>
    </xf>
    <xf numFmtId="0" fontId="23" fillId="15" borderId="41" xfId="0" applyFont="1" applyFill="1" applyBorder="1" applyAlignment="1">
      <alignment horizontal="left" vertical="top" wrapText="1"/>
    </xf>
    <xf numFmtId="0" fontId="7" fillId="15" borderId="64" xfId="0" applyFont="1" applyFill="1" applyBorder="1" applyAlignment="1">
      <alignment vertical="top" wrapText="1"/>
    </xf>
    <xf numFmtId="0" fontId="6" fillId="15" borderId="64" xfId="0" applyFont="1" applyFill="1" applyBorder="1" applyAlignment="1">
      <alignment horizontal="center" vertical="top" wrapText="1"/>
    </xf>
    <xf numFmtId="49" fontId="6" fillId="15" borderId="74" xfId="0" applyNumberFormat="1" applyFont="1" applyFill="1" applyBorder="1" applyAlignment="1">
      <alignment horizontal="left" vertical="top" wrapText="1"/>
    </xf>
    <xf numFmtId="0" fontId="7" fillId="15" borderId="70" xfId="0" applyFont="1" applyFill="1" applyBorder="1" applyAlignment="1">
      <alignment vertical="top" wrapText="1"/>
    </xf>
    <xf numFmtId="0" fontId="7" fillId="15" borderId="73" xfId="0" applyFont="1" applyFill="1" applyBorder="1" applyAlignment="1">
      <alignment vertical="top" wrapText="1"/>
    </xf>
    <xf numFmtId="0" fontId="7" fillId="15" borderId="51" xfId="0" applyFont="1" applyFill="1" applyBorder="1" applyAlignment="1">
      <alignment vertical="top" wrapText="1"/>
    </xf>
    <xf numFmtId="0" fontId="24" fillId="15" borderId="64" xfId="0" applyFont="1" applyFill="1" applyBorder="1" applyAlignment="1">
      <alignment vertical="top" wrapText="1"/>
    </xf>
    <xf numFmtId="49" fontId="6" fillId="15" borderId="74" xfId="0" applyNumberFormat="1" applyFont="1" applyFill="1" applyBorder="1" applyAlignment="1">
      <alignment horizontal="left" vertical="top"/>
    </xf>
    <xf numFmtId="0" fontId="6" fillId="15" borderId="52" xfId="0" applyFont="1" applyFill="1" applyBorder="1" applyAlignment="1">
      <alignment horizontal="center" vertical="top" wrapText="1"/>
    </xf>
    <xf numFmtId="49" fontId="6" fillId="15" borderId="65" xfId="0" applyNumberFormat="1" applyFont="1" applyFill="1" applyBorder="1" applyAlignment="1">
      <alignment horizontal="left" vertical="top" wrapText="1"/>
    </xf>
    <xf numFmtId="0" fontId="7" fillId="15" borderId="52" xfId="0" applyFont="1" applyFill="1" applyBorder="1" applyAlignment="1">
      <alignment vertical="top" wrapText="1"/>
    </xf>
    <xf numFmtId="0" fontId="7" fillId="15" borderId="36" xfId="0" applyFont="1" applyFill="1" applyBorder="1" applyAlignment="1">
      <alignment vertical="top" wrapText="1"/>
    </xf>
    <xf numFmtId="0" fontId="7" fillId="15" borderId="37" xfId="0" applyFont="1" applyFill="1" applyBorder="1" applyAlignment="1">
      <alignment vertical="top" wrapText="1"/>
    </xf>
    <xf numFmtId="0" fontId="24" fillId="15" borderId="39" xfId="0" applyFont="1" applyFill="1" applyBorder="1" applyAlignment="1">
      <alignment vertical="top" wrapText="1"/>
    </xf>
    <xf numFmtId="0" fontId="8" fillId="15" borderId="52" xfId="0" applyFont="1" applyFill="1" applyBorder="1" applyAlignment="1">
      <alignment vertical="top" wrapText="1"/>
    </xf>
    <xf numFmtId="44" fontId="7" fillId="15" borderId="36" xfId="0" applyNumberFormat="1" applyFont="1" applyFill="1" applyBorder="1" applyAlignment="1">
      <alignment vertical="top" wrapText="1"/>
    </xf>
    <xf numFmtId="17" fontId="7" fillId="15" borderId="46" xfId="0" applyNumberFormat="1" applyFont="1" applyFill="1" applyBorder="1" applyAlignment="1">
      <alignment vertical="top" wrapText="1"/>
    </xf>
    <xf numFmtId="44" fontId="6" fillId="15" borderId="36" xfId="0" applyNumberFormat="1" applyFont="1" applyFill="1" applyBorder="1" applyAlignment="1">
      <alignment vertical="top" wrapText="1"/>
    </xf>
    <xf numFmtId="17" fontId="6" fillId="15" borderId="46" xfId="0" applyNumberFormat="1" applyFont="1" applyFill="1" applyBorder="1" applyAlignment="1">
      <alignment horizontal="left" vertical="top" wrapText="1"/>
    </xf>
    <xf numFmtId="0" fontId="7" fillId="15" borderId="46" xfId="0" applyFont="1" applyFill="1" applyBorder="1" applyAlignment="1">
      <alignment horizontal="left" vertical="top" wrapText="1"/>
    </xf>
    <xf numFmtId="44" fontId="6" fillId="15" borderId="52" xfId="2" applyFont="1" applyFill="1" applyBorder="1" applyAlignment="1" applyProtection="1">
      <alignment vertical="top" wrapText="1"/>
    </xf>
    <xf numFmtId="166" fontId="12" fillId="15" borderId="65" xfId="0" applyNumberFormat="1" applyFont="1" applyFill="1" applyBorder="1" applyAlignment="1">
      <alignment horizontal="left" vertical="top" wrapText="1"/>
    </xf>
    <xf numFmtId="166" fontId="12" fillId="15" borderId="37" xfId="0" applyNumberFormat="1" applyFont="1" applyFill="1" applyBorder="1" applyAlignment="1">
      <alignment horizontal="center" vertical="top" wrapText="1"/>
    </xf>
    <xf numFmtId="166" fontId="7" fillId="15" borderId="46" xfId="0" applyNumberFormat="1" applyFont="1" applyFill="1" applyBorder="1" applyAlignment="1">
      <alignment horizontal="center" vertical="top" wrapText="1"/>
    </xf>
    <xf numFmtId="0" fontId="26" fillId="15" borderId="65" xfId="0" applyFont="1" applyFill="1" applyBorder="1" applyAlignment="1">
      <alignment horizontal="center" vertical="top"/>
    </xf>
    <xf numFmtId="15" fontId="25" fillId="15" borderId="37" xfId="0" applyNumberFormat="1" applyFont="1" applyFill="1" applyBorder="1" applyAlignment="1">
      <alignment horizontal="center" vertical="top"/>
    </xf>
    <xf numFmtId="0" fontId="25" fillId="15" borderId="46" xfId="0" applyFont="1" applyFill="1" applyBorder="1" applyAlignment="1">
      <alignment horizontal="right" vertical="top"/>
    </xf>
    <xf numFmtId="44" fontId="25" fillId="15" borderId="36" xfId="2" applyFont="1" applyFill="1" applyBorder="1" applyAlignment="1" applyProtection="1">
      <alignment vertical="top"/>
    </xf>
    <xf numFmtId="0" fontId="25" fillId="15" borderId="46" xfId="0" applyFont="1" applyFill="1" applyBorder="1" applyAlignment="1">
      <alignment vertical="top"/>
    </xf>
    <xf numFmtId="44" fontId="25" fillId="15" borderId="36" xfId="0" applyNumberFormat="1" applyFont="1" applyFill="1" applyBorder="1" applyAlignment="1">
      <alignment vertical="top"/>
    </xf>
    <xf numFmtId="17" fontId="25" fillId="15" borderId="46" xfId="0" applyNumberFormat="1" applyFont="1" applyFill="1" applyBorder="1" applyAlignment="1">
      <alignment vertical="top"/>
    </xf>
    <xf numFmtId="0" fontId="25" fillId="15" borderId="37" xfId="0" applyFont="1" applyFill="1" applyBorder="1" applyAlignment="1">
      <alignment vertical="top"/>
    </xf>
    <xf numFmtId="44" fontId="26" fillId="15" borderId="52" xfId="2" applyFont="1" applyFill="1" applyBorder="1" applyAlignment="1" applyProtection="1">
      <alignment horizontal="left" vertical="top" wrapText="1"/>
    </xf>
    <xf numFmtId="0" fontId="24" fillId="15" borderId="26" xfId="0" applyFont="1" applyFill="1" applyBorder="1" applyAlignment="1">
      <alignment vertical="top" wrapText="1"/>
    </xf>
    <xf numFmtId="0" fontId="6" fillId="15" borderId="26" xfId="0" applyFont="1" applyFill="1" applyBorder="1" applyAlignment="1">
      <alignment horizontal="center" vertical="top" wrapText="1"/>
    </xf>
    <xf numFmtId="49" fontId="6" fillId="15" borderId="28" xfId="0" applyNumberFormat="1" applyFont="1" applyFill="1" applyBorder="1" applyAlignment="1">
      <alignment horizontal="left" vertical="top" wrapText="1"/>
    </xf>
    <xf numFmtId="0" fontId="7" fillId="15" borderId="26" xfId="0" applyFont="1" applyFill="1" applyBorder="1" applyAlignment="1">
      <alignment vertical="top" wrapText="1"/>
    </xf>
    <xf numFmtId="0" fontId="7" fillId="15" borderId="20" xfId="0" applyFont="1" applyFill="1" applyBorder="1" applyAlignment="1">
      <alignment vertical="top" wrapText="1"/>
    </xf>
    <xf numFmtId="0" fontId="7" fillId="15" borderId="29" xfId="0" applyFont="1" applyFill="1" applyBorder="1" applyAlignment="1">
      <alignment vertical="top" wrapText="1"/>
    </xf>
    <xf numFmtId="44" fontId="24" fillId="15" borderId="4" xfId="0" applyNumberFormat="1" applyFont="1" applyFill="1" applyBorder="1" applyAlignment="1">
      <alignment vertical="top" wrapText="1"/>
    </xf>
    <xf numFmtId="17" fontId="24" fillId="15" borderId="8" xfId="0" applyNumberFormat="1" applyFont="1" applyFill="1" applyBorder="1" applyAlignment="1">
      <alignment vertical="top" wrapText="1"/>
    </xf>
    <xf numFmtId="44" fontId="23" fillId="15" borderId="4" xfId="0" applyNumberFormat="1" applyFont="1" applyFill="1" applyBorder="1" applyAlignment="1">
      <alignment vertical="top" wrapText="1"/>
    </xf>
    <xf numFmtId="17" fontId="23" fillId="15" borderId="8" xfId="0" applyNumberFormat="1" applyFont="1" applyFill="1" applyBorder="1" applyAlignment="1">
      <alignment horizontal="left" vertical="top" wrapText="1"/>
    </xf>
    <xf numFmtId="0" fontId="23" fillId="15" borderId="8" xfId="0" applyFont="1" applyFill="1" applyBorder="1" applyAlignment="1">
      <alignment horizontal="left" vertical="top" wrapText="1"/>
    </xf>
    <xf numFmtId="44" fontId="24" fillId="10" borderId="4" xfId="0" applyNumberFormat="1" applyFont="1" applyFill="1" applyBorder="1" applyAlignment="1">
      <alignment vertical="top" wrapText="1"/>
    </xf>
    <xf numFmtId="17" fontId="24" fillId="10" borderId="8" xfId="0" applyNumberFormat="1" applyFont="1" applyFill="1" applyBorder="1" applyAlignment="1">
      <alignment horizontal="right" vertical="top" wrapText="1"/>
    </xf>
    <xf numFmtId="17" fontId="24" fillId="10" borderId="8" xfId="0" applyNumberFormat="1" applyFont="1" applyFill="1" applyBorder="1" applyAlignment="1">
      <alignment horizontal="left" vertical="top" wrapText="1"/>
    </xf>
    <xf numFmtId="0" fontId="26" fillId="15" borderId="53" xfId="0" applyFont="1" applyFill="1" applyBorder="1" applyAlignment="1">
      <alignment vertical="top" wrapText="1"/>
    </xf>
    <xf numFmtId="44" fontId="7" fillId="15" borderId="5" xfId="0" applyNumberFormat="1" applyFont="1" applyFill="1" applyBorder="1" applyAlignment="1">
      <alignment vertical="top" wrapText="1"/>
    </xf>
    <xf numFmtId="17" fontId="7" fillId="15" borderId="31" xfId="0" applyNumberFormat="1" applyFont="1" applyFill="1" applyBorder="1" applyAlignment="1">
      <alignment vertical="top" wrapText="1"/>
    </xf>
    <xf numFmtId="44" fontId="6" fillId="15" borderId="5" xfId="0" applyNumberFormat="1" applyFont="1" applyFill="1" applyBorder="1" applyAlignment="1">
      <alignment vertical="top" wrapText="1"/>
    </xf>
    <xf numFmtId="17" fontId="6" fillId="15" borderId="31" xfId="0" applyNumberFormat="1" applyFont="1" applyFill="1" applyBorder="1" applyAlignment="1">
      <alignment horizontal="left" vertical="top" wrapText="1"/>
    </xf>
    <xf numFmtId="44" fontId="26" fillId="15" borderId="5" xfId="0" applyNumberFormat="1" applyFont="1" applyFill="1" applyBorder="1" applyAlignment="1">
      <alignment vertical="top" wrapText="1"/>
    </xf>
    <xf numFmtId="0" fontId="26" fillId="15" borderId="31" xfId="0" applyFont="1" applyFill="1" applyBorder="1" applyAlignment="1">
      <alignment horizontal="left" vertical="top" wrapText="1"/>
    </xf>
    <xf numFmtId="0" fontId="26" fillId="15" borderId="11" xfId="0" applyFont="1" applyFill="1" applyBorder="1" applyAlignment="1">
      <alignment horizontal="center" vertical="top"/>
    </xf>
    <xf numFmtId="15" fontId="25" fillId="15" borderId="19" xfId="0" applyNumberFormat="1" applyFont="1" applyFill="1" applyBorder="1" applyAlignment="1">
      <alignment horizontal="center" vertical="top"/>
    </xf>
    <xf numFmtId="0" fontId="25" fillId="15" borderId="31" xfId="0" applyFont="1" applyFill="1" applyBorder="1" applyAlignment="1">
      <alignment horizontal="right" vertical="top"/>
    </xf>
    <xf numFmtId="44" fontId="25" fillId="15" borderId="5" xfId="2" applyFont="1" applyFill="1" applyBorder="1" applyAlignment="1" applyProtection="1">
      <alignment vertical="top"/>
    </xf>
    <xf numFmtId="17" fontId="25" fillId="15" borderId="31" xfId="0" applyNumberFormat="1" applyFont="1" applyFill="1" applyBorder="1" applyAlignment="1">
      <alignment vertical="top"/>
    </xf>
    <xf numFmtId="44" fontId="25" fillId="15" borderId="11" xfId="0" applyNumberFormat="1" applyFont="1" applyFill="1" applyBorder="1" applyAlignment="1">
      <alignment vertical="top"/>
    </xf>
    <xf numFmtId="0" fontId="25" fillId="10" borderId="31" xfId="0" applyFont="1" applyFill="1" applyBorder="1" applyAlignment="1">
      <alignment vertical="top"/>
    </xf>
    <xf numFmtId="44" fontId="25" fillId="15" borderId="5" xfId="0" applyNumberFormat="1" applyFont="1" applyFill="1" applyBorder="1" applyAlignment="1">
      <alignment vertical="top"/>
    </xf>
    <xf numFmtId="0" fontId="25" fillId="15" borderId="31" xfId="0" applyFont="1" applyFill="1" applyBorder="1" applyAlignment="1">
      <alignment vertical="top"/>
    </xf>
    <xf numFmtId="0" fontId="25" fillId="15" borderId="19" xfId="0" applyFont="1" applyFill="1" applyBorder="1" applyAlignment="1">
      <alignment vertical="top"/>
    </xf>
    <xf numFmtId="0" fontId="24" fillId="15" borderId="73" xfId="0" applyFont="1" applyFill="1" applyBorder="1" applyAlignment="1">
      <alignment vertical="top" wrapText="1"/>
    </xf>
    <xf numFmtId="44" fontId="24" fillId="15" borderId="70" xfId="0" applyNumberFormat="1" applyFont="1" applyFill="1" applyBorder="1" applyAlignment="1">
      <alignment vertical="top" wrapText="1"/>
    </xf>
    <xf numFmtId="44" fontId="23" fillId="15" borderId="70" xfId="0" applyNumberFormat="1" applyFont="1" applyFill="1" applyBorder="1" applyAlignment="1">
      <alignment vertical="top" wrapText="1"/>
    </xf>
    <xf numFmtId="0" fontId="23" fillId="15" borderId="51" xfId="0" applyFont="1" applyFill="1" applyBorder="1" applyAlignment="1">
      <alignment vertical="top" wrapText="1"/>
    </xf>
    <xf numFmtId="0" fontId="6" fillId="15" borderId="39" xfId="0" applyFont="1" applyFill="1" applyBorder="1" applyAlignment="1">
      <alignment horizontal="center" vertical="top" wrapText="1"/>
    </xf>
    <xf numFmtId="49" fontId="6" fillId="15" borderId="59" xfId="0" applyNumberFormat="1" applyFont="1" applyFill="1" applyBorder="1" applyAlignment="1">
      <alignment horizontal="left" vertical="top" wrapText="1"/>
    </xf>
    <xf numFmtId="0" fontId="7" fillId="15" borderId="39" xfId="0" applyFont="1" applyFill="1" applyBorder="1" applyAlignment="1">
      <alignment vertical="top" wrapText="1"/>
    </xf>
    <xf numFmtId="0" fontId="7" fillId="15" borderId="40" xfId="0" applyFont="1" applyFill="1" applyBorder="1" applyAlignment="1">
      <alignment vertical="top" wrapText="1"/>
    </xf>
    <xf numFmtId="0" fontId="7" fillId="15" borderId="41" xfId="0" applyFont="1" applyFill="1" applyBorder="1" applyAlignment="1">
      <alignment vertical="top" wrapText="1"/>
    </xf>
    <xf numFmtId="0" fontId="7" fillId="15" borderId="42" xfId="0" applyFont="1" applyFill="1" applyBorder="1" applyAlignment="1">
      <alignment vertical="top" wrapText="1"/>
    </xf>
    <xf numFmtId="15" fontId="24" fillId="15" borderId="51" xfId="0" applyNumberFormat="1" applyFont="1" applyFill="1" applyBorder="1" applyAlignment="1">
      <alignment horizontal="center" vertical="top"/>
    </xf>
    <xf numFmtId="0" fontId="24" fillId="15" borderId="73" xfId="0" applyFont="1" applyFill="1" applyBorder="1" applyAlignment="1">
      <alignment horizontal="right" vertical="top"/>
    </xf>
    <xf numFmtId="0" fontId="23" fillId="15" borderId="70" xfId="0" applyFont="1" applyFill="1" applyBorder="1" applyAlignment="1">
      <alignment horizontal="center" vertical="top"/>
    </xf>
    <xf numFmtId="0" fontId="26" fillId="15" borderId="19" xfId="0" applyFont="1" applyFill="1" applyBorder="1" applyAlignment="1">
      <alignment vertical="top" wrapText="1"/>
    </xf>
    <xf numFmtId="44" fontId="6" fillId="15" borderId="53" xfId="2" applyFont="1" applyFill="1" applyBorder="1" applyAlignment="1" applyProtection="1">
      <alignment vertical="top" wrapText="1"/>
    </xf>
    <xf numFmtId="166" fontId="7" fillId="15" borderId="11" xfId="0" applyNumberFormat="1" applyFont="1" applyFill="1" applyBorder="1" applyAlignment="1">
      <alignment horizontal="left" vertical="top" wrapText="1"/>
    </xf>
    <xf numFmtId="166" fontId="7" fillId="15" borderId="19" xfId="0" applyNumberFormat="1" applyFont="1" applyFill="1" applyBorder="1" applyAlignment="1">
      <alignment horizontal="center" vertical="top" wrapText="1"/>
    </xf>
    <xf numFmtId="166" fontId="7" fillId="15" borderId="31" xfId="0" applyNumberFormat="1" applyFont="1" applyFill="1" applyBorder="1" applyAlignment="1">
      <alignment horizontal="center" vertical="top" wrapText="1"/>
    </xf>
    <xf numFmtId="166" fontId="7" fillId="15" borderId="28" xfId="0" applyNumberFormat="1" applyFont="1" applyFill="1" applyBorder="1" applyAlignment="1">
      <alignment horizontal="left" vertical="top" wrapText="1"/>
    </xf>
    <xf numFmtId="166" fontId="7" fillId="15" borderId="29" xfId="0" applyNumberFormat="1" applyFont="1" applyFill="1" applyBorder="1" applyAlignment="1">
      <alignment horizontal="center" vertical="top" wrapText="1"/>
    </xf>
    <xf numFmtId="166" fontId="7" fillId="15" borderId="70" xfId="0" applyNumberFormat="1" applyFont="1" applyFill="1" applyBorder="1" applyAlignment="1">
      <alignment horizontal="left" vertical="top" wrapText="1"/>
    </xf>
    <xf numFmtId="166" fontId="7" fillId="15" borderId="51" xfId="0" applyNumberFormat="1" applyFont="1" applyFill="1" applyBorder="1" applyAlignment="1">
      <alignment horizontal="center" vertical="top" wrapText="1"/>
    </xf>
    <xf numFmtId="166" fontId="6" fillId="15" borderId="70" xfId="0" applyNumberFormat="1" applyFont="1" applyFill="1" applyBorder="1" applyAlignment="1">
      <alignment horizontal="left" vertical="top" wrapText="1"/>
    </xf>
    <xf numFmtId="166" fontId="7" fillId="15" borderId="51" xfId="0" applyNumberFormat="1" applyFont="1" applyFill="1" applyBorder="1" applyAlignment="1">
      <alignment horizontal="center" vertical="top"/>
    </xf>
    <xf numFmtId="166" fontId="7" fillId="15" borderId="48" xfId="0" applyNumberFormat="1" applyFont="1" applyFill="1" applyBorder="1" applyAlignment="1">
      <alignment horizontal="left" vertical="top" wrapText="1"/>
    </xf>
    <xf numFmtId="166" fontId="7" fillId="15" borderId="42" xfId="0" applyNumberFormat="1" applyFont="1" applyFill="1" applyBorder="1" applyAlignment="1">
      <alignment horizontal="center" vertical="top" wrapText="1"/>
    </xf>
    <xf numFmtId="44" fontId="26" fillId="15" borderId="53" xfId="2" applyFont="1" applyFill="1" applyBorder="1" applyAlignment="1" applyProtection="1">
      <alignment horizontal="left" vertical="top" wrapText="1"/>
    </xf>
    <xf numFmtId="166" fontId="12" fillId="15" borderId="28" xfId="0" applyNumberFormat="1" applyFont="1" applyFill="1" applyBorder="1" applyAlignment="1">
      <alignment horizontal="left" vertical="top" wrapText="1"/>
    </xf>
    <xf numFmtId="166" fontId="12" fillId="15" borderId="29" xfId="0" applyNumberFormat="1" applyFont="1" applyFill="1" applyBorder="1" applyAlignment="1">
      <alignment horizontal="center" vertical="top" wrapText="1"/>
    </xf>
    <xf numFmtId="166" fontId="12" fillId="15" borderId="27" xfId="0" applyNumberFormat="1" applyFont="1" applyFill="1" applyBorder="1" applyAlignment="1">
      <alignment horizontal="center" vertical="top" wrapText="1"/>
    </xf>
    <xf numFmtId="166" fontId="7" fillId="15" borderId="74" xfId="0" applyNumberFormat="1" applyFont="1" applyFill="1" applyBorder="1" applyAlignment="1">
      <alignment horizontal="left" vertical="top" wrapText="1"/>
    </xf>
    <xf numFmtId="166" fontId="7" fillId="15" borderId="73" xfId="0" applyNumberFormat="1" applyFont="1" applyFill="1" applyBorder="1" applyAlignment="1">
      <alignment horizontal="center" vertical="top" wrapText="1"/>
    </xf>
    <xf numFmtId="166" fontId="7" fillId="0" borderId="46" xfId="0" applyNumberFormat="1" applyFont="1" applyBorder="1" applyAlignment="1">
      <alignment horizontal="center" vertical="top"/>
    </xf>
    <xf numFmtId="0" fontId="7" fillId="10" borderId="8" xfId="0" applyFont="1" applyFill="1" applyBorder="1" applyAlignment="1">
      <alignment vertical="top" wrapText="1"/>
    </xf>
    <xf numFmtId="0" fontId="7" fillId="10" borderId="8" xfId="0" applyFont="1" applyFill="1" applyBorder="1" applyAlignment="1">
      <alignment horizontal="left" vertical="top" wrapText="1"/>
    </xf>
    <xf numFmtId="44" fontId="26" fillId="0" borderId="4" xfId="0" applyNumberFormat="1" applyFont="1" applyBorder="1" applyAlignment="1">
      <alignment vertical="top" wrapText="1"/>
    </xf>
    <xf numFmtId="17" fontId="26" fillId="0" borderId="8" xfId="0" applyNumberFormat="1" applyFont="1" applyBorder="1" applyAlignment="1">
      <alignment vertical="top" wrapText="1"/>
    </xf>
    <xf numFmtId="44" fontId="25" fillId="0" borderId="70" xfId="2" applyFont="1" applyFill="1" applyBorder="1" applyAlignment="1" applyProtection="1">
      <alignment vertical="top" wrapText="1"/>
    </xf>
    <xf numFmtId="0" fontId="25" fillId="0" borderId="73" xfId="0" applyFont="1" applyBorder="1" applyAlignment="1">
      <alignment vertical="top" wrapText="1"/>
    </xf>
    <xf numFmtId="44" fontId="25" fillId="0" borderId="74" xfId="0" applyNumberFormat="1" applyFont="1" applyBorder="1" applyAlignment="1">
      <alignment vertical="top" wrapText="1"/>
    </xf>
    <xf numFmtId="17" fontId="7" fillId="0" borderId="73" xfId="0" applyNumberFormat="1" applyFont="1" applyBorder="1" applyAlignment="1">
      <alignment vertical="top" wrapText="1"/>
    </xf>
    <xf numFmtId="17" fontId="6" fillId="0" borderId="73" xfId="0" applyNumberFormat="1" applyFont="1" applyBorder="1" applyAlignment="1">
      <alignment horizontal="left" vertical="top" wrapText="1"/>
    </xf>
    <xf numFmtId="0" fontId="7" fillId="0" borderId="73" xfId="0" applyFont="1" applyBorder="1" applyAlignment="1">
      <alignment horizontal="left" vertical="top" wrapText="1"/>
    </xf>
    <xf numFmtId="0" fontId="7" fillId="10" borderId="73" xfId="0" applyFont="1" applyFill="1" applyBorder="1" applyAlignment="1">
      <alignment vertical="top" wrapText="1"/>
    </xf>
    <xf numFmtId="0" fontId="7" fillId="10" borderId="73" xfId="0" applyFont="1" applyFill="1" applyBorder="1" applyAlignment="1">
      <alignment horizontal="left" vertical="top" wrapText="1"/>
    </xf>
    <xf numFmtId="0" fontId="10" fillId="0" borderId="74" xfId="0" applyFont="1" applyBorder="1" applyAlignment="1">
      <alignment horizontal="center" vertical="top" wrapText="1"/>
    </xf>
    <xf numFmtId="166" fontId="25" fillId="10" borderId="0" xfId="0" applyNumberFormat="1" applyFont="1" applyFill="1" applyAlignment="1">
      <alignment horizontal="left" vertical="top" wrapText="1"/>
    </xf>
    <xf numFmtId="0" fontId="7" fillId="10" borderId="73" xfId="0" applyFont="1" applyFill="1" applyBorder="1" applyAlignment="1">
      <alignment horizontal="right" vertical="top"/>
    </xf>
    <xf numFmtId="0" fontId="7" fillId="10" borderId="73" xfId="0" applyFont="1" applyFill="1" applyBorder="1" applyAlignment="1">
      <alignment horizontal="left" vertical="top"/>
    </xf>
    <xf numFmtId="167" fontId="5" fillId="16" borderId="23" xfId="0" applyNumberFormat="1" applyFont="1" applyFill="1" applyBorder="1" applyAlignment="1">
      <alignment horizontal="center" vertical="top" wrapText="1"/>
    </xf>
    <xf numFmtId="44" fontId="25" fillId="15" borderId="21" xfId="0" applyNumberFormat="1" applyFont="1" applyFill="1" applyBorder="1" applyAlignment="1">
      <alignment vertical="top"/>
    </xf>
    <xf numFmtId="0" fontId="25" fillId="15" borderId="34" xfId="0" applyFont="1" applyFill="1" applyBorder="1" applyAlignment="1">
      <alignment vertical="top"/>
    </xf>
    <xf numFmtId="17" fontId="25" fillId="15" borderId="34" xfId="0" applyNumberFormat="1" applyFont="1" applyFill="1" applyBorder="1" applyAlignment="1">
      <alignment vertical="top" wrapText="1"/>
    </xf>
    <xf numFmtId="0" fontId="25" fillId="15" borderId="51" xfId="0" applyFont="1" applyFill="1" applyBorder="1" applyAlignment="1">
      <alignment vertical="top"/>
    </xf>
    <xf numFmtId="44" fontId="26" fillId="15" borderId="64" xfId="2" applyFont="1" applyFill="1" applyBorder="1" applyAlignment="1" applyProtection="1">
      <alignment horizontal="left" vertical="top" wrapText="1"/>
    </xf>
    <xf numFmtId="49" fontId="6" fillId="15" borderId="22" xfId="0" applyNumberFormat="1" applyFont="1" applyFill="1" applyBorder="1" applyAlignment="1">
      <alignment horizontal="left" vertical="top" wrapText="1"/>
    </xf>
    <xf numFmtId="0" fontId="7" fillId="15" borderId="21" xfId="0" applyFont="1" applyFill="1" applyBorder="1" applyAlignment="1">
      <alignment vertical="top" wrapText="1"/>
    </xf>
    <xf numFmtId="44" fontId="7" fillId="15" borderId="21" xfId="0" applyNumberFormat="1" applyFont="1" applyFill="1" applyBorder="1" applyAlignment="1">
      <alignment vertical="top" wrapText="1"/>
    </xf>
    <xf numFmtId="17" fontId="7" fillId="15" borderId="34" xfId="0" applyNumberFormat="1" applyFont="1" applyFill="1" applyBorder="1" applyAlignment="1">
      <alignment vertical="top" wrapText="1"/>
    </xf>
    <xf numFmtId="44" fontId="6" fillId="15" borderId="21" xfId="0" applyNumberFormat="1" applyFont="1" applyFill="1" applyBorder="1" applyAlignment="1">
      <alignment vertical="top" wrapText="1"/>
    </xf>
    <xf numFmtId="44" fontId="26" fillId="15" borderId="21" xfId="0" applyNumberFormat="1" applyFont="1" applyFill="1" applyBorder="1" applyAlignment="1">
      <alignment vertical="top" wrapText="1"/>
    </xf>
    <xf numFmtId="0" fontId="25" fillId="15" borderId="34" xfId="0" applyFont="1" applyFill="1" applyBorder="1" applyAlignment="1">
      <alignment horizontal="left" vertical="top" wrapText="1"/>
    </xf>
    <xf numFmtId="44" fontId="6" fillId="15" borderId="64" xfId="2" applyFont="1" applyFill="1" applyBorder="1" applyAlignment="1" applyProtection="1">
      <alignment vertical="top" wrapText="1"/>
    </xf>
    <xf numFmtId="166" fontId="12" fillId="15" borderId="22" xfId="0" applyNumberFormat="1" applyFont="1" applyFill="1" applyBorder="1" applyAlignment="1">
      <alignment horizontal="left" vertical="top" wrapText="1"/>
    </xf>
    <xf numFmtId="166" fontId="12" fillId="15" borderId="51" xfId="0" applyNumberFormat="1" applyFont="1" applyFill="1" applyBorder="1" applyAlignment="1">
      <alignment horizontal="center" vertical="top" wrapText="1"/>
    </xf>
    <xf numFmtId="166" fontId="12" fillId="15" borderId="34" xfId="0" applyNumberFormat="1" applyFont="1" applyFill="1" applyBorder="1" applyAlignment="1">
      <alignment horizontal="center" vertical="top" wrapText="1"/>
    </xf>
    <xf numFmtId="0" fontId="26" fillId="15" borderId="22" xfId="0" applyFont="1" applyFill="1" applyBorder="1" applyAlignment="1">
      <alignment horizontal="center" vertical="top"/>
    </xf>
    <xf numFmtId="15" fontId="25" fillId="15" borderId="51" xfId="0" applyNumberFormat="1" applyFont="1" applyFill="1" applyBorder="1" applyAlignment="1">
      <alignment horizontal="center" vertical="top"/>
    </xf>
    <xf numFmtId="0" fontId="25" fillId="15" borderId="34" xfId="0" applyFont="1" applyFill="1" applyBorder="1" applyAlignment="1">
      <alignment horizontal="right" vertical="top"/>
    </xf>
    <xf numFmtId="44" fontId="25" fillId="15" borderId="21" xfId="2" applyFont="1" applyFill="1" applyBorder="1" applyAlignment="1" applyProtection="1">
      <alignment vertical="top"/>
    </xf>
    <xf numFmtId="17" fontId="25" fillId="15" borderId="34" xfId="0" applyNumberFormat="1" applyFont="1" applyFill="1" applyBorder="1" applyAlignment="1">
      <alignment vertical="top"/>
    </xf>
    <xf numFmtId="44" fontId="25" fillId="15" borderId="22" xfId="0" applyNumberFormat="1" applyFont="1" applyFill="1" applyBorder="1" applyAlignment="1">
      <alignment vertical="top"/>
    </xf>
    <xf numFmtId="17" fontId="14" fillId="15" borderId="3" xfId="0" applyNumberFormat="1" applyFont="1" applyFill="1" applyBorder="1" applyAlignment="1">
      <alignment horizontal="right" vertical="top" wrapText="1"/>
    </xf>
    <xf numFmtId="6" fontId="14" fillId="15" borderId="3" xfId="2" applyNumberFormat="1" applyFont="1" applyFill="1" applyBorder="1" applyAlignment="1" applyProtection="1">
      <alignment vertical="top" wrapText="1"/>
    </xf>
    <xf numFmtId="6" fontId="33" fillId="15" borderId="3" xfId="0" applyNumberFormat="1" applyFont="1" applyFill="1" applyBorder="1" applyAlignment="1">
      <alignment vertical="top" wrapText="1"/>
    </xf>
    <xf numFmtId="6" fontId="33" fillId="15" borderId="3" xfId="2" applyNumberFormat="1" applyFont="1" applyFill="1" applyBorder="1" applyAlignment="1" applyProtection="1">
      <alignment vertical="top" wrapText="1"/>
    </xf>
    <xf numFmtId="0" fontId="5" fillId="15" borderId="73" xfId="0" applyFont="1" applyFill="1" applyBorder="1" applyAlignment="1">
      <alignment vertical="top" wrapText="1"/>
    </xf>
    <xf numFmtId="4" fontId="14" fillId="15" borderId="63" xfId="0" applyNumberFormat="1" applyFont="1" applyFill="1" applyBorder="1" applyAlignment="1">
      <alignment vertical="top" wrapText="1"/>
    </xf>
    <xf numFmtId="4" fontId="32" fillId="15" borderId="23" xfId="0" applyNumberFormat="1" applyFont="1" applyFill="1" applyBorder="1" applyAlignment="1">
      <alignment vertical="top" wrapText="1"/>
    </xf>
    <xf numFmtId="4" fontId="28" fillId="15" borderId="34" xfId="0" applyNumberFormat="1" applyFont="1" applyFill="1" applyBorder="1" applyAlignment="1">
      <alignment vertical="top" wrapText="1"/>
    </xf>
    <xf numFmtId="40" fontId="33" fillId="15" borderId="63" xfId="0" applyNumberFormat="1" applyFont="1" applyFill="1" applyBorder="1" applyAlignment="1">
      <alignment vertical="top" wrapText="1"/>
    </xf>
    <xf numFmtId="40" fontId="33" fillId="15" borderId="23" xfId="0" applyNumberFormat="1" applyFont="1" applyFill="1" applyBorder="1" applyAlignment="1">
      <alignment vertical="top" wrapText="1"/>
    </xf>
    <xf numFmtId="0" fontId="28" fillId="15" borderId="63" xfId="0" applyFont="1" applyFill="1" applyBorder="1" applyAlignment="1">
      <alignment horizontal="center" vertical="top" wrapText="1"/>
    </xf>
    <xf numFmtId="0" fontId="14" fillId="15" borderId="23" xfId="0" applyFont="1" applyFill="1" applyBorder="1" applyAlignment="1">
      <alignment horizontal="center" vertical="top" wrapText="1"/>
    </xf>
    <xf numFmtId="14" fontId="5" fillId="15" borderId="23" xfId="0" applyNumberFormat="1" applyFont="1" applyFill="1" applyBorder="1" applyAlignment="1">
      <alignment horizontal="center" vertical="top" wrapText="1"/>
    </xf>
    <xf numFmtId="165" fontId="5" fillId="15" borderId="23" xfId="0" applyNumberFormat="1" applyFont="1" applyFill="1" applyBorder="1" applyAlignment="1">
      <alignment horizontal="center" vertical="top" wrapText="1"/>
    </xf>
    <xf numFmtId="167" fontId="5" fillId="15" borderId="23" xfId="0" applyNumberFormat="1" applyFont="1" applyFill="1" applyBorder="1" applyAlignment="1">
      <alignment horizontal="center" vertical="top" wrapText="1"/>
    </xf>
    <xf numFmtId="0" fontId="5" fillId="15" borderId="34" xfId="0" applyFont="1" applyFill="1" applyBorder="1" applyAlignment="1">
      <alignment vertical="top" wrapText="1"/>
    </xf>
    <xf numFmtId="0" fontId="5" fillId="15" borderId="63" xfId="0" applyFont="1" applyFill="1" applyBorder="1" applyAlignment="1">
      <alignment vertical="top" wrapText="1"/>
    </xf>
    <xf numFmtId="0" fontId="5" fillId="15" borderId="23" xfId="0" applyFont="1" applyFill="1" applyBorder="1" applyAlignment="1">
      <alignment vertical="top" wrapText="1"/>
    </xf>
    <xf numFmtId="14" fontId="5" fillId="15" borderId="34" xfId="0" applyNumberFormat="1" applyFont="1" applyFill="1" applyBorder="1" applyAlignment="1">
      <alignment horizontal="center" vertical="top" wrapText="1"/>
    </xf>
    <xf numFmtId="0" fontId="33" fillId="15" borderId="63" xfId="0" applyFont="1" applyFill="1" applyBorder="1" applyAlignment="1">
      <alignment vertical="top" wrapText="1"/>
    </xf>
    <xf numFmtId="0" fontId="33" fillId="15" borderId="34" xfId="0" applyFont="1" applyFill="1" applyBorder="1" applyAlignment="1">
      <alignment vertical="top" wrapText="1"/>
    </xf>
    <xf numFmtId="4" fontId="5" fillId="15" borderId="63" xfId="0" applyNumberFormat="1" applyFont="1" applyFill="1" applyBorder="1" applyAlignment="1">
      <alignment vertical="top" wrapText="1"/>
    </xf>
    <xf numFmtId="4" fontId="33" fillId="15" borderId="34" xfId="0" applyNumberFormat="1" applyFont="1" applyFill="1" applyBorder="1" applyAlignment="1">
      <alignment vertical="top" wrapText="1"/>
    </xf>
    <xf numFmtId="0" fontId="25" fillId="15" borderId="64" xfId="0" applyFont="1" applyFill="1" applyBorder="1" applyAlignment="1">
      <alignment vertical="top" wrapText="1"/>
    </xf>
    <xf numFmtId="0" fontId="7" fillId="15" borderId="64" xfId="0" applyFont="1" applyFill="1" applyBorder="1" applyAlignment="1">
      <alignment vertical="top"/>
    </xf>
    <xf numFmtId="44" fontId="7" fillId="15" borderId="70" xfId="0" applyNumberFormat="1" applyFont="1" applyFill="1" applyBorder="1" applyAlignment="1">
      <alignment vertical="top"/>
    </xf>
    <xf numFmtId="0" fontId="7" fillId="15" borderId="73" xfId="0" applyFont="1" applyFill="1" applyBorder="1" applyAlignment="1">
      <alignment vertical="top"/>
    </xf>
    <xf numFmtId="44" fontId="6" fillId="15" borderId="70" xfId="0" applyNumberFormat="1" applyFont="1" applyFill="1" applyBorder="1" applyAlignment="1">
      <alignment vertical="top"/>
    </xf>
    <xf numFmtId="0" fontId="6" fillId="15" borderId="73" xfId="0" applyFont="1" applyFill="1" applyBorder="1" applyAlignment="1">
      <alignment horizontal="left" vertical="top"/>
    </xf>
    <xf numFmtId="0" fontId="7" fillId="15" borderId="73" xfId="0" applyFont="1" applyFill="1" applyBorder="1" applyAlignment="1">
      <alignment horizontal="left" vertical="top"/>
    </xf>
    <xf numFmtId="0" fontId="7" fillId="15" borderId="51" xfId="0" applyFont="1" applyFill="1" applyBorder="1" applyAlignment="1">
      <alignment vertical="top"/>
    </xf>
    <xf numFmtId="166" fontId="25" fillId="15" borderId="51" xfId="0" applyNumberFormat="1" applyFont="1" applyFill="1" applyBorder="1" applyAlignment="1">
      <alignment horizontal="center" vertical="top"/>
    </xf>
    <xf numFmtId="166" fontId="25" fillId="15" borderId="73" xfId="0" applyNumberFormat="1" applyFont="1" applyFill="1" applyBorder="1" applyAlignment="1">
      <alignment horizontal="center" vertical="top" wrapText="1"/>
    </xf>
    <xf numFmtId="14" fontId="26" fillId="15" borderId="74" xfId="0" applyNumberFormat="1" applyFont="1" applyFill="1" applyBorder="1" applyAlignment="1">
      <alignment horizontal="center" vertical="top"/>
    </xf>
    <xf numFmtId="0" fontId="25" fillId="15" borderId="73" xfId="0" applyFont="1" applyFill="1" applyBorder="1" applyAlignment="1">
      <alignment horizontal="right" vertical="top"/>
    </xf>
    <xf numFmtId="44" fontId="25" fillId="15" borderId="70" xfId="2" applyFont="1" applyFill="1" applyBorder="1" applyAlignment="1" applyProtection="1">
      <alignment vertical="top"/>
    </xf>
    <xf numFmtId="0" fontId="25" fillId="15" borderId="73" xfId="0" applyFont="1" applyFill="1" applyBorder="1" applyAlignment="1">
      <alignment vertical="top"/>
    </xf>
    <xf numFmtId="44" fontId="25" fillId="15" borderId="74" xfId="0" applyNumberFormat="1" applyFont="1" applyFill="1" applyBorder="1" applyAlignment="1">
      <alignment vertical="top"/>
    </xf>
    <xf numFmtId="44" fontId="25" fillId="15" borderId="70" xfId="0" applyNumberFormat="1" applyFont="1" applyFill="1" applyBorder="1" applyAlignment="1">
      <alignment vertical="top"/>
    </xf>
    <xf numFmtId="17" fontId="25" fillId="15" borderId="73" xfId="0" applyNumberFormat="1" applyFont="1" applyFill="1" applyBorder="1" applyAlignment="1">
      <alignment vertical="top"/>
    </xf>
    <xf numFmtId="0" fontId="14" fillId="15" borderId="63" xfId="0" applyFont="1" applyFill="1" applyBorder="1" applyAlignment="1">
      <alignment horizontal="center" vertical="top" wrapText="1"/>
    </xf>
    <xf numFmtId="0" fontId="25" fillId="10" borderId="73" xfId="0" applyFont="1" applyFill="1" applyBorder="1" applyAlignment="1">
      <alignment vertical="top"/>
    </xf>
    <xf numFmtId="0" fontId="5" fillId="15" borderId="70" xfId="0" applyFont="1" applyFill="1" applyBorder="1" applyAlignment="1">
      <alignment vertical="top" wrapText="1"/>
    </xf>
    <xf numFmtId="167" fontId="5" fillId="0" borderId="32" xfId="0" applyNumberFormat="1" applyFont="1" applyBorder="1" applyAlignment="1">
      <alignment horizontal="center" vertical="top" wrapText="1"/>
    </xf>
    <xf numFmtId="4" fontId="5" fillId="10" borderId="62" xfId="0" applyNumberFormat="1" applyFont="1" applyFill="1" applyBorder="1" applyAlignment="1">
      <alignment vertical="top" wrapText="1"/>
    </xf>
    <xf numFmtId="4" fontId="32" fillId="10" borderId="32" xfId="0" applyNumberFormat="1" applyFont="1" applyFill="1" applyBorder="1" applyAlignment="1">
      <alignment vertical="top" wrapText="1"/>
    </xf>
    <xf numFmtId="4" fontId="33" fillId="10" borderId="31" xfId="0" applyNumberFormat="1" applyFont="1" applyFill="1" applyBorder="1" applyAlignment="1">
      <alignment vertical="top" wrapText="1"/>
    </xf>
    <xf numFmtId="40" fontId="33" fillId="10" borderId="32" xfId="0" applyNumberFormat="1" applyFont="1" applyFill="1" applyBorder="1" applyAlignment="1">
      <alignment vertical="top" wrapText="1"/>
    </xf>
    <xf numFmtId="0" fontId="26" fillId="15" borderId="52" xfId="0" applyFont="1" applyFill="1" applyBorder="1" applyAlignment="1">
      <alignment vertical="top" wrapText="1"/>
    </xf>
    <xf numFmtId="6" fontId="25" fillId="15" borderId="66" xfId="0" applyNumberFormat="1" applyFont="1" applyFill="1" applyBorder="1" applyAlignment="1">
      <alignment horizontal="right" vertical="top" wrapText="1"/>
    </xf>
    <xf numFmtId="17" fontId="25" fillId="15" borderId="46" xfId="0" applyNumberFormat="1" applyFont="1" applyFill="1" applyBorder="1" applyAlignment="1">
      <alignment vertical="top" wrapText="1"/>
    </xf>
    <xf numFmtId="44" fontId="26" fillId="15" borderId="36" xfId="0" applyNumberFormat="1" applyFont="1" applyFill="1" applyBorder="1" applyAlignment="1">
      <alignment vertical="top" wrapText="1"/>
    </xf>
    <xf numFmtId="0" fontId="26" fillId="15" borderId="46" xfId="0" applyFont="1" applyFill="1" applyBorder="1" applyAlignment="1">
      <alignment horizontal="left" vertical="top"/>
    </xf>
    <xf numFmtId="44" fontId="25" fillId="15" borderId="36" xfId="0" applyNumberFormat="1" applyFont="1" applyFill="1" applyBorder="1" applyAlignment="1">
      <alignment vertical="top" wrapText="1"/>
    </xf>
    <xf numFmtId="6" fontId="25" fillId="10" borderId="66" xfId="0" applyNumberFormat="1" applyFont="1" applyFill="1" applyBorder="1" applyAlignment="1">
      <alignment horizontal="right" vertical="top" wrapText="1"/>
    </xf>
    <xf numFmtId="0" fontId="25" fillId="15" borderId="37" xfId="0" applyFont="1" applyFill="1" applyBorder="1" applyAlignment="1">
      <alignment horizontal="left" vertical="top" wrapText="1"/>
    </xf>
    <xf numFmtId="44" fontId="26" fillId="15" borderId="52" xfId="2" applyFont="1" applyFill="1" applyBorder="1" applyAlignment="1" applyProtection="1">
      <alignment vertical="top" wrapText="1"/>
    </xf>
    <xf numFmtId="0" fontId="26" fillId="15" borderId="65" xfId="0" applyFont="1" applyFill="1" applyBorder="1" applyAlignment="1">
      <alignment horizontal="center" vertical="top" wrapText="1"/>
    </xf>
    <xf numFmtId="15" fontId="25" fillId="15" borderId="37" xfId="0" applyNumberFormat="1" applyFont="1" applyFill="1" applyBorder="1" applyAlignment="1">
      <alignment horizontal="center" vertical="top" wrapText="1"/>
    </xf>
    <xf numFmtId="0" fontId="25" fillId="15" borderId="46" xfId="0" applyFont="1" applyFill="1" applyBorder="1" applyAlignment="1">
      <alignment horizontal="right" vertical="top" wrapText="1"/>
    </xf>
    <xf numFmtId="44" fontId="25" fillId="15" borderId="65" xfId="0" applyNumberFormat="1" applyFont="1" applyFill="1" applyBorder="1" applyAlignment="1">
      <alignment vertical="top"/>
    </xf>
    <xf numFmtId="17" fontId="25" fillId="0" borderId="27" xfId="0" applyNumberFormat="1" applyFont="1" applyBorder="1" applyAlignment="1">
      <alignment vertical="top"/>
    </xf>
    <xf numFmtId="166" fontId="12" fillId="0" borderId="28" xfId="0" applyNumberFormat="1" applyFont="1" applyBorder="1" applyAlignment="1">
      <alignment horizontal="left" vertical="top" wrapText="1"/>
    </xf>
    <xf numFmtId="166" fontId="12" fillId="0" borderId="29" xfId="0" applyNumberFormat="1" applyFont="1" applyBorder="1" applyAlignment="1">
      <alignment horizontal="center" vertical="top" wrapText="1"/>
    </xf>
    <xf numFmtId="0" fontId="25" fillId="0" borderId="70" xfId="0" applyFont="1" applyBorder="1" applyAlignment="1">
      <alignment vertical="top" wrapText="1"/>
    </xf>
    <xf numFmtId="166" fontId="25" fillId="10" borderId="8" xfId="0" applyNumberFormat="1" applyFont="1" applyFill="1" applyBorder="1" applyAlignment="1">
      <alignment horizontal="center" vertical="top" wrapText="1"/>
    </xf>
    <xf numFmtId="0" fontId="28" fillId="0" borderId="73" xfId="0" applyFont="1" applyBorder="1" applyAlignment="1">
      <alignment horizontal="center" vertical="center" wrapText="1"/>
    </xf>
    <xf numFmtId="0" fontId="29" fillId="0" borderId="73" xfId="0" applyFont="1" applyBorder="1" applyAlignment="1">
      <alignment horizontal="center" vertical="center" wrapText="1"/>
    </xf>
    <xf numFmtId="0" fontId="29" fillId="0" borderId="27" xfId="0" applyFont="1" applyBorder="1" applyAlignment="1">
      <alignment horizontal="center" vertical="center" wrapText="1"/>
    </xf>
    <xf numFmtId="0" fontId="6" fillId="0" borderId="72" xfId="0" applyFont="1" applyBorder="1" applyAlignment="1">
      <alignment horizontal="center" vertical="center" wrapText="1"/>
    </xf>
    <xf numFmtId="0" fontId="28" fillId="8" borderId="66" xfId="0" applyFont="1" applyFill="1" applyBorder="1" applyAlignment="1">
      <alignment horizontal="center" vertical="top" wrapText="1"/>
    </xf>
    <xf numFmtId="0" fontId="14" fillId="18" borderId="63" xfId="0" applyFont="1" applyFill="1" applyBorder="1" applyAlignment="1">
      <alignment horizontal="center" vertical="top" wrapText="1"/>
    </xf>
    <xf numFmtId="0" fontId="14" fillId="18" borderId="23" xfId="0" applyFont="1" applyFill="1" applyBorder="1" applyAlignment="1">
      <alignment horizontal="center" vertical="top" wrapText="1"/>
    </xf>
    <xf numFmtId="14" fontId="5" fillId="18" borderId="23" xfId="0" applyNumberFormat="1" applyFont="1" applyFill="1" applyBorder="1" applyAlignment="1">
      <alignment horizontal="center" vertical="top" wrapText="1"/>
    </xf>
    <xf numFmtId="165" fontId="5" fillId="18" borderId="23" xfId="0" applyNumberFormat="1" applyFont="1" applyFill="1" applyBorder="1" applyAlignment="1">
      <alignment horizontal="center" vertical="top" wrapText="1"/>
    </xf>
    <xf numFmtId="0" fontId="5" fillId="18" borderId="34" xfId="0" applyFont="1" applyFill="1" applyBorder="1" applyAlignment="1">
      <alignment vertical="top" wrapText="1"/>
    </xf>
    <xf numFmtId="0" fontId="5" fillId="18" borderId="63" xfId="0" applyFont="1" applyFill="1" applyBorder="1" applyAlignment="1">
      <alignment vertical="top" wrapText="1"/>
    </xf>
    <xf numFmtId="167" fontId="5" fillId="18" borderId="23" xfId="0" applyNumberFormat="1" applyFont="1" applyFill="1" applyBorder="1" applyAlignment="1">
      <alignment horizontal="center" vertical="top" wrapText="1"/>
    </xf>
    <xf numFmtId="0" fontId="28" fillId="18" borderId="34" xfId="0" applyFont="1" applyFill="1" applyBorder="1" applyAlignment="1">
      <alignment vertical="top" wrapText="1"/>
    </xf>
    <xf numFmtId="0" fontId="33" fillId="18" borderId="34" xfId="0" applyFont="1" applyFill="1" applyBorder="1" applyAlignment="1">
      <alignment vertical="top" wrapText="1"/>
    </xf>
    <xf numFmtId="0" fontId="5" fillId="13" borderId="68" xfId="0" applyFont="1" applyFill="1" applyBorder="1" applyAlignment="1">
      <alignment vertical="top" wrapText="1"/>
    </xf>
    <xf numFmtId="0" fontId="5" fillId="13" borderId="69" xfId="0" applyFont="1" applyFill="1" applyBorder="1" applyAlignment="1">
      <alignment vertical="top" wrapText="1"/>
    </xf>
    <xf numFmtId="0" fontId="5" fillId="13" borderId="58" xfId="0" applyFont="1" applyFill="1" applyBorder="1" applyAlignment="1">
      <alignment horizontal="center" vertical="top" wrapText="1"/>
    </xf>
    <xf numFmtId="0" fontId="5" fillId="13" borderId="58" xfId="0" applyFont="1" applyFill="1" applyBorder="1" applyAlignment="1">
      <alignment vertical="top" wrapText="1"/>
    </xf>
    <xf numFmtId="0" fontId="33" fillId="13" borderId="68" xfId="0" applyFont="1" applyFill="1" applyBorder="1" applyAlignment="1">
      <alignment vertical="top" wrapText="1"/>
    </xf>
    <xf numFmtId="0" fontId="33" fillId="13" borderId="58" xfId="0" applyFont="1" applyFill="1" applyBorder="1" applyAlignment="1">
      <alignment vertical="top" wrapText="1"/>
    </xf>
    <xf numFmtId="4" fontId="5" fillId="13" borderId="68" xfId="0" applyNumberFormat="1" applyFont="1" applyFill="1" applyBorder="1" applyAlignment="1">
      <alignment vertical="top" wrapText="1"/>
    </xf>
    <xf numFmtId="4" fontId="32" fillId="13" borderId="69" xfId="0" applyNumberFormat="1" applyFont="1" applyFill="1" applyBorder="1" applyAlignment="1">
      <alignment vertical="top" wrapText="1"/>
    </xf>
    <xf numFmtId="4" fontId="33" fillId="13" borderId="58" xfId="0" applyNumberFormat="1" applyFont="1" applyFill="1" applyBorder="1" applyAlignment="1">
      <alignment vertical="top" wrapText="1"/>
    </xf>
    <xf numFmtId="4" fontId="14" fillId="13" borderId="68" xfId="0" applyNumberFormat="1" applyFont="1" applyFill="1" applyBorder="1" applyAlignment="1">
      <alignment vertical="top" wrapText="1"/>
    </xf>
    <xf numFmtId="4" fontId="28" fillId="13" borderId="58" xfId="0" applyNumberFormat="1" applyFont="1" applyFill="1" applyBorder="1" applyAlignment="1">
      <alignment vertical="top" wrapText="1"/>
    </xf>
    <xf numFmtId="40" fontId="33" fillId="13" borderId="68" xfId="0" applyNumberFormat="1" applyFont="1" applyFill="1" applyBorder="1" applyAlignment="1">
      <alignment vertical="top" wrapText="1"/>
    </xf>
    <xf numFmtId="40" fontId="33" fillId="13" borderId="69" xfId="0" applyNumberFormat="1" applyFont="1" applyFill="1" applyBorder="1" applyAlignment="1">
      <alignment vertical="top" wrapText="1"/>
    </xf>
    <xf numFmtId="167" fontId="5" fillId="0" borderId="35" xfId="0" applyNumberFormat="1" applyFont="1" applyBorder="1" applyAlignment="1">
      <alignment horizontal="center" vertical="top" wrapText="1"/>
    </xf>
    <xf numFmtId="44" fontId="23" fillId="0" borderId="70" xfId="0" applyNumberFormat="1" applyFont="1" applyBorder="1" applyAlignment="1">
      <alignment vertical="top"/>
    </xf>
    <xf numFmtId="4" fontId="32" fillId="18" borderId="23" xfId="0" applyNumberFormat="1" applyFont="1" applyFill="1" applyBorder="1" applyAlignment="1">
      <alignment vertical="top" wrapText="1"/>
    </xf>
    <xf numFmtId="167" fontId="32" fillId="0" borderId="23" xfId="0" applyNumberFormat="1" applyFont="1" applyBorder="1" applyAlignment="1">
      <alignment horizontal="center" vertical="top" wrapText="1"/>
    </xf>
    <xf numFmtId="0" fontId="28" fillId="0" borderId="66" xfId="0" applyFont="1" applyBorder="1" applyAlignment="1">
      <alignment horizontal="center" vertical="top" wrapText="1"/>
    </xf>
    <xf numFmtId="0" fontId="33" fillId="0" borderId="73" xfId="0" applyFont="1" applyBorder="1" applyAlignment="1">
      <alignment vertical="top" wrapText="1"/>
    </xf>
    <xf numFmtId="167" fontId="32" fillId="0" borderId="35" xfId="0" applyNumberFormat="1" applyFont="1" applyBorder="1" applyAlignment="1">
      <alignment horizontal="center" vertical="top" wrapText="1"/>
    </xf>
    <xf numFmtId="0" fontId="5" fillId="18" borderId="75" xfId="0" applyFont="1" applyFill="1" applyBorder="1" applyAlignment="1">
      <alignment vertical="top" wrapText="1"/>
    </xf>
    <xf numFmtId="0" fontId="28" fillId="18" borderId="73" xfId="0" applyFont="1" applyFill="1" applyBorder="1" applyAlignment="1">
      <alignment vertical="top" wrapText="1"/>
    </xf>
    <xf numFmtId="0" fontId="28" fillId="6" borderId="64" xfId="0" applyFont="1" applyFill="1" applyBorder="1" applyAlignment="1">
      <alignment horizontal="center" vertical="top" wrapText="1"/>
    </xf>
    <xf numFmtId="0" fontId="6" fillId="6" borderId="34" xfId="0" applyFont="1" applyFill="1" applyBorder="1" applyAlignment="1">
      <alignment vertical="top" wrapText="1"/>
    </xf>
    <xf numFmtId="17" fontId="12" fillId="6" borderId="34" xfId="0" applyNumberFormat="1" applyFont="1" applyFill="1" applyBorder="1" applyAlignment="1">
      <alignment vertical="top" wrapText="1"/>
    </xf>
    <xf numFmtId="6" fontId="26" fillId="6" borderId="21" xfId="0" applyNumberFormat="1" applyFont="1" applyFill="1" applyBorder="1" applyAlignment="1">
      <alignment vertical="top" wrapText="1"/>
    </xf>
    <xf numFmtId="0" fontId="26" fillId="6" borderId="34" xfId="0" applyFont="1" applyFill="1" applyBorder="1" applyAlignment="1">
      <alignment horizontal="left" vertical="top" wrapText="1"/>
    </xf>
    <xf numFmtId="0" fontId="28" fillId="6" borderId="63" xfId="0" applyFont="1" applyFill="1" applyBorder="1" applyAlignment="1">
      <alignment horizontal="center" vertical="top" wrapText="1"/>
    </xf>
    <xf numFmtId="0" fontId="26" fillId="6" borderId="22" xfId="0" applyFont="1" applyFill="1" applyBorder="1" applyAlignment="1">
      <alignment vertical="top" wrapText="1"/>
    </xf>
    <xf numFmtId="167" fontId="32" fillId="6" borderId="23" xfId="0" applyNumberFormat="1" applyFont="1" applyFill="1" applyBorder="1" applyAlignment="1">
      <alignment horizontal="center" vertical="top" wrapText="1"/>
    </xf>
    <xf numFmtId="167" fontId="32" fillId="0" borderId="32" xfId="0" applyNumberFormat="1" applyFont="1" applyBorder="1" applyAlignment="1">
      <alignment horizontal="center" vertical="top" wrapText="1"/>
    </xf>
    <xf numFmtId="0" fontId="25" fillId="0" borderId="26" xfId="0" applyFont="1" applyBorder="1" applyAlignment="1">
      <alignment vertical="top" wrapText="1"/>
    </xf>
    <xf numFmtId="0" fontId="7" fillId="6" borderId="52" xfId="0" applyFont="1" applyFill="1" applyBorder="1" applyAlignment="1">
      <alignment vertical="top"/>
    </xf>
    <xf numFmtId="0" fontId="7" fillId="6" borderId="77" xfId="0" applyFont="1" applyFill="1" applyBorder="1" applyAlignment="1">
      <alignment vertical="top" wrapText="1"/>
    </xf>
    <xf numFmtId="17" fontId="7" fillId="6" borderId="77" xfId="0" applyNumberFormat="1" applyFont="1" applyFill="1" applyBorder="1" applyAlignment="1">
      <alignment vertical="top" wrapText="1"/>
    </xf>
    <xf numFmtId="17" fontId="6" fillId="6" borderId="77" xfId="0" applyNumberFormat="1" applyFont="1" applyFill="1" applyBorder="1" applyAlignment="1">
      <alignment horizontal="left" vertical="top"/>
    </xf>
    <xf numFmtId="0" fontId="7" fillId="6" borderId="77" xfId="0" applyFont="1" applyFill="1" applyBorder="1" applyAlignment="1">
      <alignment horizontal="left" vertical="top"/>
    </xf>
    <xf numFmtId="17" fontId="7" fillId="10" borderId="77" xfId="0" applyNumberFormat="1" applyFont="1" applyFill="1" applyBorder="1" applyAlignment="1">
      <alignment horizontal="left" vertical="top" wrapText="1"/>
    </xf>
    <xf numFmtId="0" fontId="7" fillId="6" borderId="77" xfId="0" applyFont="1" applyFill="1" applyBorder="1" applyAlignment="1">
      <alignment vertical="top"/>
    </xf>
    <xf numFmtId="166" fontId="12" fillId="6" borderId="77" xfId="0" applyNumberFormat="1" applyFont="1" applyFill="1" applyBorder="1" applyAlignment="1">
      <alignment horizontal="center" vertical="top" wrapText="1"/>
    </xf>
    <xf numFmtId="0" fontId="25" fillId="6" borderId="77" xfId="0" applyFont="1" applyFill="1" applyBorder="1" applyAlignment="1">
      <alignment horizontal="right" vertical="top"/>
    </xf>
    <xf numFmtId="0" fontId="25" fillId="6" borderId="77" xfId="0" applyFont="1" applyFill="1" applyBorder="1" applyAlignment="1">
      <alignment vertical="top"/>
    </xf>
    <xf numFmtId="17" fontId="25" fillId="6" borderId="77" xfId="0" applyNumberFormat="1" applyFont="1" applyFill="1" applyBorder="1" applyAlignment="1">
      <alignment vertical="top"/>
    </xf>
    <xf numFmtId="0" fontId="25" fillId="10" borderId="77" xfId="0" applyFont="1" applyFill="1" applyBorder="1" applyAlignment="1">
      <alignment vertical="top"/>
    </xf>
    <xf numFmtId="0" fontId="14" fillId="0" borderId="80" xfId="0" applyFont="1" applyBorder="1" applyAlignment="1">
      <alignment horizontal="center" vertical="top" wrapText="1"/>
    </xf>
    <xf numFmtId="0" fontId="14" fillId="0" borderId="78" xfId="0" applyFont="1" applyBorder="1" applyAlignment="1">
      <alignment horizontal="center" vertical="top" wrapText="1"/>
    </xf>
    <xf numFmtId="14" fontId="5" fillId="0" borderId="78" xfId="0" applyNumberFormat="1" applyFont="1" applyBorder="1" applyAlignment="1">
      <alignment horizontal="center" vertical="top" wrapText="1"/>
    </xf>
    <xf numFmtId="0" fontId="32" fillId="0" borderId="78" xfId="0" applyFont="1" applyBorder="1" applyAlignment="1">
      <alignment horizontal="center" vertical="top" wrapText="1"/>
    </xf>
    <xf numFmtId="0" fontId="5" fillId="0" borderId="79" xfId="0" applyFont="1" applyBorder="1" applyAlignment="1">
      <alignment vertical="top" wrapText="1"/>
    </xf>
    <xf numFmtId="0" fontId="5" fillId="0" borderId="80" xfId="0" applyFont="1" applyBorder="1" applyAlignment="1">
      <alignment vertical="top" wrapText="1"/>
    </xf>
    <xf numFmtId="0" fontId="5" fillId="0" borderId="78" xfId="0" applyFont="1" applyBorder="1" applyAlignment="1">
      <alignment vertical="top" wrapText="1"/>
    </xf>
    <xf numFmtId="14" fontId="5" fillId="0" borderId="79" xfId="0" applyNumberFormat="1" applyFont="1" applyBorder="1" applyAlignment="1">
      <alignment horizontal="center" vertical="top" wrapText="1"/>
    </xf>
    <xf numFmtId="0" fontId="33" fillId="0" borderId="80" xfId="0" applyFont="1" applyBorder="1" applyAlignment="1">
      <alignment vertical="top" wrapText="1"/>
    </xf>
    <xf numFmtId="0" fontId="33" fillId="0" borderId="79" xfId="0" applyFont="1" applyBorder="1" applyAlignment="1">
      <alignment vertical="top" wrapText="1"/>
    </xf>
    <xf numFmtId="4" fontId="5" fillId="0" borderId="80" xfId="0" applyNumberFormat="1" applyFont="1" applyBorder="1" applyAlignment="1">
      <alignment vertical="top" wrapText="1"/>
    </xf>
    <xf numFmtId="4" fontId="32" fillId="0" borderId="78" xfId="0" applyNumberFormat="1" applyFont="1" applyBorder="1" applyAlignment="1">
      <alignment vertical="top" wrapText="1"/>
    </xf>
    <xf numFmtId="4" fontId="33" fillId="0" borderId="79" xfId="0" applyNumberFormat="1" applyFont="1" applyBorder="1" applyAlignment="1">
      <alignment vertical="top" wrapText="1"/>
    </xf>
    <xf numFmtId="4" fontId="5" fillId="10" borderId="80" xfId="0" applyNumberFormat="1" applyFont="1" applyFill="1" applyBorder="1" applyAlignment="1">
      <alignment vertical="top" wrapText="1"/>
    </xf>
    <xf numFmtId="4" fontId="32" fillId="10" borderId="78" xfId="0" applyNumberFormat="1" applyFont="1" applyFill="1" applyBorder="1" applyAlignment="1">
      <alignment vertical="top" wrapText="1"/>
    </xf>
    <xf numFmtId="4" fontId="33" fillId="10" borderId="79" xfId="0" applyNumberFormat="1" applyFont="1" applyFill="1" applyBorder="1" applyAlignment="1">
      <alignment vertical="top" wrapText="1"/>
    </xf>
    <xf numFmtId="4" fontId="14" fillId="0" borderId="80" xfId="0" applyNumberFormat="1" applyFont="1" applyBorder="1" applyAlignment="1">
      <alignment vertical="top" wrapText="1"/>
    </xf>
    <xf numFmtId="4" fontId="28" fillId="0" borderId="79" xfId="0" applyNumberFormat="1" applyFont="1" applyBorder="1" applyAlignment="1">
      <alignment vertical="top" wrapText="1"/>
    </xf>
    <xf numFmtId="40" fontId="33" fillId="0" borderId="80" xfId="0" applyNumberFormat="1" applyFont="1" applyBorder="1" applyAlignment="1">
      <alignment vertical="top" wrapText="1"/>
    </xf>
    <xf numFmtId="40" fontId="33" fillId="0" borderId="78" xfId="0" applyNumberFormat="1" applyFont="1" applyBorder="1" applyAlignment="1">
      <alignment vertical="top" wrapText="1"/>
    </xf>
    <xf numFmtId="40" fontId="33" fillId="10" borderId="78" xfId="0" applyNumberFormat="1" applyFont="1" applyFill="1" applyBorder="1" applyAlignment="1">
      <alignment vertical="top" wrapText="1"/>
    </xf>
    <xf numFmtId="0" fontId="14" fillId="0" borderId="81" xfId="0" applyFont="1" applyBorder="1" applyAlignment="1">
      <alignment horizontal="center" vertical="top" wrapText="1"/>
    </xf>
    <xf numFmtId="0" fontId="14" fillId="0" borderId="82" xfId="0" applyFont="1" applyBorder="1" applyAlignment="1">
      <alignment horizontal="center" vertical="top" wrapText="1"/>
    </xf>
    <xf numFmtId="0" fontId="5" fillId="0" borderId="83" xfId="0" applyFont="1" applyBorder="1" applyAlignment="1">
      <alignment vertical="top" wrapText="1"/>
    </xf>
    <xf numFmtId="0" fontId="5" fillId="0" borderId="6" xfId="0" applyFont="1" applyBorder="1" applyAlignment="1">
      <alignment vertical="top" wrapText="1"/>
    </xf>
    <xf numFmtId="0" fontId="5" fillId="0" borderId="82" xfId="0" applyFont="1" applyBorder="1" applyAlignment="1">
      <alignment vertical="top" wrapText="1"/>
    </xf>
    <xf numFmtId="0" fontId="5" fillId="0" borderId="81" xfId="0" applyFont="1" applyBorder="1" applyAlignment="1">
      <alignment vertical="top" wrapText="1"/>
    </xf>
    <xf numFmtId="0" fontId="5" fillId="0" borderId="17" xfId="0" applyFont="1" applyBorder="1" applyAlignment="1">
      <alignment vertical="top" wrapText="1"/>
    </xf>
    <xf numFmtId="0" fontId="33" fillId="0" borderId="83" xfId="0" applyFont="1" applyBorder="1" applyAlignment="1">
      <alignment vertical="top" wrapText="1"/>
    </xf>
    <xf numFmtId="4" fontId="5" fillId="0" borderId="81" xfId="0" applyNumberFormat="1" applyFont="1" applyBorder="1" applyAlignment="1">
      <alignment vertical="top" wrapText="1"/>
    </xf>
    <xf numFmtId="4" fontId="32" fillId="0" borderId="82" xfId="0" applyNumberFormat="1" applyFont="1" applyBorder="1" applyAlignment="1">
      <alignment vertical="top" wrapText="1"/>
    </xf>
    <xf numFmtId="4" fontId="33" fillId="0" borderId="83" xfId="0" applyNumberFormat="1" applyFont="1" applyBorder="1" applyAlignment="1">
      <alignment vertical="top" wrapText="1"/>
    </xf>
    <xf numFmtId="4" fontId="5" fillId="10" borderId="81" xfId="0" applyNumberFormat="1" applyFont="1" applyFill="1" applyBorder="1" applyAlignment="1">
      <alignment vertical="top" wrapText="1"/>
    </xf>
    <xf numFmtId="4" fontId="32" fillId="10" borderId="82" xfId="0" applyNumberFormat="1" applyFont="1" applyFill="1" applyBorder="1" applyAlignment="1">
      <alignment vertical="top" wrapText="1"/>
    </xf>
    <xf numFmtId="4" fontId="33" fillId="10" borderId="83" xfId="0" applyNumberFormat="1" applyFont="1" applyFill="1" applyBorder="1" applyAlignment="1">
      <alignment vertical="top" wrapText="1"/>
    </xf>
    <xf numFmtId="4" fontId="14" fillId="0" borderId="81" xfId="0" applyNumberFormat="1" applyFont="1" applyBorder="1" applyAlignment="1">
      <alignment vertical="top" wrapText="1"/>
    </xf>
    <xf numFmtId="4" fontId="28" fillId="0" borderId="83" xfId="0" applyNumberFormat="1" applyFont="1" applyBorder="1" applyAlignment="1">
      <alignment vertical="top" wrapText="1"/>
    </xf>
    <xf numFmtId="40" fontId="33" fillId="0" borderId="81" xfId="0" applyNumberFormat="1" applyFont="1" applyBorder="1" applyAlignment="1">
      <alignment vertical="top" wrapText="1"/>
    </xf>
    <xf numFmtId="40" fontId="33" fillId="0" borderId="82" xfId="0" applyNumberFormat="1" applyFont="1" applyBorder="1" applyAlignment="1">
      <alignment vertical="top" wrapText="1"/>
    </xf>
    <xf numFmtId="40" fontId="33" fillId="10" borderId="82" xfId="0" applyNumberFormat="1" applyFont="1" applyFill="1" applyBorder="1" applyAlignment="1">
      <alignment vertical="top" wrapText="1"/>
    </xf>
    <xf numFmtId="8" fontId="14" fillId="8" borderId="3" xfId="2" applyNumberFormat="1" applyFont="1" applyFill="1" applyBorder="1" applyAlignment="1" applyProtection="1">
      <alignment vertical="top" wrapText="1"/>
    </xf>
    <xf numFmtId="8" fontId="33" fillId="8" borderId="3" xfId="0" applyNumberFormat="1" applyFont="1" applyFill="1" applyBorder="1" applyAlignment="1">
      <alignment vertical="top" wrapText="1"/>
    </xf>
    <xf numFmtId="14" fontId="5" fillId="0" borderId="82" xfId="0" applyNumberFormat="1" applyFont="1" applyBorder="1" applyAlignment="1">
      <alignment horizontal="center" vertical="top" wrapText="1"/>
    </xf>
    <xf numFmtId="14" fontId="5" fillId="0" borderId="17" xfId="0" applyNumberFormat="1" applyFont="1" applyBorder="1" applyAlignment="1">
      <alignment horizontal="center" vertical="top" wrapText="1"/>
    </xf>
    <xf numFmtId="44" fontId="7" fillId="10" borderId="13" xfId="0" applyNumberFormat="1" applyFont="1" applyFill="1" applyBorder="1" applyAlignment="1">
      <alignment horizontal="left" vertical="top"/>
    </xf>
    <xf numFmtId="44" fontId="6" fillId="10" borderId="14" xfId="2" applyFont="1" applyFill="1" applyBorder="1" applyAlignment="1" applyProtection="1">
      <alignment horizontal="right" vertical="top"/>
    </xf>
    <xf numFmtId="44" fontId="6" fillId="10" borderId="14" xfId="2" applyFont="1" applyFill="1" applyBorder="1" applyAlignment="1" applyProtection="1">
      <alignment horizontal="left" vertical="top"/>
    </xf>
    <xf numFmtId="44" fontId="11" fillId="10" borderId="4" xfId="0" applyNumberFormat="1" applyFont="1" applyFill="1" applyBorder="1" applyAlignment="1">
      <alignment horizontal="left" vertical="top"/>
    </xf>
    <xf numFmtId="44" fontId="11" fillId="10" borderId="9" xfId="0" applyNumberFormat="1" applyFont="1" applyFill="1" applyBorder="1" applyAlignment="1">
      <alignment horizontal="right" vertical="top"/>
    </xf>
    <xf numFmtId="44" fontId="11" fillId="10" borderId="9" xfId="0" applyNumberFormat="1" applyFont="1" applyFill="1" applyBorder="1" applyAlignment="1">
      <alignment horizontal="left" vertical="top"/>
    </xf>
    <xf numFmtId="44" fontId="6" fillId="10" borderId="4" xfId="0" applyNumberFormat="1" applyFont="1" applyFill="1" applyBorder="1" applyAlignment="1">
      <alignment horizontal="left" vertical="top"/>
    </xf>
    <xf numFmtId="169" fontId="6" fillId="10" borderId="17" xfId="1" applyNumberFormat="1" applyFont="1" applyFill="1" applyBorder="1" applyAlignment="1" applyProtection="1">
      <alignment vertical="top"/>
    </xf>
    <xf numFmtId="8" fontId="10" fillId="10" borderId="13" xfId="0" applyNumberFormat="1" applyFont="1" applyFill="1" applyBorder="1" applyAlignment="1">
      <alignment horizontal="right" vertical="top"/>
    </xf>
    <xf numFmtId="8" fontId="10" fillId="10" borderId="14" xfId="2" applyNumberFormat="1" applyFont="1" applyFill="1" applyBorder="1" applyAlignment="1" applyProtection="1">
      <alignment vertical="top"/>
    </xf>
    <xf numFmtId="8" fontId="11" fillId="10" borderId="4" xfId="0" applyNumberFormat="1" applyFont="1" applyFill="1" applyBorder="1" applyAlignment="1">
      <alignment horizontal="right" vertical="top"/>
    </xf>
    <xf numFmtId="8" fontId="11" fillId="10" borderId="0" xfId="0" applyNumberFormat="1" applyFont="1" applyFill="1" applyAlignment="1">
      <alignment vertical="top"/>
    </xf>
    <xf numFmtId="8" fontId="10" fillId="10" borderId="4" xfId="0" applyNumberFormat="1" applyFont="1" applyFill="1" applyBorder="1" applyAlignment="1">
      <alignment horizontal="right" vertical="top"/>
    </xf>
    <xf numFmtId="169" fontId="10" fillId="10" borderId="0" xfId="1" applyNumberFormat="1" applyFont="1" applyFill="1" applyAlignment="1" applyProtection="1">
      <alignment vertical="top"/>
    </xf>
    <xf numFmtId="8" fontId="14" fillId="6" borderId="3" xfId="2" applyNumberFormat="1" applyFont="1" applyFill="1" applyBorder="1" applyAlignment="1" applyProtection="1">
      <alignment vertical="top" wrapText="1"/>
    </xf>
    <xf numFmtId="8" fontId="33" fillId="6" borderId="3" xfId="0" applyNumberFormat="1" applyFont="1" applyFill="1" applyBorder="1" applyAlignment="1">
      <alignment vertical="top" wrapText="1"/>
    </xf>
    <xf numFmtId="0" fontId="14" fillId="6" borderId="85" xfId="0" applyFont="1" applyFill="1" applyBorder="1" applyAlignment="1">
      <alignment horizontal="center" vertical="top" wrapText="1"/>
    </xf>
    <xf numFmtId="0" fontId="14" fillId="6" borderId="86" xfId="0" applyFont="1" applyFill="1" applyBorder="1" applyAlignment="1">
      <alignment horizontal="center" vertical="top" wrapText="1"/>
    </xf>
    <xf numFmtId="14" fontId="5" fillId="6" borderId="86" xfId="0" applyNumberFormat="1" applyFont="1" applyFill="1" applyBorder="1" applyAlignment="1">
      <alignment horizontal="center" vertical="top" wrapText="1"/>
    </xf>
    <xf numFmtId="165" fontId="5" fillId="6" borderId="86" xfId="0" applyNumberFormat="1" applyFont="1" applyFill="1" applyBorder="1" applyAlignment="1">
      <alignment horizontal="center" vertical="top" wrapText="1"/>
    </xf>
    <xf numFmtId="167" fontId="5" fillId="6" borderId="86" xfId="0" applyNumberFormat="1" applyFont="1" applyFill="1" applyBorder="1" applyAlignment="1">
      <alignment horizontal="center" vertical="top" wrapText="1"/>
    </xf>
    <xf numFmtId="0" fontId="5" fillId="6" borderId="84" xfId="0" applyFont="1" applyFill="1" applyBorder="1" applyAlignment="1">
      <alignment vertical="top" wrapText="1"/>
    </xf>
    <xf numFmtId="0" fontId="5" fillId="6" borderId="85" xfId="0" applyFont="1" applyFill="1" applyBorder="1" applyAlignment="1">
      <alignment vertical="top" wrapText="1"/>
    </xf>
    <xf numFmtId="0" fontId="5" fillId="6" borderId="86" xfId="0" applyFont="1" applyFill="1" applyBorder="1" applyAlignment="1">
      <alignment vertical="top" wrapText="1"/>
    </xf>
    <xf numFmtId="14" fontId="5" fillId="6" borderId="84" xfId="0" applyNumberFormat="1" applyFont="1" applyFill="1" applyBorder="1" applyAlignment="1">
      <alignment horizontal="center" vertical="top" wrapText="1"/>
    </xf>
    <xf numFmtId="0" fontId="33" fillId="6" borderId="85" xfId="0" applyFont="1" applyFill="1" applyBorder="1" applyAlignment="1">
      <alignment vertical="top" wrapText="1"/>
    </xf>
    <xf numFmtId="0" fontId="33" fillId="6" borderId="84" xfId="0" applyFont="1" applyFill="1" applyBorder="1" applyAlignment="1">
      <alignment vertical="top" wrapText="1"/>
    </xf>
    <xf numFmtId="4" fontId="5" fillId="6" borderId="85" xfId="0" applyNumberFormat="1" applyFont="1" applyFill="1" applyBorder="1" applyAlignment="1">
      <alignment vertical="top" wrapText="1"/>
    </xf>
    <xf numFmtId="4" fontId="32" fillId="6" borderId="86" xfId="0" applyNumberFormat="1" applyFont="1" applyFill="1" applyBorder="1" applyAlignment="1">
      <alignment vertical="top" wrapText="1"/>
    </xf>
    <xf numFmtId="4" fontId="33" fillId="6" borderId="84" xfId="0" applyNumberFormat="1" applyFont="1" applyFill="1" applyBorder="1" applyAlignment="1">
      <alignment vertical="top" wrapText="1"/>
    </xf>
    <xf numFmtId="4" fontId="5" fillId="10" borderId="85" xfId="0" applyNumberFormat="1" applyFont="1" applyFill="1" applyBorder="1" applyAlignment="1">
      <alignment vertical="top" wrapText="1"/>
    </xf>
    <xf numFmtId="4" fontId="32" fillId="10" borderId="86" xfId="0" applyNumberFormat="1" applyFont="1" applyFill="1" applyBorder="1" applyAlignment="1">
      <alignment vertical="top" wrapText="1"/>
    </xf>
    <xf numFmtId="4" fontId="33" fillId="10" borderId="84" xfId="0" applyNumberFormat="1" applyFont="1" applyFill="1" applyBorder="1" applyAlignment="1">
      <alignment vertical="top" wrapText="1"/>
    </xf>
    <xf numFmtId="4" fontId="14" fillId="6" borderId="85" xfId="0" applyNumberFormat="1" applyFont="1" applyFill="1" applyBorder="1" applyAlignment="1">
      <alignment vertical="top" wrapText="1"/>
    </xf>
    <xf numFmtId="4" fontId="28" fillId="6" borderId="84" xfId="0" applyNumberFormat="1" applyFont="1" applyFill="1" applyBorder="1" applyAlignment="1">
      <alignment vertical="top" wrapText="1"/>
    </xf>
    <xf numFmtId="40" fontId="33" fillId="6" borderId="85" xfId="0" applyNumberFormat="1" applyFont="1" applyFill="1" applyBorder="1" applyAlignment="1">
      <alignment vertical="top" wrapText="1"/>
    </xf>
    <xf numFmtId="40" fontId="33" fillId="6" borderId="86" xfId="0" applyNumberFormat="1" applyFont="1" applyFill="1" applyBorder="1" applyAlignment="1">
      <alignment vertical="top" wrapText="1"/>
    </xf>
    <xf numFmtId="40" fontId="33" fillId="10" borderId="86" xfId="0" applyNumberFormat="1" applyFont="1" applyFill="1" applyBorder="1" applyAlignment="1">
      <alignment vertical="top" wrapText="1"/>
    </xf>
    <xf numFmtId="167" fontId="5" fillId="16" borderId="69" xfId="0" applyNumberFormat="1" applyFont="1" applyFill="1" applyBorder="1" applyAlignment="1">
      <alignment horizontal="center" vertical="top" wrapText="1"/>
    </xf>
    <xf numFmtId="8" fontId="14" fillId="8" borderId="55" xfId="2" applyNumberFormat="1" applyFont="1" applyFill="1" applyBorder="1" applyAlignment="1" applyProtection="1">
      <alignment vertical="top" wrapText="1"/>
    </xf>
    <xf numFmtId="8" fontId="33" fillId="8" borderId="55" xfId="0" applyNumberFormat="1" applyFont="1" applyFill="1" applyBorder="1" applyAlignment="1">
      <alignment vertical="top" wrapText="1"/>
    </xf>
    <xf numFmtId="6" fontId="33" fillId="8" borderId="55" xfId="2" applyNumberFormat="1" applyFont="1" applyFill="1" applyBorder="1" applyAlignment="1" applyProtection="1">
      <alignment vertical="top" wrapText="1"/>
    </xf>
    <xf numFmtId="17" fontId="26" fillId="6" borderId="34" xfId="0" applyNumberFormat="1" applyFont="1" applyFill="1" applyBorder="1" applyAlignment="1">
      <alignment horizontal="left" vertical="top" wrapText="1"/>
    </xf>
    <xf numFmtId="0" fontId="5" fillId="6" borderId="87" xfId="0" applyFont="1" applyFill="1" applyBorder="1" applyAlignment="1">
      <alignment vertical="top" wrapText="1"/>
    </xf>
    <xf numFmtId="0" fontId="5" fillId="6" borderId="88" xfId="0" applyFont="1" applyFill="1" applyBorder="1" applyAlignment="1">
      <alignment vertical="top" wrapText="1"/>
    </xf>
    <xf numFmtId="14" fontId="5" fillId="6" borderId="89" xfId="0" applyNumberFormat="1" applyFont="1" applyFill="1" applyBorder="1" applyAlignment="1">
      <alignment horizontal="center" vertical="top" wrapText="1"/>
    </xf>
    <xf numFmtId="0" fontId="14" fillId="6" borderId="90" xfId="0" applyFont="1" applyFill="1" applyBorder="1" applyAlignment="1">
      <alignment horizontal="center" vertical="top" wrapText="1"/>
    </xf>
    <xf numFmtId="0" fontId="14" fillId="6" borderId="88" xfId="0" applyFont="1" applyFill="1" applyBorder="1" applyAlignment="1">
      <alignment horizontal="center" vertical="top" wrapText="1"/>
    </xf>
    <xf numFmtId="14" fontId="5" fillId="6" borderId="88" xfId="0" applyNumberFormat="1" applyFont="1" applyFill="1" applyBorder="1" applyAlignment="1">
      <alignment horizontal="center" vertical="top" wrapText="1"/>
    </xf>
    <xf numFmtId="167" fontId="32" fillId="6" borderId="88" xfId="0" applyNumberFormat="1" applyFont="1" applyFill="1" applyBorder="1" applyAlignment="1">
      <alignment horizontal="center" vertical="top" wrapText="1"/>
    </xf>
    <xf numFmtId="0" fontId="5" fillId="6" borderId="91" xfId="0" applyFont="1" applyFill="1" applyBorder="1" applyAlignment="1">
      <alignment vertical="top" wrapText="1"/>
    </xf>
    <xf numFmtId="0" fontId="33" fillId="6" borderId="87" xfId="0" applyFont="1" applyFill="1" applyBorder="1" applyAlignment="1">
      <alignment vertical="top" wrapText="1"/>
    </xf>
    <xf numFmtId="17" fontId="25" fillId="6" borderId="34" xfId="0" applyNumberFormat="1" applyFont="1" applyFill="1" applyBorder="1" applyAlignment="1">
      <alignment horizontal="left" vertical="top" wrapText="1"/>
    </xf>
    <xf numFmtId="0" fontId="7" fillId="0" borderId="0" xfId="0" applyFont="1" applyAlignment="1">
      <alignment horizontal="left" vertical="top" wrapText="1"/>
    </xf>
    <xf numFmtId="0" fontId="7" fillId="0" borderId="89" xfId="0" applyFont="1" applyBorder="1" applyAlignment="1">
      <alignment vertical="top" wrapText="1"/>
    </xf>
    <xf numFmtId="0" fontId="7" fillId="0" borderId="93" xfId="0" applyFont="1" applyBorder="1" applyAlignment="1">
      <alignment vertical="top" wrapText="1"/>
    </xf>
    <xf numFmtId="0" fontId="32" fillId="6" borderId="23" xfId="0" applyFont="1" applyFill="1" applyBorder="1" applyAlignment="1">
      <alignment horizontal="center" vertical="top" wrapText="1"/>
    </xf>
    <xf numFmtId="40" fontId="33" fillId="10" borderId="88" xfId="0" applyNumberFormat="1" applyFont="1" applyFill="1" applyBorder="1" applyAlignment="1">
      <alignment vertical="top" wrapText="1"/>
    </xf>
    <xf numFmtId="40" fontId="33" fillId="6" borderId="87" xfId="0" applyNumberFormat="1" applyFont="1" applyFill="1" applyBorder="1" applyAlignment="1">
      <alignment vertical="top" wrapText="1"/>
    </xf>
    <xf numFmtId="40" fontId="33" fillId="6" borderId="88" xfId="0" applyNumberFormat="1" applyFont="1" applyFill="1" applyBorder="1" applyAlignment="1">
      <alignment vertical="top" wrapText="1"/>
    </xf>
    <xf numFmtId="8" fontId="14" fillId="0" borderId="0" xfId="2" applyNumberFormat="1" applyFont="1" applyFill="1" applyBorder="1" applyAlignment="1" applyProtection="1">
      <alignment vertical="top" wrapText="1"/>
    </xf>
    <xf numFmtId="8" fontId="33" fillId="0" borderId="0" xfId="0" applyNumberFormat="1" applyFont="1" applyAlignment="1">
      <alignment vertical="top" wrapText="1"/>
    </xf>
    <xf numFmtId="49" fontId="6" fillId="0" borderId="64" xfId="0" applyNumberFormat="1" applyFont="1" applyBorder="1" applyAlignment="1">
      <alignment horizontal="left" vertical="top" wrapText="1"/>
    </xf>
    <xf numFmtId="166" fontId="7" fillId="4" borderId="63" xfId="0" applyNumberFormat="1" applyFont="1" applyFill="1" applyBorder="1" applyAlignment="1">
      <alignment horizontal="left" vertical="top" wrapText="1"/>
    </xf>
    <xf numFmtId="166" fontId="7" fillId="4" borderId="23" xfId="0" applyNumberFormat="1" applyFont="1" applyFill="1" applyBorder="1" applyAlignment="1">
      <alignment horizontal="center" vertical="top" wrapText="1"/>
    </xf>
    <xf numFmtId="166" fontId="12" fillId="4" borderId="74" xfId="5" applyNumberFormat="1" applyFont="1" applyFill="1" applyBorder="1" applyAlignment="1">
      <alignment horizontal="left" vertical="top" wrapText="1"/>
    </xf>
    <xf numFmtId="166" fontId="12" fillId="4" borderId="93" xfId="5" applyNumberFormat="1" applyFont="1" applyFill="1" applyBorder="1" applyAlignment="1">
      <alignment horizontal="center" vertical="top" wrapText="1"/>
    </xf>
    <xf numFmtId="166" fontId="12" fillId="4" borderId="89" xfId="5" applyNumberFormat="1" applyFont="1" applyFill="1" applyBorder="1" applyAlignment="1">
      <alignment horizontal="center" vertical="top" wrapText="1"/>
    </xf>
    <xf numFmtId="0" fontId="7" fillId="0" borderId="90" xfId="5" applyFont="1" applyBorder="1" applyAlignment="1">
      <alignment vertical="top" wrapText="1"/>
    </xf>
    <xf numFmtId="17" fontId="7" fillId="0" borderId="89" xfId="5" applyNumberFormat="1" applyFont="1" applyBorder="1" applyAlignment="1">
      <alignment vertical="top" wrapText="1"/>
    </xf>
    <xf numFmtId="0" fontId="24" fillId="15" borderId="89" xfId="5" applyFont="1" applyFill="1" applyBorder="1" applyAlignment="1">
      <alignment vertical="top" wrapText="1"/>
    </xf>
    <xf numFmtId="17" fontId="7" fillId="10" borderId="89" xfId="5" applyNumberFormat="1" applyFont="1" applyFill="1" applyBorder="1" applyAlignment="1">
      <alignment horizontal="right" vertical="top" wrapText="1"/>
    </xf>
    <xf numFmtId="0" fontId="24" fillId="10" borderId="89" xfId="5" applyFont="1" applyFill="1" applyBorder="1" applyAlignment="1">
      <alignment vertical="top" wrapText="1"/>
    </xf>
    <xf numFmtId="0" fontId="25" fillId="15" borderId="74" xfId="5" applyFont="1" applyFill="1" applyBorder="1" applyAlignment="1">
      <alignment vertical="top" wrapText="1"/>
    </xf>
    <xf numFmtId="0" fontId="25" fillId="15" borderId="89" xfId="5" applyFont="1" applyFill="1" applyBorder="1" applyAlignment="1">
      <alignment vertical="top" wrapText="1"/>
    </xf>
    <xf numFmtId="44" fontId="7" fillId="10" borderId="20" xfId="5" applyNumberFormat="1" applyFont="1" applyFill="1" applyBorder="1" applyAlignment="1">
      <alignment vertical="top" wrapText="1"/>
    </xf>
    <xf numFmtId="0" fontId="7" fillId="10" borderId="27" xfId="5" applyFont="1" applyFill="1" applyBorder="1" applyAlignment="1">
      <alignment horizontal="right" vertical="top" wrapText="1"/>
    </xf>
    <xf numFmtId="0" fontId="7" fillId="10" borderId="27" xfId="5" applyFont="1" applyFill="1" applyBorder="1" applyAlignment="1">
      <alignment vertical="top" wrapText="1"/>
    </xf>
    <xf numFmtId="166" fontId="7" fillId="4" borderId="74" xfId="5" applyNumberFormat="1" applyFont="1" applyFill="1" applyBorder="1" applyAlignment="1">
      <alignment horizontal="left" vertical="top" wrapText="1"/>
    </xf>
    <xf numFmtId="166" fontId="7" fillId="4" borderId="93" xfId="5" applyNumberFormat="1" applyFont="1" applyFill="1" applyBorder="1" applyAlignment="1">
      <alignment horizontal="center" vertical="top" wrapText="1"/>
    </xf>
    <xf numFmtId="0" fontId="7" fillId="0" borderId="89" xfId="5" applyFont="1" applyBorder="1" applyAlignment="1">
      <alignment vertical="top" wrapText="1"/>
    </xf>
    <xf numFmtId="0" fontId="22" fillId="0" borderId="51" xfId="0" applyFont="1" applyBorder="1" applyAlignment="1">
      <alignment vertical="top" wrapText="1"/>
    </xf>
    <xf numFmtId="0" fontId="14" fillId="10" borderId="67" xfId="0" applyFont="1" applyFill="1" applyBorder="1" applyAlignment="1">
      <alignment horizontal="center" vertical="top" wrapText="1"/>
    </xf>
    <xf numFmtId="0" fontId="14" fillId="6" borderId="95" xfId="0" applyFont="1" applyFill="1" applyBorder="1" applyAlignment="1">
      <alignment horizontal="center" vertical="top" wrapText="1"/>
    </xf>
    <xf numFmtId="14" fontId="5" fillId="6" borderId="95" xfId="0" applyNumberFormat="1" applyFont="1" applyFill="1" applyBorder="1" applyAlignment="1">
      <alignment horizontal="center" vertical="top" wrapText="1"/>
    </xf>
    <xf numFmtId="165" fontId="5" fillId="6" borderId="95" xfId="0" applyNumberFormat="1" applyFont="1" applyFill="1" applyBorder="1" applyAlignment="1">
      <alignment horizontal="center" vertical="top" wrapText="1"/>
    </xf>
    <xf numFmtId="167" fontId="5" fillId="6" borderId="95" xfId="0" applyNumberFormat="1" applyFont="1" applyFill="1" applyBorder="1" applyAlignment="1">
      <alignment horizontal="center" vertical="top" wrapText="1"/>
    </xf>
    <xf numFmtId="0" fontId="5" fillId="6" borderId="94" xfId="0" applyFont="1" applyFill="1" applyBorder="1" applyAlignment="1">
      <alignment vertical="top" wrapText="1"/>
    </xf>
    <xf numFmtId="0" fontId="5" fillId="6" borderId="95" xfId="0" applyFont="1" applyFill="1" applyBorder="1" applyAlignment="1">
      <alignment vertical="top" wrapText="1"/>
    </xf>
    <xf numFmtId="14" fontId="5" fillId="6" borderId="94" xfId="0" applyNumberFormat="1" applyFont="1" applyFill="1" applyBorder="1" applyAlignment="1">
      <alignment horizontal="center" vertical="top" wrapText="1"/>
    </xf>
    <xf numFmtId="0" fontId="33" fillId="6" borderId="94" xfId="0" applyFont="1" applyFill="1" applyBorder="1" applyAlignment="1">
      <alignment vertical="top" wrapText="1"/>
    </xf>
    <xf numFmtId="4" fontId="32" fillId="6" borderId="95" xfId="0" applyNumberFormat="1" applyFont="1" applyFill="1" applyBorder="1" applyAlignment="1">
      <alignment vertical="top" wrapText="1"/>
    </xf>
    <xf numFmtId="4" fontId="33" fillId="6" borderId="94" xfId="0" applyNumberFormat="1" applyFont="1" applyFill="1" applyBorder="1" applyAlignment="1">
      <alignment vertical="top" wrapText="1"/>
    </xf>
    <xf numFmtId="4" fontId="32" fillId="10" borderId="95" xfId="0" applyNumberFormat="1" applyFont="1" applyFill="1" applyBorder="1" applyAlignment="1">
      <alignment vertical="top" wrapText="1"/>
    </xf>
    <xf numFmtId="4" fontId="33" fillId="10" borderId="94" xfId="0" applyNumberFormat="1" applyFont="1" applyFill="1" applyBorder="1" applyAlignment="1">
      <alignment vertical="top" wrapText="1"/>
    </xf>
    <xf numFmtId="4" fontId="28" fillId="6" borderId="94" xfId="0" applyNumberFormat="1" applyFont="1" applyFill="1" applyBorder="1" applyAlignment="1">
      <alignment vertical="top" wrapText="1"/>
    </xf>
    <xf numFmtId="40" fontId="33" fillId="6" borderId="95" xfId="0" applyNumberFormat="1" applyFont="1" applyFill="1" applyBorder="1" applyAlignment="1">
      <alignment vertical="top" wrapText="1"/>
    </xf>
    <xf numFmtId="40" fontId="33" fillId="10" borderId="95" xfId="0" applyNumberFormat="1" applyFont="1" applyFill="1" applyBorder="1" applyAlignment="1">
      <alignment vertical="top" wrapText="1"/>
    </xf>
    <xf numFmtId="0" fontId="7" fillId="6" borderId="94" xfId="0" applyFont="1" applyFill="1" applyBorder="1" applyAlignment="1">
      <alignment vertical="top" wrapText="1"/>
    </xf>
    <xf numFmtId="17" fontId="7" fillId="6" borderId="94" xfId="0" applyNumberFormat="1" applyFont="1" applyFill="1" applyBorder="1" applyAlignment="1">
      <alignment vertical="top" wrapText="1"/>
    </xf>
    <xf numFmtId="17" fontId="6" fillId="6" borderId="94" xfId="0" applyNumberFormat="1" applyFont="1" applyFill="1" applyBorder="1" applyAlignment="1">
      <alignment horizontal="left" vertical="top" wrapText="1"/>
    </xf>
    <xf numFmtId="0" fontId="7" fillId="6" borderId="94" xfId="0" applyFont="1" applyFill="1" applyBorder="1" applyAlignment="1">
      <alignment horizontal="left" vertical="top" wrapText="1"/>
    </xf>
    <xf numFmtId="17" fontId="7" fillId="10" borderId="94" xfId="0" applyNumberFormat="1" applyFont="1" applyFill="1" applyBorder="1" applyAlignment="1">
      <alignment horizontal="left" vertical="top" wrapText="1"/>
    </xf>
    <xf numFmtId="0" fontId="25" fillId="6" borderId="94" xfId="0" applyFont="1" applyFill="1" applyBorder="1" applyAlignment="1">
      <alignment horizontal="right" vertical="top" wrapText="1"/>
    </xf>
    <xf numFmtId="0" fontId="25" fillId="6" borderId="94" xfId="0" applyFont="1" applyFill="1" applyBorder="1" applyAlignment="1">
      <alignment vertical="top" wrapText="1"/>
    </xf>
    <xf numFmtId="17" fontId="25" fillId="6" borderId="94" xfId="0" applyNumberFormat="1" applyFont="1" applyFill="1" applyBorder="1" applyAlignment="1">
      <alignment vertical="top" wrapText="1"/>
    </xf>
    <xf numFmtId="0" fontId="25" fillId="10" borderId="94" xfId="0" applyFont="1" applyFill="1" applyBorder="1" applyAlignment="1">
      <alignment vertical="top" wrapText="1"/>
    </xf>
    <xf numFmtId="40" fontId="28" fillId="0" borderId="89" xfId="0" applyNumberFormat="1" applyFont="1" applyBorder="1" applyAlignment="1">
      <alignment vertical="top" wrapText="1"/>
    </xf>
    <xf numFmtId="0" fontId="28" fillId="0" borderId="85" xfId="0" applyFont="1" applyBorder="1" applyAlignment="1">
      <alignment horizontal="center" vertical="top" wrapText="1"/>
    </xf>
    <xf numFmtId="0" fontId="14" fillId="0" borderId="97" xfId="0" applyFont="1" applyBorder="1" applyAlignment="1">
      <alignment horizontal="center" vertical="top" wrapText="1"/>
    </xf>
    <xf numFmtId="14" fontId="5" fillId="0" borderId="97" xfId="0" applyNumberFormat="1" applyFont="1" applyBorder="1" applyAlignment="1">
      <alignment horizontal="center" vertical="top" wrapText="1"/>
    </xf>
    <xf numFmtId="0" fontId="5" fillId="0" borderId="96" xfId="0" applyFont="1" applyBorder="1" applyAlignment="1">
      <alignment vertical="top" wrapText="1"/>
    </xf>
    <xf numFmtId="0" fontId="5" fillId="0" borderId="85" xfId="0" applyFont="1" applyBorder="1" applyAlignment="1">
      <alignment vertical="top" wrapText="1"/>
    </xf>
    <xf numFmtId="0" fontId="5" fillId="0" borderId="97" xfId="0" applyFont="1" applyBorder="1" applyAlignment="1">
      <alignment vertical="top" wrapText="1"/>
    </xf>
    <xf numFmtId="14" fontId="5" fillId="0" borderId="96" xfId="0" applyNumberFormat="1" applyFont="1" applyBorder="1" applyAlignment="1">
      <alignment horizontal="center" vertical="top" wrapText="1"/>
    </xf>
    <xf numFmtId="0" fontId="33" fillId="0" borderId="85" xfId="0" applyFont="1" applyBorder="1" applyAlignment="1">
      <alignment vertical="top" wrapText="1"/>
    </xf>
    <xf numFmtId="0" fontId="33" fillId="0" borderId="96" xfId="0" applyFont="1" applyBorder="1" applyAlignment="1">
      <alignment vertical="top" wrapText="1"/>
    </xf>
    <xf numFmtId="4" fontId="5" fillId="0" borderId="85" xfId="0" applyNumberFormat="1" applyFont="1" applyBorder="1" applyAlignment="1">
      <alignment vertical="top" wrapText="1"/>
    </xf>
    <xf numFmtId="4" fontId="32" fillId="0" borderId="97" xfId="0" applyNumberFormat="1" applyFont="1" applyBorder="1" applyAlignment="1">
      <alignment vertical="top" wrapText="1"/>
    </xf>
    <xf numFmtId="4" fontId="33" fillId="0" borderId="96" xfId="0" applyNumberFormat="1" applyFont="1" applyBorder="1" applyAlignment="1">
      <alignment vertical="top" wrapText="1"/>
    </xf>
    <xf numFmtId="4" fontId="32" fillId="10" borderId="97" xfId="0" applyNumberFormat="1" applyFont="1" applyFill="1" applyBorder="1" applyAlignment="1">
      <alignment vertical="top" wrapText="1"/>
    </xf>
    <xf numFmtId="4" fontId="33" fillId="10" borderId="96" xfId="0" applyNumberFormat="1" applyFont="1" applyFill="1" applyBorder="1" applyAlignment="1">
      <alignment vertical="top" wrapText="1"/>
    </xf>
    <xf numFmtId="4" fontId="14" fillId="0" borderId="85" xfId="0" applyNumberFormat="1" applyFont="1" applyBorder="1" applyAlignment="1">
      <alignment vertical="top" wrapText="1"/>
    </xf>
    <xf numFmtId="4" fontId="28" fillId="0" borderId="96" xfId="0" applyNumberFormat="1" applyFont="1" applyBorder="1" applyAlignment="1">
      <alignment vertical="top" wrapText="1"/>
    </xf>
    <xf numFmtId="40" fontId="33" fillId="0" borderId="85" xfId="0" applyNumberFormat="1" applyFont="1" applyBorder="1" applyAlignment="1">
      <alignment vertical="top" wrapText="1"/>
    </xf>
    <xf numFmtId="40" fontId="33" fillId="0" borderId="97" xfId="0" applyNumberFormat="1" applyFont="1" applyBorder="1" applyAlignment="1">
      <alignment vertical="top" wrapText="1"/>
    </xf>
    <xf numFmtId="40" fontId="33" fillId="10" borderId="97" xfId="0" applyNumberFormat="1" applyFont="1" applyFill="1" applyBorder="1" applyAlignment="1">
      <alignment vertical="top" wrapText="1"/>
    </xf>
    <xf numFmtId="0" fontId="12" fillId="0" borderId="36" xfId="0" applyFont="1" applyBorder="1" applyAlignment="1">
      <alignment vertical="top" wrapText="1"/>
    </xf>
    <xf numFmtId="0" fontId="12" fillId="0" borderId="96" xfId="0" applyFont="1" applyBorder="1" applyAlignment="1">
      <alignment vertical="top" wrapText="1"/>
    </xf>
    <xf numFmtId="0" fontId="7" fillId="0" borderId="96" xfId="0" applyFont="1" applyBorder="1" applyAlignment="1">
      <alignment vertical="top" wrapText="1"/>
    </xf>
    <xf numFmtId="17" fontId="7" fillId="0" borderId="96" xfId="0" applyNumberFormat="1" applyFont="1" applyBorder="1" applyAlignment="1">
      <alignment vertical="top" wrapText="1"/>
    </xf>
    <xf numFmtId="17" fontId="6" fillId="0" borderId="96" xfId="0" applyNumberFormat="1" applyFont="1" applyBorder="1" applyAlignment="1">
      <alignment horizontal="left" vertical="top" wrapText="1"/>
    </xf>
    <xf numFmtId="0" fontId="25" fillId="0" borderId="96" xfId="0" applyFont="1" applyBorder="1" applyAlignment="1">
      <alignment vertical="top" wrapText="1"/>
    </xf>
    <xf numFmtId="17" fontId="7" fillId="10" borderId="96" xfId="0" applyNumberFormat="1" applyFont="1" applyFill="1" applyBorder="1" applyAlignment="1">
      <alignment horizontal="right" vertical="top" wrapText="1"/>
    </xf>
    <xf numFmtId="17" fontId="7" fillId="10" borderId="96" xfId="0" applyNumberFormat="1" applyFont="1" applyFill="1" applyBorder="1" applyAlignment="1">
      <alignment horizontal="left" vertical="top" wrapText="1"/>
    </xf>
    <xf numFmtId="0" fontId="25" fillId="0" borderId="96" xfId="0" applyFont="1" applyBorder="1" applyAlignment="1">
      <alignment horizontal="right" vertical="top" wrapText="1"/>
    </xf>
    <xf numFmtId="17" fontId="25" fillId="0" borderId="96" xfId="0" applyNumberFormat="1" applyFont="1" applyBorder="1" applyAlignment="1">
      <alignment vertical="top" wrapText="1"/>
    </xf>
    <xf numFmtId="0" fontId="25" fillId="10" borderId="96" xfId="0" applyFont="1" applyFill="1" applyBorder="1" applyAlignment="1">
      <alignment vertical="top" wrapText="1"/>
    </xf>
    <xf numFmtId="166" fontId="12" fillId="6" borderId="28" xfId="0" applyNumberFormat="1" applyFont="1" applyFill="1" applyBorder="1" applyAlignment="1">
      <alignment horizontal="left" vertical="top" wrapText="1"/>
    </xf>
    <xf numFmtId="166" fontId="12" fillId="6" borderId="29" xfId="0" applyNumberFormat="1" applyFont="1" applyFill="1" applyBorder="1" applyAlignment="1">
      <alignment horizontal="center" vertical="top" wrapText="1"/>
    </xf>
    <xf numFmtId="0" fontId="6" fillId="6" borderId="27" xfId="0" applyFont="1" applyFill="1" applyBorder="1" applyAlignment="1">
      <alignment vertical="top" wrapText="1"/>
    </xf>
    <xf numFmtId="0" fontId="28" fillId="6" borderId="26" xfId="0" applyFont="1" applyFill="1" applyBorder="1" applyAlignment="1">
      <alignment horizontal="center" vertical="top" wrapText="1"/>
    </xf>
    <xf numFmtId="0" fontId="28" fillId="6" borderId="88" xfId="0" applyFont="1" applyFill="1" applyBorder="1" applyAlignment="1">
      <alignment horizontal="center" vertical="top" wrapText="1"/>
    </xf>
    <xf numFmtId="0" fontId="5" fillId="6" borderId="89" xfId="0" applyFont="1" applyFill="1" applyBorder="1" applyAlignment="1">
      <alignment vertical="top" wrapText="1"/>
    </xf>
    <xf numFmtId="0" fontId="33" fillId="6" borderId="89" xfId="0" applyFont="1" applyFill="1" applyBorder="1" applyAlignment="1">
      <alignment vertical="top" wrapText="1"/>
    </xf>
    <xf numFmtId="4" fontId="5" fillId="6" borderId="87" xfId="0" applyNumberFormat="1" applyFont="1" applyFill="1" applyBorder="1" applyAlignment="1">
      <alignment vertical="top" wrapText="1"/>
    </xf>
    <xf numFmtId="15" fontId="5" fillId="6" borderId="23" xfId="0" applyNumberFormat="1" applyFont="1" applyFill="1" applyBorder="1" applyAlignment="1">
      <alignment horizontal="center" vertical="top" wrapText="1"/>
    </xf>
    <xf numFmtId="0" fontId="6" fillId="0" borderId="18" xfId="0" applyFont="1" applyBorder="1" applyAlignment="1">
      <alignment horizontal="center" vertical="top" wrapText="1"/>
    </xf>
    <xf numFmtId="0" fontId="25" fillId="6" borderId="52" xfId="0" applyFont="1" applyFill="1" applyBorder="1" applyAlignment="1">
      <alignment vertical="top" wrapText="1"/>
    </xf>
    <xf numFmtId="0" fontId="14" fillId="6" borderId="97" xfId="0" applyFont="1" applyFill="1" applyBorder="1" applyAlignment="1">
      <alignment horizontal="center" vertical="top" wrapText="1"/>
    </xf>
    <xf numFmtId="14" fontId="5" fillId="6" borderId="97" xfId="0" applyNumberFormat="1" applyFont="1" applyFill="1" applyBorder="1" applyAlignment="1">
      <alignment horizontal="center" vertical="top" wrapText="1"/>
    </xf>
    <xf numFmtId="0" fontId="5" fillId="6" borderId="96" xfId="0" applyFont="1" applyFill="1" applyBorder="1" applyAlignment="1">
      <alignment vertical="top" wrapText="1"/>
    </xf>
    <xf numFmtId="0" fontId="5" fillId="6" borderId="97" xfId="0" applyFont="1" applyFill="1" applyBorder="1" applyAlignment="1">
      <alignment vertical="top" wrapText="1"/>
    </xf>
    <xf numFmtId="14" fontId="5" fillId="6" borderId="96" xfId="0" applyNumberFormat="1" applyFont="1" applyFill="1" applyBorder="1" applyAlignment="1">
      <alignment horizontal="center" vertical="top" wrapText="1"/>
    </xf>
    <xf numFmtId="4" fontId="32" fillId="6" borderId="97" xfId="0" applyNumberFormat="1" applyFont="1" applyFill="1" applyBorder="1" applyAlignment="1">
      <alignment vertical="top" wrapText="1"/>
    </xf>
    <xf numFmtId="4" fontId="33" fillId="6" borderId="96" xfId="0" applyNumberFormat="1" applyFont="1" applyFill="1" applyBorder="1" applyAlignment="1">
      <alignment vertical="top" wrapText="1"/>
    </xf>
    <xf numFmtId="4" fontId="28" fillId="6" borderId="96" xfId="0" applyNumberFormat="1" applyFont="1" applyFill="1" applyBorder="1" applyAlignment="1">
      <alignment vertical="top" wrapText="1"/>
    </xf>
    <xf numFmtId="40" fontId="33" fillId="6" borderId="97" xfId="0" applyNumberFormat="1" applyFont="1" applyFill="1" applyBorder="1" applyAlignment="1">
      <alignment vertical="top" wrapText="1"/>
    </xf>
    <xf numFmtId="166" fontId="12" fillId="0" borderId="27" xfId="0" applyNumberFormat="1" applyFont="1" applyBorder="1" applyAlignment="1">
      <alignment horizontal="center" vertical="top" wrapText="1"/>
    </xf>
    <xf numFmtId="166" fontId="12" fillId="0" borderId="96" xfId="0" applyNumberFormat="1" applyFont="1" applyBorder="1" applyAlignment="1">
      <alignment horizontal="center" vertical="top" wrapText="1"/>
    </xf>
    <xf numFmtId="166" fontId="12" fillId="6" borderId="94" xfId="0" applyNumberFormat="1" applyFont="1" applyFill="1" applyBorder="1" applyAlignment="1">
      <alignment horizontal="center" vertical="top" wrapText="1"/>
    </xf>
    <xf numFmtId="0" fontId="29" fillId="8" borderId="45" xfId="0" applyFont="1" applyFill="1" applyBorder="1" applyAlignment="1">
      <alignment horizontal="center" vertical="top" wrapText="1"/>
    </xf>
    <xf numFmtId="178" fontId="28" fillId="0" borderId="34" xfId="1" applyNumberFormat="1" applyFont="1" applyFill="1" applyBorder="1" applyAlignment="1" applyProtection="1">
      <alignment horizontal="center" vertical="top" wrapText="1"/>
      <protection locked="0"/>
    </xf>
    <xf numFmtId="0" fontId="6" fillId="0" borderId="50" xfId="0" applyFont="1" applyBorder="1" applyAlignment="1">
      <alignment vertical="top" wrapText="1"/>
    </xf>
    <xf numFmtId="0" fontId="7" fillId="0" borderId="58" xfId="0" applyFont="1" applyBorder="1" applyAlignment="1">
      <alignment horizontal="left" vertical="top" wrapText="1"/>
    </xf>
    <xf numFmtId="44" fontId="7" fillId="6" borderId="54" xfId="0" applyNumberFormat="1" applyFont="1" applyFill="1" applyBorder="1" applyAlignment="1">
      <alignment vertical="top" wrapText="1"/>
    </xf>
    <xf numFmtId="0" fontId="7" fillId="6" borderId="58" xfId="0" applyFont="1" applyFill="1" applyBorder="1" applyAlignment="1">
      <alignment vertical="top" wrapText="1"/>
    </xf>
    <xf numFmtId="17" fontId="7" fillId="10" borderId="58" xfId="0" applyNumberFormat="1" applyFont="1" applyFill="1" applyBorder="1" applyAlignment="1">
      <alignment vertical="top" wrapText="1"/>
    </xf>
    <xf numFmtId="0" fontId="26" fillId="0" borderId="55" xfId="0" applyFont="1" applyBorder="1" applyAlignment="1">
      <alignment horizontal="center" vertical="top" wrapText="1"/>
    </xf>
    <xf numFmtId="15" fontId="25" fillId="0" borderId="57" xfId="0" applyNumberFormat="1" applyFont="1" applyBorder="1" applyAlignment="1">
      <alignment horizontal="center" vertical="top" wrapText="1"/>
    </xf>
    <xf numFmtId="0" fontId="25" fillId="0" borderId="58" xfId="0" applyFont="1" applyBorder="1" applyAlignment="1">
      <alignment horizontal="right" vertical="top" wrapText="1"/>
    </xf>
    <xf numFmtId="44" fontId="25" fillId="0" borderId="54" xfId="2" applyFont="1" applyFill="1" applyBorder="1" applyAlignment="1" applyProtection="1">
      <alignment vertical="top" wrapText="1"/>
    </xf>
    <xf numFmtId="17" fontId="25" fillId="0" borderId="58" xfId="0" applyNumberFormat="1" applyFont="1" applyBorder="1" applyAlignment="1">
      <alignment vertical="top" wrapText="1"/>
    </xf>
    <xf numFmtId="44" fontId="25" fillId="0" borderId="55" xfId="0" applyNumberFormat="1" applyFont="1" applyBorder="1" applyAlignment="1">
      <alignment vertical="top" wrapText="1"/>
    </xf>
    <xf numFmtId="0" fontId="25" fillId="0" borderId="58" xfId="0" applyFont="1" applyBorder="1" applyAlignment="1">
      <alignment vertical="top" wrapText="1"/>
    </xf>
    <xf numFmtId="44" fontId="25" fillId="10" borderId="54" xfId="0" applyNumberFormat="1" applyFont="1" applyFill="1" applyBorder="1" applyAlignment="1">
      <alignment vertical="top" wrapText="1"/>
    </xf>
    <xf numFmtId="0" fontId="25" fillId="10" borderId="58" xfId="0" applyFont="1" applyFill="1" applyBorder="1" applyAlignment="1">
      <alignment vertical="top" wrapText="1"/>
    </xf>
    <xf numFmtId="0" fontId="25" fillId="0" borderId="57" xfId="0" applyFont="1" applyBorder="1" applyAlignment="1">
      <alignment vertical="top" wrapText="1"/>
    </xf>
    <xf numFmtId="44" fontId="7" fillId="6" borderId="20" xfId="0" applyNumberFormat="1" applyFont="1" applyFill="1" applyBorder="1" applyAlignment="1">
      <alignment vertical="top"/>
    </xf>
    <xf numFmtId="0" fontId="7" fillId="6" borderId="27" xfId="0" applyFont="1" applyFill="1" applyBorder="1" applyAlignment="1">
      <alignment vertical="top"/>
    </xf>
    <xf numFmtId="44" fontId="26" fillId="6" borderId="20" xfId="0" applyNumberFormat="1" applyFont="1" applyFill="1" applyBorder="1" applyAlignment="1">
      <alignment vertical="top"/>
    </xf>
    <xf numFmtId="0" fontId="26" fillId="6" borderId="29" xfId="0" applyFont="1" applyFill="1" applyBorder="1" applyAlignment="1">
      <alignment vertical="top" wrapText="1"/>
    </xf>
    <xf numFmtId="166" fontId="25" fillId="6" borderId="28" xfId="5" applyNumberFormat="1" applyFont="1" applyFill="1" applyBorder="1" applyAlignment="1">
      <alignment horizontal="left" vertical="top" wrapText="1"/>
    </xf>
    <xf numFmtId="166" fontId="25" fillId="6" borderId="29" xfId="5" applyNumberFormat="1" applyFont="1" applyFill="1" applyBorder="1" applyAlignment="1">
      <alignment horizontal="center" vertical="top" wrapText="1"/>
    </xf>
    <xf numFmtId="166" fontId="25" fillId="6" borderId="27" xfId="5" applyNumberFormat="1" applyFont="1" applyFill="1" applyBorder="1" applyAlignment="1">
      <alignment horizontal="center" vertical="top" wrapText="1"/>
    </xf>
    <xf numFmtId="0" fontId="26" fillId="6" borderId="26" xfId="5" applyFont="1" applyFill="1" applyBorder="1" applyAlignment="1">
      <alignment vertical="top" wrapText="1"/>
    </xf>
    <xf numFmtId="0" fontId="7" fillId="6" borderId="26" xfId="5" applyFont="1" applyFill="1" applyBorder="1" applyAlignment="1">
      <alignment horizontal="center" vertical="top" wrapText="1"/>
    </xf>
    <xf numFmtId="49" fontId="6" fillId="6" borderId="28" xfId="5" applyNumberFormat="1" applyFont="1" applyFill="1" applyBorder="1" applyAlignment="1">
      <alignment horizontal="left" vertical="top" wrapText="1"/>
    </xf>
    <xf numFmtId="0" fontId="7" fillId="6" borderId="20" xfId="5" applyFont="1" applyFill="1" applyBorder="1" applyAlignment="1">
      <alignment vertical="top" wrapText="1"/>
    </xf>
    <xf numFmtId="0" fontId="7" fillId="6" borderId="27" xfId="5" applyFont="1" applyFill="1" applyBorder="1" applyAlignment="1">
      <alignment vertical="top" wrapText="1"/>
    </xf>
    <xf numFmtId="44" fontId="7" fillId="6" borderId="20" xfId="5" applyNumberFormat="1" applyFont="1" applyFill="1" applyBorder="1" applyAlignment="1">
      <alignment vertical="top" wrapText="1"/>
    </xf>
    <xf numFmtId="17" fontId="24" fillId="6" borderId="27" xfId="5" applyNumberFormat="1" applyFont="1" applyFill="1" applyBorder="1" applyAlignment="1">
      <alignment vertical="top" wrapText="1"/>
    </xf>
    <xf numFmtId="44" fontId="6" fillId="6" borderId="20" xfId="5" applyNumberFormat="1" applyFont="1" applyFill="1" applyBorder="1" applyAlignment="1">
      <alignment vertical="top" wrapText="1"/>
    </xf>
    <xf numFmtId="17" fontId="24" fillId="6" borderId="27" xfId="5" applyNumberFormat="1" applyFont="1" applyFill="1" applyBorder="1" applyAlignment="1">
      <alignment horizontal="left" vertical="top" wrapText="1"/>
    </xf>
    <xf numFmtId="0" fontId="26" fillId="6" borderId="27" xfId="0" applyFont="1" applyFill="1" applyBorder="1" applyAlignment="1">
      <alignment horizontal="left" vertical="top" wrapText="1"/>
    </xf>
    <xf numFmtId="44" fontId="24" fillId="6" borderId="20" xfId="5" applyNumberFormat="1" applyFont="1" applyFill="1" applyBorder="1" applyAlignment="1">
      <alignment vertical="top" wrapText="1"/>
    </xf>
    <xf numFmtId="0" fontId="24" fillId="6" borderId="27" xfId="5" applyFont="1" applyFill="1" applyBorder="1" applyAlignment="1">
      <alignment vertical="top" wrapText="1"/>
    </xf>
    <xf numFmtId="0" fontId="14" fillId="6" borderId="87" xfId="0" applyFont="1" applyFill="1" applyBorder="1" applyAlignment="1">
      <alignment horizontal="center" vertical="top" wrapText="1"/>
    </xf>
    <xf numFmtId="0" fontId="5" fillId="6" borderId="27" xfId="0" applyFont="1" applyFill="1" applyBorder="1" applyAlignment="1">
      <alignment horizontal="center" vertical="top" wrapText="1"/>
    </xf>
    <xf numFmtId="165" fontId="32" fillId="0" borderId="35" xfId="0" applyNumberFormat="1" applyFont="1" applyBorder="1" applyAlignment="1">
      <alignment horizontal="center" vertical="top" wrapText="1"/>
    </xf>
    <xf numFmtId="165" fontId="33" fillId="0" borderId="23" xfId="0" applyNumberFormat="1" applyFont="1" applyBorder="1" applyAlignment="1">
      <alignment horizontal="center" vertical="top" wrapText="1"/>
    </xf>
    <xf numFmtId="4" fontId="5" fillId="13" borderId="58" xfId="0" applyNumberFormat="1" applyFont="1" applyFill="1" applyBorder="1" applyAlignment="1">
      <alignment vertical="top" wrapText="1"/>
    </xf>
    <xf numFmtId="0" fontId="5" fillId="13" borderId="0" xfId="0" applyFont="1" applyFill="1" applyAlignment="1">
      <alignment vertical="top" wrapText="1"/>
    </xf>
    <xf numFmtId="0" fontId="71" fillId="13" borderId="68" xfId="0" applyFont="1" applyFill="1" applyBorder="1" applyAlignment="1">
      <alignment vertical="top" wrapText="1"/>
    </xf>
    <xf numFmtId="0" fontId="71" fillId="13" borderId="69" xfId="0" applyFont="1" applyFill="1" applyBorder="1" applyAlignment="1">
      <alignment vertical="top" wrapText="1"/>
    </xf>
    <xf numFmtId="0" fontId="71" fillId="13" borderId="58" xfId="0" applyFont="1" applyFill="1" applyBorder="1" applyAlignment="1">
      <alignment horizontal="center" vertical="top" wrapText="1"/>
    </xf>
    <xf numFmtId="0" fontId="71" fillId="13" borderId="58" xfId="0" applyFont="1" applyFill="1" applyBorder="1" applyAlignment="1">
      <alignment vertical="top" wrapText="1"/>
    </xf>
    <xf numFmtId="0" fontId="72" fillId="13" borderId="68" xfId="0" applyFont="1" applyFill="1" applyBorder="1" applyAlignment="1">
      <alignment vertical="top" wrapText="1"/>
    </xf>
    <xf numFmtId="0" fontId="72" fillId="13" borderId="58" xfId="0" applyFont="1" applyFill="1" applyBorder="1" applyAlignment="1">
      <alignment vertical="top" wrapText="1"/>
    </xf>
    <xf numFmtId="4" fontId="71" fillId="13" borderId="68" xfId="0" applyNumberFormat="1" applyFont="1" applyFill="1" applyBorder="1" applyAlignment="1">
      <alignment vertical="top" wrapText="1"/>
    </xf>
    <xf numFmtId="4" fontId="73" fillId="13" borderId="69" xfId="0" applyNumberFormat="1" applyFont="1" applyFill="1" applyBorder="1" applyAlignment="1">
      <alignment vertical="top" wrapText="1"/>
    </xf>
    <xf numFmtId="4" fontId="72" fillId="13" borderId="58" xfId="0" applyNumberFormat="1" applyFont="1" applyFill="1" applyBorder="1" applyAlignment="1">
      <alignment vertical="top" wrapText="1"/>
    </xf>
    <xf numFmtId="4" fontId="71" fillId="13" borderId="58" xfId="0" applyNumberFormat="1" applyFont="1" applyFill="1" applyBorder="1" applyAlignment="1">
      <alignment vertical="top" wrapText="1"/>
    </xf>
    <xf numFmtId="14" fontId="5" fillId="13" borderId="58" xfId="0" applyNumberFormat="1" applyFont="1" applyFill="1" applyBorder="1" applyAlignment="1">
      <alignment horizontal="center" vertical="top" wrapText="1"/>
    </xf>
    <xf numFmtId="4" fontId="36" fillId="13" borderId="68" xfId="0" applyNumberFormat="1" applyFont="1" applyFill="1" applyBorder="1" applyAlignment="1">
      <alignment horizontal="centerContinuous" vertical="top"/>
    </xf>
    <xf numFmtId="4" fontId="32" fillId="13" borderId="69" xfId="0" applyNumberFormat="1" applyFont="1" applyFill="1" applyBorder="1" applyAlignment="1">
      <alignment horizontal="centerContinuous" vertical="top" wrapText="1"/>
    </xf>
    <xf numFmtId="4" fontId="33" fillId="13" borderId="58" xfId="0" applyNumberFormat="1" applyFont="1" applyFill="1" applyBorder="1" applyAlignment="1">
      <alignment horizontal="centerContinuous" vertical="top" wrapText="1"/>
    </xf>
    <xf numFmtId="4" fontId="5" fillId="13" borderId="68" xfId="0" applyNumberFormat="1" applyFont="1" applyFill="1" applyBorder="1" applyAlignment="1">
      <alignment horizontal="centerContinuous" vertical="top" wrapText="1"/>
    </xf>
    <xf numFmtId="40" fontId="14" fillId="13" borderId="69" xfId="0" applyNumberFormat="1" applyFont="1" applyFill="1" applyBorder="1" applyAlignment="1">
      <alignment horizontal="centerContinuous" vertical="top"/>
    </xf>
    <xf numFmtId="0" fontId="11" fillId="0" borderId="26" xfId="0" applyFont="1" applyBorder="1" applyAlignment="1">
      <alignment horizontal="center" vertical="top" wrapText="1"/>
    </xf>
    <xf numFmtId="166" fontId="12" fillId="4" borderId="28" xfId="0" applyNumberFormat="1" applyFont="1" applyFill="1" applyBorder="1" applyAlignment="1">
      <alignment horizontal="left" vertical="top" wrapText="1"/>
    </xf>
    <xf numFmtId="166" fontId="12" fillId="4" borderId="29" xfId="0" applyNumberFormat="1" applyFont="1" applyFill="1" applyBorder="1" applyAlignment="1">
      <alignment horizontal="center" vertical="top" wrapText="1"/>
    </xf>
    <xf numFmtId="166" fontId="12" fillId="4" borderId="27" xfId="0" applyNumberFormat="1" applyFont="1" applyFill="1" applyBorder="1" applyAlignment="1">
      <alignment horizontal="center" vertical="top" wrapText="1"/>
    </xf>
    <xf numFmtId="49" fontId="6" fillId="0" borderId="74" xfId="0" applyNumberFormat="1" applyFont="1" applyBorder="1" applyAlignment="1">
      <alignment horizontal="left" vertical="top" wrapText="1"/>
    </xf>
    <xf numFmtId="0" fontId="7" fillId="0" borderId="90" xfId="0" applyFont="1" applyBorder="1" applyAlignment="1">
      <alignment vertical="top" wrapText="1"/>
    </xf>
    <xf numFmtId="44" fontId="7" fillId="0" borderId="90" xfId="0" applyNumberFormat="1" applyFont="1" applyBorder="1" applyAlignment="1">
      <alignment vertical="top" wrapText="1"/>
    </xf>
    <xf numFmtId="17" fontId="7" fillId="0" borderId="89" xfId="0" applyNumberFormat="1" applyFont="1" applyBorder="1" applyAlignment="1">
      <alignment vertical="top" wrapText="1"/>
    </xf>
    <xf numFmtId="44" fontId="6" fillId="0" borderId="90" xfId="0" applyNumberFormat="1" applyFont="1" applyBorder="1" applyAlignment="1">
      <alignment vertical="top" wrapText="1"/>
    </xf>
    <xf numFmtId="17" fontId="6" fillId="0" borderId="89" xfId="0" applyNumberFormat="1" applyFont="1" applyBorder="1" applyAlignment="1">
      <alignment horizontal="left" vertical="top" wrapText="1"/>
    </xf>
    <xf numFmtId="44" fontId="26" fillId="0" borderId="90" xfId="0" applyNumberFormat="1" applyFont="1" applyBorder="1" applyAlignment="1">
      <alignment vertical="top" wrapText="1"/>
    </xf>
    <xf numFmtId="0" fontId="26" fillId="0" borderId="89" xfId="0" applyFont="1" applyBorder="1" applyAlignment="1">
      <alignment horizontal="left" vertical="top" wrapText="1"/>
    </xf>
    <xf numFmtId="44" fontId="7" fillId="10" borderId="90" xfId="0" applyNumberFormat="1" applyFont="1" applyFill="1" applyBorder="1" applyAlignment="1">
      <alignment vertical="top" wrapText="1"/>
    </xf>
    <xf numFmtId="17" fontId="7" fillId="10" borderId="89" xfId="0" applyNumberFormat="1" applyFont="1" applyFill="1" applyBorder="1" applyAlignment="1">
      <alignment horizontal="right" vertical="top" wrapText="1"/>
    </xf>
    <xf numFmtId="17" fontId="7" fillId="10" borderId="89" xfId="0" applyNumberFormat="1" applyFont="1" applyFill="1" applyBorder="1" applyAlignment="1">
      <alignment horizontal="left" vertical="top" wrapText="1"/>
    </xf>
    <xf numFmtId="0" fontId="26" fillId="0" borderId="93" xfId="0" applyFont="1" applyBorder="1" applyAlignment="1">
      <alignment vertical="top" wrapText="1"/>
    </xf>
    <xf numFmtId="166" fontId="7" fillId="4" borderId="74" xfId="0" applyNumberFormat="1" applyFont="1" applyFill="1" applyBorder="1" applyAlignment="1">
      <alignment horizontal="left" vertical="top" wrapText="1"/>
    </xf>
    <xf numFmtId="166" fontId="12" fillId="4" borderId="93" xfId="0" applyNumberFormat="1" applyFont="1" applyFill="1" applyBorder="1" applyAlignment="1">
      <alignment horizontal="center" vertical="top" wrapText="1"/>
    </xf>
    <xf numFmtId="166" fontId="7" fillId="4" borderId="89" xfId="0" applyNumberFormat="1" applyFont="1" applyFill="1" applyBorder="1" applyAlignment="1">
      <alignment horizontal="center" vertical="top" wrapText="1"/>
    </xf>
    <xf numFmtId="0" fontId="26" fillId="0" borderId="74" xfId="0" applyFont="1" applyBorder="1" applyAlignment="1">
      <alignment horizontal="center" vertical="top"/>
    </xf>
    <xf numFmtId="15" fontId="25" fillId="0" borderId="93" xfId="0" applyNumberFormat="1" applyFont="1" applyBorder="1" applyAlignment="1">
      <alignment horizontal="center" vertical="top"/>
    </xf>
    <xf numFmtId="0" fontId="25" fillId="0" borderId="89" xfId="0" applyFont="1" applyBorder="1" applyAlignment="1">
      <alignment horizontal="right" vertical="top"/>
    </xf>
    <xf numFmtId="44" fontId="25" fillId="0" borderId="90" xfId="2" applyFont="1" applyFill="1" applyBorder="1" applyAlignment="1" applyProtection="1">
      <alignment vertical="top"/>
    </xf>
    <xf numFmtId="0" fontId="25" fillId="0" borderId="89" xfId="0" applyFont="1" applyBorder="1" applyAlignment="1">
      <alignment vertical="top"/>
    </xf>
    <xf numFmtId="44" fontId="25" fillId="0" borderId="74" xfId="0" applyNumberFormat="1" applyFont="1" applyBorder="1" applyAlignment="1">
      <alignment vertical="top"/>
    </xf>
    <xf numFmtId="44" fontId="25" fillId="0" borderId="90" xfId="0" applyNumberFormat="1" applyFont="1" applyBorder="1" applyAlignment="1">
      <alignment vertical="top"/>
    </xf>
    <xf numFmtId="44" fontId="25" fillId="10" borderId="90" xfId="0" applyNumberFormat="1" applyFont="1" applyFill="1" applyBorder="1" applyAlignment="1">
      <alignment vertical="top"/>
    </xf>
    <xf numFmtId="0" fontId="25" fillId="10" borderId="89" xfId="0" applyFont="1" applyFill="1" applyBorder="1" applyAlignment="1">
      <alignment vertical="top"/>
    </xf>
    <xf numFmtId="0" fontId="25" fillId="0" borderId="93" xfId="0" applyFont="1" applyBorder="1" applyAlignment="1">
      <alignment vertical="top"/>
    </xf>
    <xf numFmtId="165" fontId="32" fillId="6" borderId="23" xfId="0" applyNumberFormat="1" applyFont="1" applyFill="1" applyBorder="1" applyAlignment="1">
      <alignment horizontal="center" vertical="top" wrapText="1"/>
    </xf>
    <xf numFmtId="165" fontId="32" fillId="6" borderId="97" xfId="0" applyNumberFormat="1" applyFont="1" applyFill="1" applyBorder="1" applyAlignment="1">
      <alignment horizontal="center" vertical="top" wrapText="1"/>
    </xf>
    <xf numFmtId="167" fontId="32" fillId="6" borderId="97" xfId="0" applyNumberFormat="1" applyFont="1" applyFill="1" applyBorder="1" applyAlignment="1">
      <alignment horizontal="center" vertical="top" wrapText="1"/>
    </xf>
    <xf numFmtId="0" fontId="32" fillId="6" borderId="85" xfId="0" applyFont="1" applyFill="1" applyBorder="1" applyAlignment="1">
      <alignment vertical="top" wrapText="1"/>
    </xf>
    <xf numFmtId="0" fontId="33" fillId="6" borderId="96" xfId="0" applyFont="1" applyFill="1" applyBorder="1" applyAlignment="1">
      <alignment vertical="top" wrapText="1"/>
    </xf>
    <xf numFmtId="0" fontId="7" fillId="19" borderId="21" xfId="0" applyFont="1" applyFill="1" applyBorder="1" applyAlignment="1">
      <alignment vertical="top" wrapText="1"/>
    </xf>
    <xf numFmtId="0" fontId="7" fillId="19" borderId="34" xfId="0" applyFont="1" applyFill="1" applyBorder="1" applyAlignment="1">
      <alignment vertical="top" wrapText="1"/>
    </xf>
    <xf numFmtId="0" fontId="26" fillId="6" borderId="52" xfId="0" applyFont="1" applyFill="1" applyBorder="1" applyAlignment="1">
      <alignment vertical="top" wrapText="1"/>
    </xf>
    <xf numFmtId="0" fontId="7" fillId="6" borderId="99" xfId="0" applyFont="1" applyFill="1" applyBorder="1" applyAlignment="1">
      <alignment vertical="top" wrapText="1"/>
    </xf>
    <xf numFmtId="17" fontId="7" fillId="6" borderId="99" xfId="0" applyNumberFormat="1" applyFont="1" applyFill="1" applyBorder="1" applyAlignment="1">
      <alignment vertical="top" wrapText="1"/>
    </xf>
    <xf numFmtId="17" fontId="6" fillId="6" borderId="99" xfId="0" applyNumberFormat="1" applyFont="1" applyFill="1" applyBorder="1" applyAlignment="1">
      <alignment horizontal="left" vertical="top" wrapText="1"/>
    </xf>
    <xf numFmtId="0" fontId="7" fillId="6" borderId="99" xfId="0" applyFont="1" applyFill="1" applyBorder="1" applyAlignment="1">
      <alignment horizontal="left" vertical="top" wrapText="1"/>
    </xf>
    <xf numFmtId="17" fontId="7" fillId="10" borderId="99" xfId="0" applyNumberFormat="1" applyFont="1" applyFill="1" applyBorder="1" applyAlignment="1">
      <alignment horizontal="right" vertical="top" wrapText="1"/>
    </xf>
    <xf numFmtId="17" fontId="7" fillId="10" borderId="99" xfId="0" applyNumberFormat="1" applyFont="1" applyFill="1" applyBorder="1" applyAlignment="1">
      <alignment horizontal="left" vertical="top" wrapText="1"/>
    </xf>
    <xf numFmtId="166" fontId="12" fillId="6" borderId="99" xfId="0" applyNumberFormat="1" applyFont="1" applyFill="1" applyBorder="1" applyAlignment="1">
      <alignment horizontal="center" vertical="top" wrapText="1"/>
    </xf>
    <xf numFmtId="0" fontId="25" fillId="6" borderId="99" xfId="0" applyFont="1" applyFill="1" applyBorder="1" applyAlignment="1">
      <alignment horizontal="right" vertical="top" wrapText="1"/>
    </xf>
    <xf numFmtId="17" fontId="25" fillId="6" borderId="99" xfId="0" applyNumberFormat="1" applyFont="1" applyFill="1" applyBorder="1" applyAlignment="1">
      <alignment vertical="top" wrapText="1"/>
    </xf>
    <xf numFmtId="0" fontId="25" fillId="6" borderId="99" xfId="0" applyFont="1" applyFill="1" applyBorder="1" applyAlignment="1">
      <alignment vertical="top" wrapText="1"/>
    </xf>
    <xf numFmtId="0" fontId="25" fillId="10" borderId="99" xfId="0" applyFont="1" applyFill="1" applyBorder="1" applyAlignment="1">
      <alignment vertical="top" wrapText="1"/>
    </xf>
    <xf numFmtId="0" fontId="26" fillId="0" borderId="50" xfId="0" applyFont="1" applyBorder="1" applyAlignment="1">
      <alignment vertical="top" wrapText="1"/>
    </xf>
    <xf numFmtId="0" fontId="7" fillId="0" borderId="50" xfId="0" applyFont="1" applyBorder="1" applyAlignment="1">
      <alignment vertical="top"/>
    </xf>
    <xf numFmtId="44" fontId="7" fillId="0" borderId="54" xfId="0" applyNumberFormat="1" applyFont="1" applyBorder="1" applyAlignment="1">
      <alignment vertical="top"/>
    </xf>
    <xf numFmtId="0" fontId="7" fillId="0" borderId="58" xfId="0" applyFont="1" applyBorder="1" applyAlignment="1">
      <alignment vertical="top"/>
    </xf>
    <xf numFmtId="44" fontId="6" fillId="0" borderId="54" xfId="0" applyNumberFormat="1" applyFont="1" applyBorder="1" applyAlignment="1">
      <alignment vertical="top"/>
    </xf>
    <xf numFmtId="0" fontId="6" fillId="0" borderId="58" xfId="0" applyFont="1" applyBorder="1" applyAlignment="1">
      <alignment horizontal="left" vertical="top"/>
    </xf>
    <xf numFmtId="0" fontId="7" fillId="0" borderId="58" xfId="0" applyFont="1" applyBorder="1" applyAlignment="1">
      <alignment horizontal="left" vertical="top"/>
    </xf>
    <xf numFmtId="44" fontId="7" fillId="10" borderId="54" xfId="0" applyNumberFormat="1" applyFont="1" applyFill="1" applyBorder="1" applyAlignment="1">
      <alignment vertical="top"/>
    </xf>
    <xf numFmtId="0" fontId="7" fillId="10" borderId="58" xfId="0" applyFont="1" applyFill="1" applyBorder="1" applyAlignment="1">
      <alignment horizontal="right" vertical="top"/>
    </xf>
    <xf numFmtId="0" fontId="7" fillId="10" borderId="58" xfId="0" applyFont="1" applyFill="1" applyBorder="1" applyAlignment="1">
      <alignment horizontal="left" vertical="top"/>
    </xf>
    <xf numFmtId="44" fontId="26" fillId="0" borderId="54" xfId="0" applyNumberFormat="1" applyFont="1" applyBorder="1" applyAlignment="1">
      <alignment vertical="top"/>
    </xf>
    <xf numFmtId="0" fontId="7" fillId="0" borderId="57" xfId="0" applyFont="1" applyBorder="1" applyAlignment="1">
      <alignment vertical="top"/>
    </xf>
    <xf numFmtId="0" fontId="25" fillId="10" borderId="58" xfId="0" applyFont="1" applyFill="1" applyBorder="1" applyAlignment="1">
      <alignment vertical="top"/>
    </xf>
    <xf numFmtId="0" fontId="14" fillId="0" borderId="85" xfId="0" applyFont="1" applyBorder="1" applyAlignment="1">
      <alignment horizontal="center" vertical="top" wrapText="1"/>
    </xf>
    <xf numFmtId="0" fontId="14" fillId="0" borderId="101" xfId="0" applyFont="1" applyBorder="1" applyAlignment="1">
      <alignment horizontal="center" vertical="top" wrapText="1"/>
    </xf>
    <xf numFmtId="14" fontId="5" fillId="0" borderId="101" xfId="0" applyNumberFormat="1" applyFont="1" applyBorder="1" applyAlignment="1">
      <alignment horizontal="center" vertical="top" wrapText="1"/>
    </xf>
    <xf numFmtId="165" fontId="32" fillId="0" borderId="101" xfId="0" applyNumberFormat="1" applyFont="1" applyBorder="1" applyAlignment="1">
      <alignment horizontal="center" vertical="top" wrapText="1"/>
    </xf>
    <xf numFmtId="167" fontId="32" fillId="0" borderId="101" xfId="0" applyNumberFormat="1" applyFont="1" applyBorder="1" applyAlignment="1">
      <alignment horizontal="center" vertical="top" wrapText="1"/>
    </xf>
    <xf numFmtId="0" fontId="5" fillId="0" borderId="100" xfId="0" applyFont="1" applyBorder="1" applyAlignment="1">
      <alignment vertical="top" wrapText="1"/>
    </xf>
    <xf numFmtId="0" fontId="5" fillId="0" borderId="101" xfId="0" applyFont="1" applyBorder="1" applyAlignment="1">
      <alignment vertical="top" wrapText="1"/>
    </xf>
    <xf numFmtId="14" fontId="5" fillId="0" borderId="100" xfId="0" applyNumberFormat="1" applyFont="1" applyBorder="1" applyAlignment="1">
      <alignment horizontal="center" vertical="top" wrapText="1"/>
    </xf>
    <xf numFmtId="0" fontId="33" fillId="0" borderId="100" xfId="0" applyFont="1" applyBorder="1" applyAlignment="1">
      <alignment vertical="top" wrapText="1"/>
    </xf>
    <xf numFmtId="4" fontId="32" fillId="0" borderId="101" xfId="0" applyNumberFormat="1" applyFont="1" applyBorder="1" applyAlignment="1">
      <alignment vertical="top" wrapText="1"/>
    </xf>
    <xf numFmtId="4" fontId="33" fillId="0" borderId="100" xfId="0" applyNumberFormat="1" applyFont="1" applyBorder="1" applyAlignment="1">
      <alignment vertical="top" wrapText="1"/>
    </xf>
    <xf numFmtId="4" fontId="32" fillId="10" borderId="101" xfId="0" applyNumberFormat="1" applyFont="1" applyFill="1" applyBorder="1" applyAlignment="1">
      <alignment vertical="top" wrapText="1"/>
    </xf>
    <xf numFmtId="4" fontId="33" fillId="10" borderId="100" xfId="0" applyNumberFormat="1" applyFont="1" applyFill="1" applyBorder="1" applyAlignment="1">
      <alignment vertical="top" wrapText="1"/>
    </xf>
    <xf numFmtId="4" fontId="28" fillId="0" borderId="100" xfId="0" applyNumberFormat="1" applyFont="1" applyBorder="1" applyAlignment="1">
      <alignment vertical="top" wrapText="1"/>
    </xf>
    <xf numFmtId="40" fontId="33" fillId="0" borderId="101" xfId="0" applyNumberFormat="1" applyFont="1" applyBorder="1" applyAlignment="1">
      <alignment vertical="top" wrapText="1"/>
    </xf>
    <xf numFmtId="40" fontId="33" fillId="10" borderId="101" xfId="0" applyNumberFormat="1" applyFont="1" applyFill="1" applyBorder="1" applyAlignment="1">
      <alignment vertical="top" wrapText="1"/>
    </xf>
    <xf numFmtId="44" fontId="26" fillId="6" borderId="21" xfId="0" applyNumberFormat="1" applyFont="1" applyFill="1" applyBorder="1" applyAlignment="1">
      <alignment vertical="top"/>
    </xf>
    <xf numFmtId="49" fontId="6" fillId="6" borderId="52" xfId="0" applyNumberFormat="1" applyFont="1" applyFill="1" applyBorder="1" applyAlignment="1">
      <alignment horizontal="left" vertical="top" wrapText="1"/>
    </xf>
    <xf numFmtId="0" fontId="7" fillId="6" borderId="85" xfId="0" applyFont="1" applyFill="1" applyBorder="1" applyAlignment="1">
      <alignment vertical="top" wrapText="1"/>
    </xf>
    <xf numFmtId="0" fontId="7" fillId="6" borderId="100" xfId="0" applyFont="1" applyFill="1" applyBorder="1" applyAlignment="1">
      <alignment vertical="top" wrapText="1"/>
    </xf>
    <xf numFmtId="17" fontId="7" fillId="6" borderId="100" xfId="0" applyNumberFormat="1" applyFont="1" applyFill="1" applyBorder="1" applyAlignment="1">
      <alignment vertical="top" wrapText="1"/>
    </xf>
    <xf numFmtId="17" fontId="6" fillId="6" borderId="100" xfId="0" applyNumberFormat="1" applyFont="1" applyFill="1" applyBorder="1" applyAlignment="1">
      <alignment horizontal="left" vertical="top" wrapText="1"/>
    </xf>
    <xf numFmtId="0" fontId="7" fillId="6" borderId="100" xfId="0" applyFont="1" applyFill="1" applyBorder="1" applyAlignment="1">
      <alignment horizontal="left" vertical="top" wrapText="1"/>
    </xf>
    <xf numFmtId="0" fontId="25" fillId="6" borderId="100" xfId="0" applyFont="1" applyFill="1" applyBorder="1" applyAlignment="1">
      <alignment horizontal="right" vertical="top"/>
    </xf>
    <xf numFmtId="17" fontId="25" fillId="6" borderId="100" xfId="0" applyNumberFormat="1" applyFont="1" applyFill="1" applyBorder="1" applyAlignment="1">
      <alignment vertical="top"/>
    </xf>
    <xf numFmtId="0" fontId="25" fillId="6" borderId="100" xfId="0" applyFont="1" applyFill="1" applyBorder="1" applyAlignment="1">
      <alignment vertical="top"/>
    </xf>
    <xf numFmtId="0" fontId="14" fillId="6" borderId="101" xfId="0" applyFont="1" applyFill="1" applyBorder="1" applyAlignment="1">
      <alignment horizontal="center" vertical="top" wrapText="1"/>
    </xf>
    <xf numFmtId="14" fontId="5" fillId="6" borderId="101" xfId="0" applyNumberFormat="1" applyFont="1" applyFill="1" applyBorder="1" applyAlignment="1">
      <alignment horizontal="center" vertical="top" wrapText="1"/>
    </xf>
    <xf numFmtId="165" fontId="32" fillId="6" borderId="101" xfId="0" applyNumberFormat="1" applyFont="1" applyFill="1" applyBorder="1" applyAlignment="1">
      <alignment horizontal="center" vertical="top" wrapText="1"/>
    </xf>
    <xf numFmtId="167" fontId="32" fillId="6" borderId="101" xfId="0" applyNumberFormat="1" applyFont="1" applyFill="1" applyBorder="1" applyAlignment="1">
      <alignment horizontal="center" vertical="top" wrapText="1"/>
    </xf>
    <xf numFmtId="0" fontId="5" fillId="6" borderId="100" xfId="0" applyFont="1" applyFill="1" applyBorder="1" applyAlignment="1">
      <alignment vertical="top" wrapText="1"/>
    </xf>
    <xf numFmtId="0" fontId="5" fillId="6" borderId="101" xfId="0" applyFont="1" applyFill="1" applyBorder="1" applyAlignment="1">
      <alignment vertical="top" wrapText="1"/>
    </xf>
    <xf numFmtId="14" fontId="5" fillId="6" borderId="100" xfId="0" applyNumberFormat="1" applyFont="1" applyFill="1" applyBorder="1" applyAlignment="1">
      <alignment horizontal="center" vertical="top" wrapText="1"/>
    </xf>
    <xf numFmtId="0" fontId="33" fillId="6" borderId="100" xfId="0" applyFont="1" applyFill="1" applyBorder="1" applyAlignment="1">
      <alignment vertical="top" wrapText="1"/>
    </xf>
    <xf numFmtId="4" fontId="32" fillId="6" borderId="101" xfId="0" applyNumberFormat="1" applyFont="1" applyFill="1" applyBorder="1" applyAlignment="1">
      <alignment vertical="top" wrapText="1"/>
    </xf>
    <xf numFmtId="4" fontId="33" fillId="6" borderId="100" xfId="0" applyNumberFormat="1" applyFont="1" applyFill="1" applyBorder="1" applyAlignment="1">
      <alignment vertical="top" wrapText="1"/>
    </xf>
    <xf numFmtId="4" fontId="28" fillId="6" borderId="100" xfId="0" applyNumberFormat="1" applyFont="1" applyFill="1" applyBorder="1" applyAlignment="1">
      <alignment vertical="top" wrapText="1"/>
    </xf>
    <xf numFmtId="40" fontId="33" fillId="6" borderId="101" xfId="0" applyNumberFormat="1" applyFont="1" applyFill="1" applyBorder="1" applyAlignment="1">
      <alignment vertical="top" wrapText="1"/>
    </xf>
    <xf numFmtId="17" fontId="7" fillId="0" borderId="34" xfId="0" applyNumberFormat="1" applyFont="1" applyBorder="1" applyAlignment="1">
      <alignment horizontal="right" vertical="top" wrapText="1"/>
    </xf>
    <xf numFmtId="166" fontId="7" fillId="0" borderId="55" xfId="0" applyNumberFormat="1" applyFont="1" applyBorder="1" applyAlignment="1">
      <alignment horizontal="left" vertical="top"/>
    </xf>
    <xf numFmtId="166" fontId="7" fillId="0" borderId="57" xfId="0" applyNumberFormat="1" applyFont="1" applyBorder="1" applyAlignment="1">
      <alignment horizontal="center" vertical="top"/>
    </xf>
    <xf numFmtId="166" fontId="7" fillId="0" borderId="58" xfId="0" applyNumberFormat="1" applyFont="1" applyBorder="1" applyAlignment="1">
      <alignment horizontal="center" vertical="top"/>
    </xf>
    <xf numFmtId="166" fontId="7" fillId="0" borderId="22" xfId="0" applyNumberFormat="1" applyFont="1" applyBorder="1" applyAlignment="1">
      <alignment horizontal="left" vertical="top"/>
    </xf>
    <xf numFmtId="17" fontId="7" fillId="0" borderId="89" xfId="0" applyNumberFormat="1" applyFont="1" applyBorder="1" applyAlignment="1">
      <alignment horizontal="right" vertical="top" wrapText="1"/>
    </xf>
    <xf numFmtId="166" fontId="7" fillId="0" borderId="74" xfId="0" applyNumberFormat="1" applyFont="1" applyBorder="1" applyAlignment="1">
      <alignment horizontal="left" vertical="top" wrapText="1"/>
    </xf>
    <xf numFmtId="166" fontId="7" fillId="0" borderId="93" xfId="0" applyNumberFormat="1" applyFont="1" applyBorder="1" applyAlignment="1">
      <alignment horizontal="center" vertical="top" wrapText="1"/>
    </xf>
    <xf numFmtId="166" fontId="7" fillId="0" borderId="89" xfId="0" applyNumberFormat="1" applyFont="1" applyBorder="1" applyAlignment="1">
      <alignment horizontal="center" vertical="top" wrapText="1"/>
    </xf>
    <xf numFmtId="0" fontId="26" fillId="0" borderId="74" xfId="0" applyFont="1" applyBorder="1" applyAlignment="1">
      <alignment horizontal="center" vertical="top" wrapText="1"/>
    </xf>
    <xf numFmtId="15" fontId="25" fillId="0" borderId="93" xfId="0" applyNumberFormat="1" applyFont="1" applyBorder="1" applyAlignment="1">
      <alignment horizontal="center" vertical="top" wrapText="1"/>
    </xf>
    <xf numFmtId="0" fontId="25" fillId="0" borderId="89" xfId="0" applyFont="1" applyBorder="1" applyAlignment="1">
      <alignment horizontal="right" vertical="top" wrapText="1"/>
    </xf>
    <xf numFmtId="44" fontId="25" fillId="0" borderId="90" xfId="2" applyFont="1" applyFill="1" applyBorder="1" applyAlignment="1" applyProtection="1">
      <alignment vertical="top" wrapText="1"/>
    </xf>
    <xf numFmtId="0" fontId="25" fillId="0" borderId="89" xfId="0" applyFont="1" applyBorder="1" applyAlignment="1">
      <alignment vertical="top" wrapText="1"/>
    </xf>
    <xf numFmtId="44" fontId="25" fillId="0" borderId="90" xfId="0" applyNumberFormat="1" applyFont="1" applyBorder="1" applyAlignment="1">
      <alignment vertical="top" wrapText="1"/>
    </xf>
    <xf numFmtId="44" fontId="25" fillId="10" borderId="90" xfId="0" applyNumberFormat="1" applyFont="1" applyFill="1" applyBorder="1" applyAlignment="1">
      <alignment vertical="top" wrapText="1"/>
    </xf>
    <xf numFmtId="0" fontId="25" fillId="10" borderId="89" xfId="0" applyFont="1" applyFill="1" applyBorder="1" applyAlignment="1">
      <alignment vertical="top" wrapText="1"/>
    </xf>
    <xf numFmtId="0" fontId="25" fillId="0" borderId="93" xfId="0" applyFont="1" applyBorder="1" applyAlignment="1">
      <alignment vertical="top" wrapText="1"/>
    </xf>
    <xf numFmtId="0" fontId="28" fillId="0" borderId="63" xfId="0" applyFont="1" applyBorder="1" applyAlignment="1">
      <alignment horizontal="center" vertical="top" wrapText="1"/>
    </xf>
    <xf numFmtId="0" fontId="5" fillId="0" borderId="21" xfId="0" applyFont="1" applyBorder="1" applyAlignment="1">
      <alignment vertical="top" wrapText="1"/>
    </xf>
    <xf numFmtId="0" fontId="5" fillId="0" borderId="90" xfId="0" applyFont="1" applyBorder="1" applyAlignment="1">
      <alignment vertical="top" wrapText="1"/>
    </xf>
    <xf numFmtId="0" fontId="5" fillId="0" borderId="89" xfId="0" applyFont="1" applyBorder="1" applyAlignment="1">
      <alignment vertical="top" wrapText="1"/>
    </xf>
    <xf numFmtId="17" fontId="14" fillId="0" borderId="0" xfId="0" applyNumberFormat="1" applyFont="1" applyAlignment="1">
      <alignment horizontal="right" vertical="top" wrapText="1"/>
    </xf>
    <xf numFmtId="17" fontId="14" fillId="0" borderId="28" xfId="0" applyNumberFormat="1" applyFont="1" applyBorder="1" applyAlignment="1">
      <alignment horizontal="right" vertical="top" wrapText="1"/>
    </xf>
    <xf numFmtId="17" fontId="14" fillId="8" borderId="55" xfId="0" applyNumberFormat="1" applyFont="1" applyFill="1" applyBorder="1" applyAlignment="1">
      <alignment horizontal="right" vertical="top" wrapText="1"/>
    </xf>
    <xf numFmtId="0" fontId="5" fillId="0" borderId="22" xfId="0" applyFont="1" applyBorder="1" applyAlignment="1">
      <alignment vertical="top" wrapText="1"/>
    </xf>
    <xf numFmtId="0" fontId="5" fillId="0" borderId="71" xfId="0" applyFont="1" applyBorder="1" applyAlignment="1">
      <alignment vertical="top" wrapText="1"/>
    </xf>
    <xf numFmtId="0" fontId="5" fillId="0" borderId="70" xfId="0" applyFont="1" applyBorder="1" applyAlignment="1">
      <alignment vertical="top" wrapText="1"/>
    </xf>
    <xf numFmtId="4" fontId="32" fillId="0" borderId="63" xfId="0" applyNumberFormat="1" applyFont="1" applyBorder="1" applyAlignment="1">
      <alignment vertical="top" wrapText="1"/>
    </xf>
    <xf numFmtId="4" fontId="32" fillId="0" borderId="34" xfId="0" applyNumberFormat="1" applyFont="1" applyBorder="1" applyAlignment="1">
      <alignment vertical="top" wrapText="1"/>
    </xf>
    <xf numFmtId="0" fontId="7" fillId="0" borderId="100" xfId="0" applyFont="1" applyBorder="1" applyAlignment="1">
      <alignment vertical="top" wrapText="1"/>
    </xf>
    <xf numFmtId="17" fontId="7" fillId="0" borderId="100" xfId="0" applyNumberFormat="1" applyFont="1" applyBorder="1" applyAlignment="1">
      <alignment vertical="top" wrapText="1"/>
    </xf>
    <xf numFmtId="17" fontId="6" fillId="0" borderId="100" xfId="0" applyNumberFormat="1" applyFont="1" applyBorder="1" applyAlignment="1">
      <alignment horizontal="left" vertical="top" wrapText="1"/>
    </xf>
    <xf numFmtId="0" fontId="7" fillId="0" borderId="100" xfId="0" applyFont="1" applyBorder="1" applyAlignment="1">
      <alignment horizontal="left" vertical="top" wrapText="1"/>
    </xf>
    <xf numFmtId="17" fontId="7" fillId="10" borderId="100" xfId="0" applyNumberFormat="1" applyFont="1" applyFill="1" applyBorder="1" applyAlignment="1">
      <alignment horizontal="right" vertical="top" wrapText="1"/>
    </xf>
    <xf numFmtId="17" fontId="7" fillId="10" borderId="100" xfId="0" applyNumberFormat="1" applyFont="1" applyFill="1" applyBorder="1" applyAlignment="1">
      <alignment vertical="top" wrapText="1"/>
    </xf>
    <xf numFmtId="0" fontId="25" fillId="0" borderId="100" xfId="0" applyFont="1" applyBorder="1" applyAlignment="1">
      <alignment horizontal="right" vertical="top" wrapText="1"/>
    </xf>
    <xf numFmtId="17" fontId="25" fillId="0" borderId="100" xfId="0" applyNumberFormat="1" applyFont="1" applyBorder="1" applyAlignment="1">
      <alignment vertical="top" wrapText="1"/>
    </xf>
    <xf numFmtId="0" fontId="25" fillId="0" borderId="100" xfId="0" applyFont="1" applyBorder="1" applyAlignment="1">
      <alignment vertical="top" wrapText="1"/>
    </xf>
    <xf numFmtId="0" fontId="25" fillId="6" borderId="100" xfId="0" applyFont="1" applyFill="1" applyBorder="1" applyAlignment="1">
      <alignment vertical="top" wrapText="1"/>
    </xf>
    <xf numFmtId="0" fontId="25" fillId="10" borderId="100" xfId="0" applyFont="1" applyFill="1" applyBorder="1" applyAlignment="1">
      <alignment vertical="top" wrapText="1"/>
    </xf>
    <xf numFmtId="0" fontId="25" fillId="6" borderId="64" xfId="0" applyFont="1" applyFill="1" applyBorder="1" applyAlignment="1">
      <alignment horizontal="center" vertical="top" wrapText="1"/>
    </xf>
    <xf numFmtId="0" fontId="7" fillId="10" borderId="100" xfId="0" applyFont="1" applyFill="1" applyBorder="1" applyAlignment="1">
      <alignment horizontal="right" vertical="top" wrapText="1"/>
    </xf>
    <xf numFmtId="17" fontId="7" fillId="10" borderId="100" xfId="0" applyNumberFormat="1" applyFont="1" applyFill="1" applyBorder="1" applyAlignment="1">
      <alignment horizontal="left" vertical="top" wrapText="1"/>
    </xf>
    <xf numFmtId="0" fontId="25" fillId="10" borderId="100" xfId="0" applyFont="1" applyFill="1" applyBorder="1" applyAlignment="1">
      <alignment vertical="top"/>
    </xf>
    <xf numFmtId="166" fontId="7" fillId="6" borderId="85" xfId="0" applyNumberFormat="1" applyFont="1" applyFill="1" applyBorder="1" applyAlignment="1">
      <alignment horizontal="left" vertical="top" wrapText="1"/>
    </xf>
    <xf numFmtId="166" fontId="7" fillId="6" borderId="101" xfId="0" applyNumberFormat="1" applyFont="1" applyFill="1" applyBorder="1" applyAlignment="1">
      <alignment horizontal="center" vertical="top" wrapText="1"/>
    </xf>
    <xf numFmtId="166" fontId="7" fillId="6" borderId="100" xfId="0" applyNumberFormat="1" applyFont="1" applyFill="1" applyBorder="1" applyAlignment="1">
      <alignment horizontal="center" vertical="top" wrapText="1"/>
    </xf>
    <xf numFmtId="166" fontId="12" fillId="0" borderId="100" xfId="0" applyNumberFormat="1" applyFont="1" applyBorder="1" applyAlignment="1">
      <alignment horizontal="center" vertical="top" wrapText="1"/>
    </xf>
    <xf numFmtId="0" fontId="14" fillId="0" borderId="103" xfId="0" applyFont="1" applyBorder="1" applyAlignment="1">
      <alignment horizontal="center" vertical="top" wrapText="1"/>
    </xf>
    <xf numFmtId="0" fontId="14" fillId="0" borderId="104" xfId="0" applyFont="1" applyBorder="1" applyAlignment="1">
      <alignment horizontal="center" vertical="top" wrapText="1"/>
    </xf>
    <xf numFmtId="14" fontId="5" fillId="0" borderId="104" xfId="0" applyNumberFormat="1" applyFont="1" applyBorder="1" applyAlignment="1">
      <alignment horizontal="center" vertical="top" wrapText="1"/>
    </xf>
    <xf numFmtId="165" fontId="5" fillId="0" borderId="104" xfId="0" applyNumberFormat="1" applyFont="1" applyBorder="1" applyAlignment="1">
      <alignment horizontal="center" vertical="top" wrapText="1"/>
    </xf>
    <xf numFmtId="0" fontId="5" fillId="0" borderId="102" xfId="0" applyFont="1" applyBorder="1" applyAlignment="1">
      <alignment vertical="top" wrapText="1"/>
    </xf>
    <xf numFmtId="0" fontId="5" fillId="0" borderId="103" xfId="0" applyFont="1" applyBorder="1" applyAlignment="1">
      <alignment vertical="top" wrapText="1"/>
    </xf>
    <xf numFmtId="0" fontId="5" fillId="0" borderId="104" xfId="0" applyFont="1" applyBorder="1" applyAlignment="1">
      <alignment vertical="top" wrapText="1"/>
    </xf>
    <xf numFmtId="14" fontId="5" fillId="0" borderId="102" xfId="0" applyNumberFormat="1" applyFont="1" applyBorder="1" applyAlignment="1">
      <alignment horizontal="center" vertical="top" wrapText="1"/>
    </xf>
    <xf numFmtId="0" fontId="28" fillId="0" borderId="103" xfId="0" applyFont="1" applyBorder="1" applyAlignment="1">
      <alignment vertical="top" wrapText="1"/>
    </xf>
    <xf numFmtId="0" fontId="32" fillId="0" borderId="102" xfId="0" applyFont="1" applyBorder="1" applyAlignment="1">
      <alignment vertical="top" wrapText="1"/>
    </xf>
    <xf numFmtId="4" fontId="5" fillId="0" borderId="103" xfId="0" applyNumberFormat="1" applyFont="1" applyBorder="1" applyAlignment="1">
      <alignment vertical="top" wrapText="1"/>
    </xf>
    <xf numFmtId="4" fontId="32" fillId="0" borderId="104" xfId="0" applyNumberFormat="1" applyFont="1" applyBorder="1" applyAlignment="1">
      <alignment vertical="top" wrapText="1"/>
    </xf>
    <xf numFmtId="4" fontId="33" fillId="0" borderId="102" xfId="0" applyNumberFormat="1" applyFont="1" applyBorder="1" applyAlignment="1">
      <alignment vertical="top" wrapText="1"/>
    </xf>
    <xf numFmtId="4" fontId="5" fillId="10" borderId="103" xfId="0" applyNumberFormat="1" applyFont="1" applyFill="1" applyBorder="1" applyAlignment="1">
      <alignment vertical="top" wrapText="1"/>
    </xf>
    <xf numFmtId="4" fontId="32" fillId="10" borderId="104" xfId="0" applyNumberFormat="1" applyFont="1" applyFill="1" applyBorder="1" applyAlignment="1">
      <alignment vertical="top" wrapText="1"/>
    </xf>
    <xf numFmtId="4" fontId="33" fillId="10" borderId="102" xfId="0" applyNumberFormat="1" applyFont="1" applyFill="1" applyBorder="1" applyAlignment="1">
      <alignment vertical="top" wrapText="1"/>
    </xf>
    <xf numFmtId="4" fontId="14" fillId="0" borderId="103" xfId="0" applyNumberFormat="1" applyFont="1" applyBorder="1" applyAlignment="1">
      <alignment vertical="top" wrapText="1"/>
    </xf>
    <xf numFmtId="4" fontId="28" fillId="0" borderId="102" xfId="0" applyNumberFormat="1" applyFont="1" applyBorder="1" applyAlignment="1">
      <alignment vertical="top" wrapText="1"/>
    </xf>
    <xf numFmtId="40" fontId="33" fillId="0" borderId="103" xfId="0" applyNumberFormat="1" applyFont="1" applyBorder="1" applyAlignment="1">
      <alignment vertical="top" wrapText="1"/>
    </xf>
    <xf numFmtId="40" fontId="33" fillId="0" borderId="104" xfId="0" applyNumberFormat="1" applyFont="1" applyBorder="1" applyAlignment="1">
      <alignment vertical="top" wrapText="1"/>
    </xf>
    <xf numFmtId="40" fontId="33" fillId="10" borderId="104" xfId="0" applyNumberFormat="1" applyFont="1" applyFill="1" applyBorder="1" applyAlignment="1">
      <alignment vertical="top" wrapText="1"/>
    </xf>
    <xf numFmtId="0" fontId="33" fillId="0" borderId="23" xfId="0" applyFont="1" applyBorder="1" applyAlignment="1">
      <alignment vertical="top" wrapText="1"/>
    </xf>
    <xf numFmtId="0" fontId="25" fillId="10" borderId="105" xfId="0" applyFont="1" applyFill="1" applyBorder="1" applyAlignment="1">
      <alignment vertical="top" wrapText="1"/>
    </xf>
    <xf numFmtId="0" fontId="14" fillId="11" borderId="63" xfId="0" applyFont="1" applyFill="1" applyBorder="1" applyAlignment="1">
      <alignment horizontal="center" vertical="top" wrapText="1"/>
    </xf>
    <xf numFmtId="0" fontId="8" fillId="19" borderId="64" xfId="0" applyFont="1" applyFill="1" applyBorder="1" applyAlignment="1">
      <alignment vertical="top" wrapText="1"/>
    </xf>
    <xf numFmtId="0" fontId="6" fillId="19" borderId="64" xfId="0" applyFont="1" applyFill="1" applyBorder="1" applyAlignment="1">
      <alignment horizontal="center" vertical="top" wrapText="1"/>
    </xf>
    <xf numFmtId="49" fontId="6" fillId="19" borderId="22" xfId="0" applyNumberFormat="1" applyFont="1" applyFill="1" applyBorder="1" applyAlignment="1">
      <alignment horizontal="left" vertical="top" wrapText="1"/>
    </xf>
    <xf numFmtId="0" fontId="7" fillId="19" borderId="64" xfId="0" applyFont="1" applyFill="1" applyBorder="1" applyAlignment="1">
      <alignment vertical="top" wrapText="1"/>
    </xf>
    <xf numFmtId="0" fontId="7" fillId="19" borderId="51" xfId="0" applyFont="1" applyFill="1" applyBorder="1" applyAlignment="1">
      <alignment vertical="top" wrapText="1"/>
    </xf>
    <xf numFmtId="44" fontId="7" fillId="19" borderId="21" xfId="0" applyNumberFormat="1" applyFont="1" applyFill="1" applyBorder="1" applyAlignment="1">
      <alignment vertical="top" wrapText="1"/>
    </xf>
    <xf numFmtId="17" fontId="7" fillId="19" borderId="34" xfId="0" applyNumberFormat="1" applyFont="1" applyFill="1" applyBorder="1" applyAlignment="1">
      <alignment vertical="top" wrapText="1"/>
    </xf>
    <xf numFmtId="44" fontId="6" fillId="19" borderId="21" xfId="0" applyNumberFormat="1" applyFont="1" applyFill="1" applyBorder="1" applyAlignment="1">
      <alignment vertical="top" wrapText="1"/>
    </xf>
    <xf numFmtId="17" fontId="6" fillId="19" borderId="34" xfId="0" applyNumberFormat="1" applyFont="1" applyFill="1" applyBorder="1" applyAlignment="1">
      <alignment horizontal="left" vertical="top" wrapText="1"/>
    </xf>
    <xf numFmtId="0" fontId="7" fillId="19" borderId="34" xfId="0" applyFont="1" applyFill="1" applyBorder="1" applyAlignment="1">
      <alignment horizontal="left" vertical="top" wrapText="1"/>
    </xf>
    <xf numFmtId="17" fontId="7" fillId="19" borderId="34" xfId="0" applyNumberFormat="1" applyFont="1" applyFill="1" applyBorder="1" applyAlignment="1">
      <alignment horizontal="right" vertical="top" wrapText="1"/>
    </xf>
    <xf numFmtId="17" fontId="7" fillId="19" borderId="34" xfId="0" applyNumberFormat="1" applyFont="1" applyFill="1" applyBorder="1" applyAlignment="1">
      <alignment horizontal="left" vertical="top" wrapText="1"/>
    </xf>
    <xf numFmtId="44" fontId="6" fillId="19" borderId="64" xfId="2" applyFont="1" applyFill="1" applyBorder="1" applyAlignment="1" applyProtection="1">
      <alignment vertical="top" wrapText="1"/>
    </xf>
    <xf numFmtId="166" fontId="12" fillId="19" borderId="22" xfId="0" applyNumberFormat="1" applyFont="1" applyFill="1" applyBorder="1" applyAlignment="1">
      <alignment horizontal="left" vertical="top" wrapText="1"/>
    </xf>
    <xf numFmtId="166" fontId="12" fillId="19" borderId="51" xfId="0" applyNumberFormat="1" applyFont="1" applyFill="1" applyBorder="1" applyAlignment="1">
      <alignment horizontal="center" vertical="top" wrapText="1"/>
    </xf>
    <xf numFmtId="166" fontId="7" fillId="19" borderId="34" xfId="0" applyNumberFormat="1" applyFont="1" applyFill="1" applyBorder="1" applyAlignment="1">
      <alignment horizontal="center" vertical="top" wrapText="1"/>
    </xf>
    <xf numFmtId="0" fontId="26" fillId="19" borderId="22" xfId="0" applyFont="1" applyFill="1" applyBorder="1" applyAlignment="1">
      <alignment horizontal="center" vertical="top" wrapText="1"/>
    </xf>
    <xf numFmtId="15" fontId="25" fillId="19" borderId="51" xfId="0" applyNumberFormat="1" applyFont="1" applyFill="1" applyBorder="1" applyAlignment="1">
      <alignment horizontal="center" vertical="top" wrapText="1"/>
    </xf>
    <xf numFmtId="0" fontId="25" fillId="19" borderId="34" xfId="0" applyFont="1" applyFill="1" applyBorder="1" applyAlignment="1">
      <alignment horizontal="right" vertical="top" wrapText="1"/>
    </xf>
    <xf numFmtId="44" fontId="25" fillId="19" borderId="21" xfId="2" applyFont="1" applyFill="1" applyBorder="1" applyAlignment="1" applyProtection="1">
      <alignment vertical="top" wrapText="1"/>
    </xf>
    <xf numFmtId="0" fontId="25" fillId="19" borderId="34" xfId="0" applyFont="1" applyFill="1" applyBorder="1" applyAlignment="1">
      <alignment vertical="top" wrapText="1"/>
    </xf>
    <xf numFmtId="44" fontId="25" fillId="19" borderId="22" xfId="0" applyNumberFormat="1" applyFont="1" applyFill="1" applyBorder="1" applyAlignment="1">
      <alignment vertical="top" wrapText="1"/>
    </xf>
    <xf numFmtId="44" fontId="25" fillId="19" borderId="21" xfId="0" applyNumberFormat="1" applyFont="1" applyFill="1" applyBorder="1" applyAlignment="1">
      <alignment vertical="top" wrapText="1"/>
    </xf>
    <xf numFmtId="0" fontId="25" fillId="19" borderId="51" xfId="0" applyFont="1" applyFill="1" applyBorder="1" applyAlignment="1">
      <alignment vertical="top" wrapText="1"/>
    </xf>
    <xf numFmtId="44" fontId="26" fillId="19" borderId="64" xfId="2" applyFont="1" applyFill="1" applyBorder="1" applyAlignment="1" applyProtection="1">
      <alignment horizontal="left" vertical="top" wrapText="1"/>
    </xf>
    <xf numFmtId="0" fontId="7" fillId="19" borderId="34" xfId="0" applyFont="1" applyFill="1" applyBorder="1" applyAlignment="1">
      <alignment horizontal="right" vertical="top" wrapText="1"/>
    </xf>
    <xf numFmtId="166" fontId="7" fillId="19" borderId="22" xfId="0" applyNumberFormat="1" applyFont="1" applyFill="1" applyBorder="1" applyAlignment="1">
      <alignment horizontal="left" vertical="top" wrapText="1"/>
    </xf>
    <xf numFmtId="166" fontId="7" fillId="19" borderId="51" xfId="0" applyNumberFormat="1" applyFont="1" applyFill="1" applyBorder="1" applyAlignment="1">
      <alignment horizontal="center" vertical="top" wrapText="1"/>
    </xf>
    <xf numFmtId="0" fontId="24" fillId="19" borderId="64" xfId="0" applyFont="1" applyFill="1" applyBorder="1" applyAlignment="1">
      <alignment vertical="top" wrapText="1"/>
    </xf>
    <xf numFmtId="0" fontId="14" fillId="6" borderId="103" xfId="0" applyFont="1" applyFill="1" applyBorder="1" applyAlignment="1">
      <alignment horizontal="center" vertical="top" wrapText="1"/>
    </xf>
    <xf numFmtId="0" fontId="28" fillId="6" borderId="109" xfId="0" applyFont="1" applyFill="1" applyBorder="1" applyAlignment="1">
      <alignment horizontal="center" vertical="top" wrapText="1"/>
    </xf>
    <xf numFmtId="14" fontId="5" fillId="6" borderId="109" xfId="0" applyNumberFormat="1" applyFont="1" applyFill="1" applyBorder="1" applyAlignment="1">
      <alignment horizontal="center" vertical="top" wrapText="1"/>
    </xf>
    <xf numFmtId="165" fontId="5" fillId="6" borderId="109" xfId="0" applyNumberFormat="1" applyFont="1" applyFill="1" applyBorder="1" applyAlignment="1">
      <alignment horizontal="center" vertical="top" wrapText="1"/>
    </xf>
    <xf numFmtId="167" fontId="5" fillId="6" borderId="109" xfId="0" applyNumberFormat="1" applyFont="1" applyFill="1" applyBorder="1" applyAlignment="1">
      <alignment horizontal="center" vertical="top" wrapText="1"/>
    </xf>
    <xf numFmtId="0" fontId="5" fillId="6" borderId="108" xfId="0" applyFont="1" applyFill="1" applyBorder="1" applyAlignment="1">
      <alignment vertical="top" wrapText="1"/>
    </xf>
    <xf numFmtId="0" fontId="5" fillId="6" borderId="103" xfId="0" applyFont="1" applyFill="1" applyBorder="1" applyAlignment="1">
      <alignment vertical="top" wrapText="1"/>
    </xf>
    <xf numFmtId="0" fontId="5" fillId="6" borderId="109" xfId="0" applyFont="1" applyFill="1" applyBorder="1" applyAlignment="1">
      <alignment vertical="top" wrapText="1"/>
    </xf>
    <xf numFmtId="14" fontId="5" fillId="6" borderId="108" xfId="0" applyNumberFormat="1" applyFont="1" applyFill="1" applyBorder="1" applyAlignment="1">
      <alignment horizontal="center" vertical="top" wrapText="1"/>
    </xf>
    <xf numFmtId="0" fontId="33" fillId="6" borderId="103" xfId="0" applyFont="1" applyFill="1" applyBorder="1" applyAlignment="1">
      <alignment vertical="top" wrapText="1"/>
    </xf>
    <xf numFmtId="0" fontId="33" fillId="6" borderId="108" xfId="0" applyFont="1" applyFill="1" applyBorder="1" applyAlignment="1">
      <alignment vertical="top" wrapText="1"/>
    </xf>
    <xf numFmtId="4" fontId="5" fillId="6" borderId="103" xfId="0" applyNumberFormat="1" applyFont="1" applyFill="1" applyBorder="1" applyAlignment="1">
      <alignment vertical="top" wrapText="1"/>
    </xf>
    <xf numFmtId="4" fontId="32" fillId="6" borderId="109" xfId="0" applyNumberFormat="1" applyFont="1" applyFill="1" applyBorder="1" applyAlignment="1">
      <alignment vertical="top" wrapText="1"/>
    </xf>
    <xf numFmtId="4" fontId="33" fillId="6" borderId="108" xfId="0" applyNumberFormat="1" applyFont="1" applyFill="1" applyBorder="1" applyAlignment="1">
      <alignment vertical="top" wrapText="1"/>
    </xf>
    <xf numFmtId="4" fontId="32" fillId="10" borderId="109" xfId="0" applyNumberFormat="1" applyFont="1" applyFill="1" applyBorder="1" applyAlignment="1">
      <alignment vertical="top" wrapText="1"/>
    </xf>
    <xf numFmtId="4" fontId="33" fillId="10" borderId="108" xfId="0" applyNumberFormat="1" applyFont="1" applyFill="1" applyBorder="1" applyAlignment="1">
      <alignment vertical="top" wrapText="1"/>
    </xf>
    <xf numFmtId="4" fontId="14" fillId="6" borderId="103" xfId="0" applyNumberFormat="1" applyFont="1" applyFill="1" applyBorder="1" applyAlignment="1">
      <alignment vertical="top" wrapText="1"/>
    </xf>
    <xf numFmtId="4" fontId="28" fillId="6" borderId="108" xfId="0" applyNumberFormat="1" applyFont="1" applyFill="1" applyBorder="1" applyAlignment="1">
      <alignment vertical="top" wrapText="1"/>
    </xf>
    <xf numFmtId="40" fontId="33" fillId="6" borderId="103" xfId="0" applyNumberFormat="1" applyFont="1" applyFill="1" applyBorder="1" applyAlignment="1">
      <alignment vertical="top" wrapText="1"/>
    </xf>
    <xf numFmtId="40" fontId="33" fillId="6" borderId="109" xfId="0" applyNumberFormat="1" applyFont="1" applyFill="1" applyBorder="1" applyAlignment="1">
      <alignment vertical="top" wrapText="1"/>
    </xf>
    <xf numFmtId="40" fontId="33" fillId="10" borderId="109" xfId="0" applyNumberFormat="1" applyFont="1" applyFill="1" applyBorder="1" applyAlignment="1">
      <alignment vertical="top" wrapText="1"/>
    </xf>
    <xf numFmtId="44" fontId="7" fillId="0" borderId="90" xfId="5" applyNumberFormat="1" applyFont="1" applyBorder="1" applyAlignment="1">
      <alignment vertical="top" wrapText="1"/>
    </xf>
    <xf numFmtId="0" fontId="14" fillId="0" borderId="109" xfId="0" applyFont="1" applyBorder="1" applyAlignment="1">
      <alignment horizontal="center" vertical="top" wrapText="1"/>
    </xf>
    <xf numFmtId="14" fontId="5" fillId="0" borderId="109" xfId="0" applyNumberFormat="1" applyFont="1" applyBorder="1" applyAlignment="1">
      <alignment horizontal="center" vertical="top" wrapText="1"/>
    </xf>
    <xf numFmtId="0" fontId="5" fillId="0" borderId="108" xfId="0" applyFont="1" applyBorder="1" applyAlignment="1">
      <alignment vertical="top" wrapText="1"/>
    </xf>
    <xf numFmtId="0" fontId="5" fillId="0" borderId="109" xfId="0" applyFont="1" applyBorder="1" applyAlignment="1">
      <alignment vertical="top" wrapText="1"/>
    </xf>
    <xf numFmtId="14" fontId="5" fillId="0" borderId="108" xfId="0" applyNumberFormat="1" applyFont="1" applyBorder="1" applyAlignment="1">
      <alignment horizontal="center" vertical="top" wrapText="1"/>
    </xf>
    <xf numFmtId="0" fontId="33" fillId="0" borderId="103" xfId="0" applyFont="1" applyBorder="1" applyAlignment="1">
      <alignment vertical="top" wrapText="1"/>
    </xf>
    <xf numFmtId="4" fontId="32" fillId="0" borderId="109" xfId="0" applyNumberFormat="1" applyFont="1" applyBorder="1" applyAlignment="1">
      <alignment vertical="top" wrapText="1"/>
    </xf>
    <xf numFmtId="4" fontId="33" fillId="0" borderId="108" xfId="0" applyNumberFormat="1" applyFont="1" applyBorder="1" applyAlignment="1">
      <alignment vertical="top" wrapText="1"/>
    </xf>
    <xf numFmtId="4" fontId="28" fillId="0" borderId="108" xfId="0" applyNumberFormat="1" applyFont="1" applyBorder="1" applyAlignment="1">
      <alignment vertical="top" wrapText="1"/>
    </xf>
    <xf numFmtId="40" fontId="33" fillId="0" borderId="109" xfId="0" applyNumberFormat="1" applyFont="1" applyBorder="1" applyAlignment="1">
      <alignment vertical="top" wrapText="1"/>
    </xf>
    <xf numFmtId="8" fontId="14" fillId="15" borderId="3" xfId="2" applyNumberFormat="1" applyFont="1" applyFill="1" applyBorder="1" applyAlignment="1" applyProtection="1">
      <alignment vertical="top" wrapText="1"/>
    </xf>
    <xf numFmtId="8" fontId="33" fillId="15" borderId="3" xfId="0" applyNumberFormat="1" applyFont="1" applyFill="1" applyBorder="1" applyAlignment="1">
      <alignment vertical="top" wrapText="1"/>
    </xf>
    <xf numFmtId="0" fontId="28" fillId="6" borderId="52" xfId="0" applyFont="1" applyFill="1" applyBorder="1" applyAlignment="1">
      <alignment horizontal="center" vertical="top" wrapText="1"/>
    </xf>
    <xf numFmtId="0" fontId="7" fillId="6" borderId="112" xfId="0" applyFont="1" applyFill="1" applyBorder="1" applyAlignment="1">
      <alignment vertical="top" wrapText="1"/>
    </xf>
    <xf numFmtId="17" fontId="7" fillId="6" borderId="112" xfId="0" applyNumberFormat="1" applyFont="1" applyFill="1" applyBorder="1" applyAlignment="1">
      <alignment vertical="top" wrapText="1"/>
    </xf>
    <xf numFmtId="17" fontId="6" fillId="6" borderId="112" xfId="0" applyNumberFormat="1" applyFont="1" applyFill="1" applyBorder="1" applyAlignment="1">
      <alignment horizontal="left" vertical="top" wrapText="1"/>
    </xf>
    <xf numFmtId="0" fontId="7" fillId="6" borderId="112" xfId="0" applyFont="1" applyFill="1" applyBorder="1" applyAlignment="1">
      <alignment horizontal="left" vertical="top" wrapText="1"/>
    </xf>
    <xf numFmtId="0" fontId="7" fillId="10" borderId="112" xfId="0" applyFont="1" applyFill="1" applyBorder="1" applyAlignment="1">
      <alignment horizontal="right" vertical="top" wrapText="1"/>
    </xf>
    <xf numFmtId="0" fontId="7" fillId="10" borderId="112" xfId="0" applyFont="1" applyFill="1" applyBorder="1" applyAlignment="1">
      <alignment horizontal="left" vertical="top" wrapText="1"/>
    </xf>
    <xf numFmtId="0" fontId="6" fillId="6" borderId="112" xfId="0" applyFont="1" applyFill="1" applyBorder="1" applyAlignment="1">
      <alignment vertical="top" wrapText="1"/>
    </xf>
    <xf numFmtId="166" fontId="7" fillId="6" borderId="112" xfId="0" applyNumberFormat="1" applyFont="1" applyFill="1" applyBorder="1" applyAlignment="1">
      <alignment horizontal="center" vertical="top" wrapText="1"/>
    </xf>
    <xf numFmtId="0" fontId="25" fillId="6" borderId="112" xfId="0" applyFont="1" applyFill="1" applyBorder="1" applyAlignment="1">
      <alignment horizontal="right" vertical="top"/>
    </xf>
    <xf numFmtId="0" fontId="25" fillId="6" borderId="112" xfId="0" applyFont="1" applyFill="1" applyBorder="1" applyAlignment="1">
      <alignment vertical="top"/>
    </xf>
    <xf numFmtId="0" fontId="25" fillId="10" borderId="112" xfId="0" applyFont="1" applyFill="1" applyBorder="1" applyAlignment="1">
      <alignment vertical="top"/>
    </xf>
    <xf numFmtId="17" fontId="25" fillId="6" borderId="112" xfId="0" applyNumberFormat="1" applyFont="1" applyFill="1" applyBorder="1" applyAlignment="1">
      <alignment vertical="top"/>
    </xf>
    <xf numFmtId="179" fontId="5" fillId="18" borderId="23" xfId="1" applyNumberFormat="1" applyFont="1" applyFill="1" applyBorder="1" applyAlignment="1" applyProtection="1">
      <alignment horizontal="center" vertical="top" wrapText="1"/>
    </xf>
    <xf numFmtId="179" fontId="5" fillId="0" borderId="35" xfId="1" applyNumberFormat="1" applyFont="1" applyFill="1" applyBorder="1" applyAlignment="1" applyProtection="1">
      <alignment horizontal="center" vertical="top" wrapText="1"/>
    </xf>
    <xf numFmtId="179" fontId="5" fillId="0" borderId="23" xfId="1" applyNumberFormat="1" applyFont="1" applyFill="1" applyBorder="1" applyAlignment="1" applyProtection="1">
      <alignment horizontal="center" vertical="top" wrapText="1"/>
    </xf>
    <xf numFmtId="179" fontId="5" fillId="15" borderId="23" xfId="1" applyNumberFormat="1" applyFont="1" applyFill="1" applyBorder="1" applyAlignment="1" applyProtection="1">
      <alignment horizontal="center" vertical="top" wrapText="1"/>
    </xf>
    <xf numFmtId="0" fontId="24" fillId="0" borderId="89" xfId="5" applyFont="1" applyBorder="1" applyAlignment="1">
      <alignment vertical="top" wrapText="1"/>
    </xf>
    <xf numFmtId="44" fontId="25" fillId="0" borderId="90" xfId="5" applyNumberFormat="1" applyFont="1" applyBorder="1" applyAlignment="1">
      <alignment vertical="top" wrapText="1"/>
    </xf>
    <xf numFmtId="165" fontId="32" fillId="15" borderId="23" xfId="0" applyNumberFormat="1" applyFont="1" applyFill="1" applyBorder="1" applyAlignment="1">
      <alignment horizontal="center" vertical="top" wrapText="1"/>
    </xf>
    <xf numFmtId="179" fontId="32" fillId="15" borderId="23" xfId="1" applyNumberFormat="1" applyFont="1" applyFill="1" applyBorder="1" applyAlignment="1" applyProtection="1">
      <alignment horizontal="center" vertical="top" wrapText="1"/>
    </xf>
    <xf numFmtId="0" fontId="28" fillId="15" borderId="98" xfId="0" applyFont="1" applyFill="1" applyBorder="1" applyAlignment="1">
      <alignment horizontal="center" vertical="top" wrapText="1"/>
    </xf>
    <xf numFmtId="0" fontId="14" fillId="15" borderId="111" xfId="0" applyFont="1" applyFill="1" applyBorder="1" applyAlignment="1">
      <alignment horizontal="center" vertical="top" wrapText="1"/>
    </xf>
    <xf numFmtId="14" fontId="5" fillId="15" borderId="111" xfId="0" applyNumberFormat="1" applyFont="1" applyFill="1" applyBorder="1" applyAlignment="1">
      <alignment horizontal="center" vertical="top" wrapText="1"/>
    </xf>
    <xf numFmtId="0" fontId="5" fillId="15" borderId="110" xfId="0" applyFont="1" applyFill="1" applyBorder="1" applyAlignment="1">
      <alignment vertical="top" wrapText="1"/>
    </xf>
    <xf numFmtId="0" fontId="33" fillId="15" borderId="23" xfId="0" applyFont="1" applyFill="1" applyBorder="1" applyAlignment="1">
      <alignment vertical="top" wrapText="1"/>
    </xf>
    <xf numFmtId="14" fontId="33" fillId="15" borderId="110" xfId="0" applyNumberFormat="1" applyFont="1" applyFill="1" applyBorder="1" applyAlignment="1">
      <alignment horizontal="center" vertical="top" wrapText="1"/>
    </xf>
    <xf numFmtId="0" fontId="5" fillId="15" borderId="98" xfId="0" applyFont="1" applyFill="1" applyBorder="1" applyAlignment="1">
      <alignment vertical="top" wrapText="1"/>
    </xf>
    <xf numFmtId="0" fontId="5" fillId="15" borderId="111" xfId="0" applyFont="1" applyFill="1" applyBorder="1" applyAlignment="1">
      <alignment vertical="top" wrapText="1"/>
    </xf>
    <xf numFmtId="0" fontId="33" fillId="15" borderId="98" xfId="0" applyFont="1" applyFill="1" applyBorder="1" applyAlignment="1">
      <alignment vertical="top" wrapText="1"/>
    </xf>
    <xf numFmtId="0" fontId="33" fillId="15" borderId="111" xfId="0" applyFont="1" applyFill="1" applyBorder="1" applyAlignment="1">
      <alignment vertical="top" wrapText="1"/>
    </xf>
    <xf numFmtId="0" fontId="33" fillId="15" borderId="110" xfId="0" applyFont="1" applyFill="1" applyBorder="1" applyAlignment="1">
      <alignment vertical="top" wrapText="1"/>
    </xf>
    <xf numFmtId="14" fontId="33" fillId="0" borderId="34" xfId="0" applyNumberFormat="1" applyFont="1" applyBorder="1" applyAlignment="1">
      <alignment horizontal="center" vertical="top" wrapText="1"/>
    </xf>
    <xf numFmtId="0" fontId="14" fillId="15" borderId="114" xfId="0" applyFont="1" applyFill="1" applyBorder="1" applyAlignment="1">
      <alignment horizontal="center" vertical="top" wrapText="1"/>
    </xf>
    <xf numFmtId="0" fontId="14" fillId="15" borderId="115" xfId="0" applyFont="1" applyFill="1" applyBorder="1" applyAlignment="1">
      <alignment horizontal="center" vertical="top" wrapText="1"/>
    </xf>
    <xf numFmtId="14" fontId="5" fillId="15" borderId="115" xfId="0" applyNumberFormat="1" applyFont="1" applyFill="1" applyBorder="1" applyAlignment="1">
      <alignment horizontal="center" vertical="top" wrapText="1"/>
    </xf>
    <xf numFmtId="165" fontId="32" fillId="15" borderId="115" xfId="0" applyNumberFormat="1" applyFont="1" applyFill="1" applyBorder="1" applyAlignment="1">
      <alignment horizontal="center" vertical="top" wrapText="1"/>
    </xf>
    <xf numFmtId="179" fontId="32" fillId="15" borderId="115" xfId="1" applyNumberFormat="1" applyFont="1" applyFill="1" applyBorder="1" applyAlignment="1" applyProtection="1">
      <alignment horizontal="center" vertical="top" wrapText="1"/>
    </xf>
    <xf numFmtId="0" fontId="5" fillId="15" borderId="113" xfId="0" applyFont="1" applyFill="1" applyBorder="1" applyAlignment="1">
      <alignment vertical="top" wrapText="1"/>
    </xf>
    <xf numFmtId="0" fontId="5" fillId="15" borderId="114" xfId="0" applyFont="1" applyFill="1" applyBorder="1" applyAlignment="1">
      <alignment vertical="top" wrapText="1"/>
    </xf>
    <xf numFmtId="0" fontId="5" fillId="15" borderId="115" xfId="0" applyFont="1" applyFill="1" applyBorder="1" applyAlignment="1">
      <alignment vertical="top" wrapText="1"/>
    </xf>
    <xf numFmtId="14" fontId="5" fillId="15" borderId="113" xfId="0" applyNumberFormat="1" applyFont="1" applyFill="1" applyBorder="1" applyAlignment="1">
      <alignment horizontal="center" vertical="top" wrapText="1"/>
    </xf>
    <xf numFmtId="0" fontId="33" fillId="15" borderId="114" xfId="0" applyFont="1" applyFill="1" applyBorder="1" applyAlignment="1">
      <alignment vertical="top" wrapText="1"/>
    </xf>
    <xf numFmtId="0" fontId="33" fillId="15" borderId="113" xfId="0" applyFont="1" applyFill="1" applyBorder="1" applyAlignment="1">
      <alignment vertical="top" wrapText="1"/>
    </xf>
    <xf numFmtId="4" fontId="5" fillId="15" borderId="114" xfId="0" applyNumberFormat="1" applyFont="1" applyFill="1" applyBorder="1" applyAlignment="1">
      <alignment vertical="top" wrapText="1"/>
    </xf>
    <xf numFmtId="4" fontId="32" fillId="15" borderId="115" xfId="0" applyNumberFormat="1" applyFont="1" applyFill="1" applyBorder="1" applyAlignment="1">
      <alignment vertical="top" wrapText="1"/>
    </xf>
    <xf numFmtId="4" fontId="33" fillId="15" borderId="113" xfId="0" applyNumberFormat="1" applyFont="1" applyFill="1" applyBorder="1" applyAlignment="1">
      <alignment vertical="top" wrapText="1"/>
    </xf>
    <xf numFmtId="4" fontId="5" fillId="10" borderId="114" xfId="0" applyNumberFormat="1" applyFont="1" applyFill="1" applyBorder="1" applyAlignment="1">
      <alignment vertical="top" wrapText="1"/>
    </xf>
    <xf numFmtId="4" fontId="32" fillId="10" borderId="115" xfId="0" applyNumberFormat="1" applyFont="1" applyFill="1" applyBorder="1" applyAlignment="1">
      <alignment vertical="top" wrapText="1"/>
    </xf>
    <xf numFmtId="4" fontId="33" fillId="10" borderId="113" xfId="0" applyNumberFormat="1" applyFont="1" applyFill="1" applyBorder="1" applyAlignment="1">
      <alignment vertical="top" wrapText="1"/>
    </xf>
    <xf numFmtId="4" fontId="14" fillId="15" borderId="114" xfId="0" applyNumberFormat="1" applyFont="1" applyFill="1" applyBorder="1" applyAlignment="1">
      <alignment vertical="top" wrapText="1"/>
    </xf>
    <xf numFmtId="4" fontId="28" fillId="15" borderId="113" xfId="0" applyNumberFormat="1" applyFont="1" applyFill="1" applyBorder="1" applyAlignment="1">
      <alignment vertical="top" wrapText="1"/>
    </xf>
    <xf numFmtId="40" fontId="33" fillId="15" borderId="114" xfId="0" applyNumberFormat="1" applyFont="1" applyFill="1" applyBorder="1" applyAlignment="1">
      <alignment vertical="top" wrapText="1"/>
    </xf>
    <xf numFmtId="40" fontId="33" fillId="15" borderId="115" xfId="0" applyNumberFormat="1" applyFont="1" applyFill="1" applyBorder="1" applyAlignment="1">
      <alignment vertical="top" wrapText="1"/>
    </xf>
    <xf numFmtId="40" fontId="33" fillId="10" borderId="115" xfId="0" applyNumberFormat="1" applyFont="1" applyFill="1" applyBorder="1" applyAlignment="1">
      <alignment vertical="top" wrapText="1"/>
    </xf>
    <xf numFmtId="179" fontId="32" fillId="0" borderId="23" xfId="1" applyNumberFormat="1" applyFont="1" applyFill="1" applyBorder="1" applyAlignment="1" applyProtection="1">
      <alignment horizontal="center" vertical="top" wrapText="1"/>
    </xf>
    <xf numFmtId="0" fontId="5" fillId="0" borderId="110" xfId="0" applyFont="1" applyBorder="1" applyAlignment="1">
      <alignment vertical="top" wrapText="1"/>
    </xf>
    <xf numFmtId="0" fontId="14" fillId="0" borderId="114" xfId="0" applyFont="1" applyBorder="1" applyAlignment="1">
      <alignment horizontal="center" vertical="top" wrapText="1"/>
    </xf>
    <xf numFmtId="0" fontId="14" fillId="0" borderId="115" xfId="0" applyFont="1" applyBorder="1" applyAlignment="1">
      <alignment horizontal="center" vertical="top" wrapText="1"/>
    </xf>
    <xf numFmtId="14" fontId="5" fillId="0" borderId="115" xfId="0" applyNumberFormat="1" applyFont="1" applyBorder="1" applyAlignment="1">
      <alignment horizontal="center" vertical="top" wrapText="1"/>
    </xf>
    <xf numFmtId="165" fontId="5" fillId="0" borderId="115" xfId="0" applyNumberFormat="1" applyFont="1" applyBorder="1" applyAlignment="1">
      <alignment horizontal="center" vertical="top" wrapText="1"/>
    </xf>
    <xf numFmtId="179" fontId="5" fillId="0" borderId="115" xfId="1" applyNumberFormat="1" applyFont="1" applyFill="1" applyBorder="1" applyAlignment="1" applyProtection="1">
      <alignment horizontal="center" vertical="top" wrapText="1"/>
    </xf>
    <xf numFmtId="0" fontId="5" fillId="0" borderId="113" xfId="0" applyFont="1" applyBorder="1" applyAlignment="1">
      <alignment vertical="top" wrapText="1"/>
    </xf>
    <xf numFmtId="0" fontId="5" fillId="0" borderId="114" xfId="0" applyFont="1" applyBorder="1" applyAlignment="1">
      <alignment vertical="top" wrapText="1"/>
    </xf>
    <xf numFmtId="0" fontId="5" fillId="0" borderId="115" xfId="0" applyFont="1" applyBorder="1" applyAlignment="1">
      <alignment vertical="top" wrapText="1"/>
    </xf>
    <xf numFmtId="14" fontId="5" fillId="0" borderId="113" xfId="0" applyNumberFormat="1" applyFont="1" applyBorder="1" applyAlignment="1">
      <alignment horizontal="center" vertical="top" wrapText="1"/>
    </xf>
    <xf numFmtId="0" fontId="33" fillId="0" borderId="114" xfId="0" applyFont="1" applyBorder="1" applyAlignment="1">
      <alignment vertical="top" wrapText="1"/>
    </xf>
    <xf numFmtId="0" fontId="33" fillId="0" borderId="113" xfId="0" applyFont="1" applyBorder="1" applyAlignment="1">
      <alignment vertical="top" wrapText="1"/>
    </xf>
    <xf numFmtId="4" fontId="5" fillId="0" borderId="114" xfId="0" applyNumberFormat="1" applyFont="1" applyBorder="1" applyAlignment="1">
      <alignment vertical="top" wrapText="1"/>
    </xf>
    <xf numFmtId="4" fontId="32" fillId="0" borderId="115" xfId="0" applyNumberFormat="1" applyFont="1" applyBorder="1" applyAlignment="1">
      <alignment vertical="top" wrapText="1"/>
    </xf>
    <xf numFmtId="4" fontId="33" fillId="0" borderId="113" xfId="0" applyNumberFormat="1" applyFont="1" applyBorder="1" applyAlignment="1">
      <alignment vertical="top" wrapText="1"/>
    </xf>
    <xf numFmtId="4" fontId="14" fillId="0" borderId="114" xfId="0" applyNumberFormat="1" applyFont="1" applyBorder="1" applyAlignment="1">
      <alignment vertical="top" wrapText="1"/>
    </xf>
    <xf numFmtId="4" fontId="28" fillId="0" borderId="113" xfId="0" applyNumberFormat="1" applyFont="1" applyBorder="1" applyAlignment="1">
      <alignment vertical="top" wrapText="1"/>
    </xf>
    <xf numFmtId="40" fontId="33" fillId="0" borderId="114" xfId="0" applyNumberFormat="1" applyFont="1" applyBorder="1" applyAlignment="1">
      <alignment vertical="top" wrapText="1"/>
    </xf>
    <xf numFmtId="40" fontId="33" fillId="0" borderId="115" xfId="0" applyNumberFormat="1" applyFont="1" applyBorder="1" applyAlignment="1">
      <alignment vertical="top" wrapText="1"/>
    </xf>
    <xf numFmtId="4" fontId="14" fillId="15" borderId="62" xfId="0" applyNumberFormat="1" applyFont="1" applyFill="1" applyBorder="1" applyAlignment="1">
      <alignment vertical="top" wrapText="1"/>
    </xf>
    <xf numFmtId="4" fontId="32" fillId="15" borderId="32" xfId="0" applyNumberFormat="1" applyFont="1" applyFill="1" applyBorder="1" applyAlignment="1">
      <alignment vertical="top" wrapText="1"/>
    </xf>
    <xf numFmtId="4" fontId="28" fillId="15" borderId="31" xfId="0" applyNumberFormat="1" applyFont="1" applyFill="1" applyBorder="1" applyAlignment="1">
      <alignment vertical="top" wrapText="1"/>
    </xf>
    <xf numFmtId="40" fontId="33" fillId="15" borderId="62" xfId="0" applyNumberFormat="1" applyFont="1" applyFill="1" applyBorder="1" applyAlignment="1">
      <alignment vertical="top" wrapText="1"/>
    </xf>
    <xf numFmtId="40" fontId="33" fillId="15" borderId="32" xfId="0" applyNumberFormat="1" applyFont="1" applyFill="1" applyBorder="1" applyAlignment="1">
      <alignment vertical="top" wrapText="1"/>
    </xf>
    <xf numFmtId="0" fontId="14" fillId="15" borderId="62" xfId="0" applyFont="1" applyFill="1" applyBorder="1" applyAlignment="1">
      <alignment horizontal="center" vertical="top" wrapText="1"/>
    </xf>
    <xf numFmtId="0" fontId="14" fillId="15" borderId="32" xfId="0" applyFont="1" applyFill="1" applyBorder="1" applyAlignment="1">
      <alignment horizontal="center" vertical="top" wrapText="1"/>
    </xf>
    <xf numFmtId="14" fontId="5" fillId="15" borderId="32" xfId="0" applyNumberFormat="1" applyFont="1" applyFill="1" applyBorder="1" applyAlignment="1">
      <alignment horizontal="center" vertical="top" wrapText="1"/>
    </xf>
    <xf numFmtId="165" fontId="5" fillId="15" borderId="32" xfId="0" applyNumberFormat="1" applyFont="1" applyFill="1" applyBorder="1" applyAlignment="1">
      <alignment horizontal="center" vertical="top" wrapText="1"/>
    </xf>
    <xf numFmtId="179" fontId="5" fillId="15" borderId="32" xfId="1" applyNumberFormat="1" applyFont="1" applyFill="1" applyBorder="1" applyAlignment="1" applyProtection="1">
      <alignment horizontal="center" vertical="top" wrapText="1"/>
    </xf>
    <xf numFmtId="0" fontId="5" fillId="15" borderId="31" xfId="0" applyFont="1" applyFill="1" applyBorder="1" applyAlignment="1">
      <alignment vertical="top" wrapText="1"/>
    </xf>
    <xf numFmtId="0" fontId="5" fillId="15" borderId="62" xfId="0" applyFont="1" applyFill="1" applyBorder="1" applyAlignment="1">
      <alignment vertical="top" wrapText="1"/>
    </xf>
    <xf numFmtId="0" fontId="5" fillId="15" borderId="32" xfId="0" applyFont="1" applyFill="1" applyBorder="1" applyAlignment="1">
      <alignment vertical="top" wrapText="1"/>
    </xf>
    <xf numFmtId="14" fontId="5" fillId="15" borderId="31" xfId="0" applyNumberFormat="1" applyFont="1" applyFill="1" applyBorder="1" applyAlignment="1">
      <alignment horizontal="center" vertical="top" wrapText="1"/>
    </xf>
    <xf numFmtId="0" fontId="33" fillId="15" borderId="62" xfId="0" applyFont="1" applyFill="1" applyBorder="1" applyAlignment="1">
      <alignment vertical="top" wrapText="1"/>
    </xf>
    <xf numFmtId="4" fontId="5" fillId="15" borderId="62" xfId="0" applyNumberFormat="1" applyFont="1" applyFill="1" applyBorder="1" applyAlignment="1">
      <alignment vertical="top" wrapText="1"/>
    </xf>
    <xf numFmtId="4" fontId="33" fillId="15" borderId="31" xfId="0" applyNumberFormat="1" applyFont="1" applyFill="1" applyBorder="1" applyAlignment="1">
      <alignment vertical="top" wrapText="1"/>
    </xf>
    <xf numFmtId="0" fontId="28" fillId="15" borderId="31" xfId="0" applyFont="1" applyFill="1" applyBorder="1" applyAlignment="1">
      <alignment vertical="top" wrapText="1"/>
    </xf>
    <xf numFmtId="40" fontId="33" fillId="10" borderId="118" xfId="0" applyNumberFormat="1" applyFont="1" applyFill="1" applyBorder="1" applyAlignment="1">
      <alignment vertical="top" wrapText="1"/>
    </xf>
    <xf numFmtId="0" fontId="29" fillId="15" borderId="34" xfId="0" applyFont="1" applyFill="1" applyBorder="1" applyAlignment="1">
      <alignment vertical="top" wrapText="1"/>
    </xf>
    <xf numFmtId="0" fontId="32" fillId="15" borderId="63" xfId="0" applyFont="1" applyFill="1" applyBorder="1" applyAlignment="1">
      <alignment vertical="top" wrapText="1"/>
    </xf>
    <xf numFmtId="0" fontId="14" fillId="15" borderId="121" xfId="0" applyFont="1" applyFill="1" applyBorder="1" applyAlignment="1">
      <alignment horizontal="center" vertical="top" wrapText="1"/>
    </xf>
    <xf numFmtId="0" fontId="14" fillId="15" borderId="122" xfId="0" applyFont="1" applyFill="1" applyBorder="1" applyAlignment="1">
      <alignment horizontal="center" vertical="top" wrapText="1"/>
    </xf>
    <xf numFmtId="14" fontId="5" fillId="15" borderId="122" xfId="0" applyNumberFormat="1" applyFont="1" applyFill="1" applyBorder="1" applyAlignment="1">
      <alignment horizontal="center" vertical="top" wrapText="1"/>
    </xf>
    <xf numFmtId="165" fontId="5" fillId="15" borderId="122" xfId="0" applyNumberFormat="1" applyFont="1" applyFill="1" applyBorder="1" applyAlignment="1">
      <alignment horizontal="center" vertical="top" wrapText="1"/>
    </xf>
    <xf numFmtId="179" fontId="5" fillId="15" borderId="122" xfId="1" applyNumberFormat="1" applyFont="1" applyFill="1" applyBorder="1" applyAlignment="1" applyProtection="1">
      <alignment horizontal="center" vertical="top" wrapText="1"/>
    </xf>
    <xf numFmtId="0" fontId="5" fillId="15" borderId="120" xfId="0" applyFont="1" applyFill="1" applyBorder="1" applyAlignment="1">
      <alignment vertical="top" wrapText="1"/>
    </xf>
    <xf numFmtId="0" fontId="5" fillId="15" borderId="121" xfId="0" applyFont="1" applyFill="1" applyBorder="1" applyAlignment="1">
      <alignment vertical="top" wrapText="1"/>
    </xf>
    <xf numFmtId="0" fontId="5" fillId="15" borderId="122" xfId="0" applyFont="1" applyFill="1" applyBorder="1" applyAlignment="1">
      <alignment vertical="top" wrapText="1"/>
    </xf>
    <xf numFmtId="14" fontId="5" fillId="15" borderId="120" xfId="0" applyNumberFormat="1" applyFont="1" applyFill="1" applyBorder="1" applyAlignment="1">
      <alignment horizontal="center" vertical="top" wrapText="1"/>
    </xf>
    <xf numFmtId="0" fontId="33" fillId="15" borderId="121" xfId="0" applyFont="1" applyFill="1" applyBorder="1" applyAlignment="1">
      <alignment vertical="top" wrapText="1"/>
    </xf>
    <xf numFmtId="0" fontId="33" fillId="15" borderId="120" xfId="0" applyFont="1" applyFill="1" applyBorder="1" applyAlignment="1">
      <alignment vertical="top" wrapText="1"/>
    </xf>
    <xf numFmtId="4" fontId="5" fillId="15" borderId="121" xfId="0" applyNumberFormat="1" applyFont="1" applyFill="1" applyBorder="1" applyAlignment="1">
      <alignment vertical="top" wrapText="1"/>
    </xf>
    <xf numFmtId="4" fontId="32" fillId="15" borderId="122" xfId="0" applyNumberFormat="1" applyFont="1" applyFill="1" applyBorder="1" applyAlignment="1">
      <alignment vertical="top" wrapText="1"/>
    </xf>
    <xf numFmtId="4" fontId="33" fillId="15" borderId="120" xfId="0" applyNumberFormat="1" applyFont="1" applyFill="1" applyBorder="1" applyAlignment="1">
      <alignment vertical="top" wrapText="1"/>
    </xf>
    <xf numFmtId="4" fontId="5" fillId="10" borderId="121" xfId="0" applyNumberFormat="1" applyFont="1" applyFill="1" applyBorder="1" applyAlignment="1">
      <alignment vertical="top" wrapText="1"/>
    </xf>
    <xf numFmtId="4" fontId="32" fillId="10" borderId="122" xfId="0" applyNumberFormat="1" applyFont="1" applyFill="1" applyBorder="1" applyAlignment="1">
      <alignment vertical="top" wrapText="1"/>
    </xf>
    <xf numFmtId="4" fontId="33" fillId="10" borderId="120" xfId="0" applyNumberFormat="1" applyFont="1" applyFill="1" applyBorder="1" applyAlignment="1">
      <alignment vertical="top" wrapText="1"/>
    </xf>
    <xf numFmtId="4" fontId="14" fillId="15" borderId="121" xfId="0" applyNumberFormat="1" applyFont="1" applyFill="1" applyBorder="1" applyAlignment="1">
      <alignment vertical="top" wrapText="1"/>
    </xf>
    <xf numFmtId="4" fontId="28" fillId="15" borderId="120" xfId="0" applyNumberFormat="1" applyFont="1" applyFill="1" applyBorder="1" applyAlignment="1">
      <alignment vertical="top" wrapText="1"/>
    </xf>
    <xf numFmtId="40" fontId="33" fillId="15" borderId="121" xfId="0" applyNumberFormat="1" applyFont="1" applyFill="1" applyBorder="1" applyAlignment="1">
      <alignment vertical="top" wrapText="1"/>
    </xf>
    <xf numFmtId="40" fontId="33" fillId="15" borderId="122" xfId="0" applyNumberFormat="1" applyFont="1" applyFill="1" applyBorder="1" applyAlignment="1">
      <alignment vertical="top" wrapText="1"/>
    </xf>
    <xf numFmtId="40" fontId="33" fillId="10" borderId="122" xfId="0" applyNumberFormat="1" applyFont="1" applyFill="1" applyBorder="1" applyAlignment="1">
      <alignment vertical="top" wrapText="1"/>
    </xf>
    <xf numFmtId="0" fontId="5" fillId="0" borderId="120" xfId="0" applyFont="1" applyBorder="1" applyAlignment="1">
      <alignment vertical="top" wrapText="1"/>
    </xf>
    <xf numFmtId="0" fontId="25" fillId="15" borderId="52" xfId="0" applyFont="1" applyFill="1" applyBorder="1" applyAlignment="1">
      <alignment vertical="top" wrapText="1"/>
    </xf>
    <xf numFmtId="0" fontId="7" fillId="15" borderId="120" xfId="0" applyFont="1" applyFill="1" applyBorder="1" applyAlignment="1">
      <alignment vertical="top" wrapText="1"/>
    </xf>
    <xf numFmtId="17" fontId="7" fillId="15" borderId="120" xfId="0" applyNumberFormat="1" applyFont="1" applyFill="1" applyBorder="1" applyAlignment="1">
      <alignment vertical="top" wrapText="1"/>
    </xf>
    <xf numFmtId="17" fontId="6" fillId="15" borderId="120" xfId="0" applyNumberFormat="1" applyFont="1" applyFill="1" applyBorder="1" applyAlignment="1">
      <alignment horizontal="left" vertical="top" wrapText="1"/>
    </xf>
    <xf numFmtId="0" fontId="7" fillId="15" borderId="120" xfId="0" applyFont="1" applyFill="1" applyBorder="1" applyAlignment="1">
      <alignment horizontal="left" vertical="top" wrapText="1"/>
    </xf>
    <xf numFmtId="17" fontId="7" fillId="10" borderId="120" xfId="0" applyNumberFormat="1" applyFont="1" applyFill="1" applyBorder="1" applyAlignment="1">
      <alignment horizontal="right" vertical="top" wrapText="1"/>
    </xf>
    <xf numFmtId="0" fontId="25" fillId="15" borderId="120" xfId="0" applyFont="1" applyFill="1" applyBorder="1" applyAlignment="1">
      <alignment horizontal="right" vertical="top" wrapText="1"/>
    </xf>
    <xf numFmtId="44" fontId="25" fillId="15" borderId="36" xfId="2" applyFont="1" applyFill="1" applyBorder="1" applyAlignment="1" applyProtection="1">
      <alignment vertical="top" wrapText="1"/>
    </xf>
    <xf numFmtId="44" fontId="25" fillId="15" borderId="65" xfId="0" applyNumberFormat="1" applyFont="1" applyFill="1" applyBorder="1" applyAlignment="1">
      <alignment vertical="top" wrapText="1"/>
    </xf>
    <xf numFmtId="17" fontId="25" fillId="15" borderId="120" xfId="0" applyNumberFormat="1" applyFont="1" applyFill="1" applyBorder="1" applyAlignment="1">
      <alignment vertical="top" wrapText="1"/>
    </xf>
    <xf numFmtId="0" fontId="25" fillId="15" borderId="120" xfId="0" applyFont="1" applyFill="1" applyBorder="1" applyAlignment="1">
      <alignment vertical="top" wrapText="1"/>
    </xf>
    <xf numFmtId="0" fontId="25" fillId="10" borderId="120" xfId="0" applyFont="1" applyFill="1" applyBorder="1" applyAlignment="1">
      <alignment vertical="top" wrapText="1"/>
    </xf>
    <xf numFmtId="0" fontId="25" fillId="15" borderId="37" xfId="0" applyFont="1" applyFill="1" applyBorder="1" applyAlignment="1">
      <alignment vertical="top" wrapText="1"/>
    </xf>
    <xf numFmtId="17" fontId="7" fillId="0" borderId="58" xfId="0" applyNumberFormat="1" applyFont="1" applyBorder="1" applyAlignment="1">
      <alignment vertical="top"/>
    </xf>
    <xf numFmtId="44" fontId="23" fillId="0" borderId="54" xfId="0" applyNumberFormat="1" applyFont="1" applyBorder="1" applyAlignment="1">
      <alignment vertical="top"/>
    </xf>
    <xf numFmtId="0" fontId="25" fillId="0" borderId="55" xfId="0" applyFont="1" applyBorder="1" applyAlignment="1">
      <alignment horizontal="left" vertical="top" wrapText="1"/>
    </xf>
    <xf numFmtId="0" fontId="26" fillId="15" borderId="26" xfId="0" applyFont="1" applyFill="1" applyBorder="1" applyAlignment="1">
      <alignment vertical="top" wrapText="1"/>
    </xf>
    <xf numFmtId="44" fontId="7" fillId="15" borderId="20" xfId="0" applyNumberFormat="1" applyFont="1" applyFill="1" applyBorder="1" applyAlignment="1">
      <alignment vertical="top" wrapText="1"/>
    </xf>
    <xf numFmtId="17" fontId="7" fillId="15" borderId="27" xfId="0" applyNumberFormat="1" applyFont="1" applyFill="1" applyBorder="1" applyAlignment="1">
      <alignment vertical="top" wrapText="1"/>
    </xf>
    <xf numFmtId="44" fontId="6" fillId="15" borderId="20" xfId="0" applyNumberFormat="1" applyFont="1" applyFill="1" applyBorder="1" applyAlignment="1">
      <alignment vertical="top" wrapText="1"/>
    </xf>
    <xf numFmtId="17" fontId="6" fillId="15" borderId="27" xfId="0" applyNumberFormat="1" applyFont="1" applyFill="1" applyBorder="1" applyAlignment="1">
      <alignment horizontal="left" vertical="top" wrapText="1"/>
    </xf>
    <xf numFmtId="0" fontId="7" fillId="15" borderId="27" xfId="0" applyFont="1" applyFill="1" applyBorder="1" applyAlignment="1">
      <alignment horizontal="left" vertical="top" wrapText="1"/>
    </xf>
    <xf numFmtId="166" fontId="12" fillId="15" borderId="120" xfId="0" applyNumberFormat="1" applyFont="1" applyFill="1" applyBorder="1" applyAlignment="1">
      <alignment horizontal="center" vertical="top" wrapText="1"/>
    </xf>
    <xf numFmtId="44" fontId="6" fillId="15" borderId="26" xfId="2" applyFont="1" applyFill="1" applyBorder="1" applyAlignment="1" applyProtection="1">
      <alignment vertical="top" wrapText="1"/>
    </xf>
    <xf numFmtId="0" fontId="26" fillId="15" borderId="28" xfId="0" applyFont="1" applyFill="1" applyBorder="1" applyAlignment="1">
      <alignment horizontal="center" vertical="top"/>
    </xf>
    <xf numFmtId="15" fontId="25" fillId="15" borderId="29" xfId="0" applyNumberFormat="1" applyFont="1" applyFill="1" applyBorder="1" applyAlignment="1">
      <alignment horizontal="center" vertical="top"/>
    </xf>
    <xf numFmtId="0" fontId="25" fillId="15" borderId="27" xfId="0" applyFont="1" applyFill="1" applyBorder="1" applyAlignment="1">
      <alignment horizontal="right" vertical="top" wrapText="1"/>
    </xf>
    <xf numFmtId="44" fontId="25" fillId="15" borderId="20" xfId="2" applyFont="1" applyFill="1" applyBorder="1" applyAlignment="1" applyProtection="1">
      <alignment vertical="top"/>
    </xf>
    <xf numFmtId="17" fontId="25" fillId="15" borderId="27" xfId="0" applyNumberFormat="1" applyFont="1" applyFill="1" applyBorder="1" applyAlignment="1">
      <alignment vertical="top"/>
    </xf>
    <xf numFmtId="44" fontId="25" fillId="15" borderId="28" xfId="0" applyNumberFormat="1" applyFont="1" applyFill="1" applyBorder="1" applyAlignment="1">
      <alignment vertical="top"/>
    </xf>
    <xf numFmtId="0" fontId="25" fillId="15" borderId="27" xfId="0" applyFont="1" applyFill="1" applyBorder="1" applyAlignment="1">
      <alignment vertical="top"/>
    </xf>
    <xf numFmtId="44" fontId="25" fillId="15" borderId="20" xfId="0" applyNumberFormat="1" applyFont="1" applyFill="1" applyBorder="1" applyAlignment="1">
      <alignment vertical="top"/>
    </xf>
    <xf numFmtId="0" fontId="25" fillId="15" borderId="29" xfId="0" applyFont="1" applyFill="1" applyBorder="1" applyAlignment="1">
      <alignment vertical="top"/>
    </xf>
    <xf numFmtId="44" fontId="26" fillId="15" borderId="26" xfId="2" applyFont="1" applyFill="1" applyBorder="1" applyAlignment="1" applyProtection="1">
      <alignment horizontal="left" vertical="top" wrapText="1"/>
    </xf>
    <xf numFmtId="0" fontId="5" fillId="20" borderId="34" xfId="0" applyFont="1" applyFill="1" applyBorder="1" applyAlignment="1">
      <alignment vertical="top" wrapText="1"/>
    </xf>
    <xf numFmtId="0" fontId="14" fillId="0" borderId="121" xfId="0" applyFont="1" applyBorder="1" applyAlignment="1">
      <alignment horizontal="center" vertical="top" wrapText="1"/>
    </xf>
    <xf numFmtId="0" fontId="14" fillId="0" borderId="123" xfId="0" applyFont="1" applyBorder="1" applyAlignment="1">
      <alignment horizontal="center" vertical="top" wrapText="1"/>
    </xf>
    <xf numFmtId="14" fontId="5" fillId="0" borderId="123" xfId="0" applyNumberFormat="1" applyFont="1" applyBorder="1" applyAlignment="1">
      <alignment horizontal="center" vertical="top" wrapText="1"/>
    </xf>
    <xf numFmtId="0" fontId="5" fillId="0" borderId="121" xfId="0" applyFont="1" applyBorder="1" applyAlignment="1">
      <alignment vertical="top" wrapText="1"/>
    </xf>
    <xf numFmtId="0" fontId="5" fillId="0" borderId="123" xfId="0" applyFont="1" applyBorder="1" applyAlignment="1">
      <alignment vertical="top" wrapText="1"/>
    </xf>
    <xf numFmtId="14" fontId="5" fillId="0" borderId="120" xfId="0" applyNumberFormat="1" applyFont="1" applyBorder="1" applyAlignment="1">
      <alignment horizontal="center" vertical="top" wrapText="1"/>
    </xf>
    <xf numFmtId="0" fontId="33" fillId="0" borderId="121" xfId="0" applyFont="1" applyBorder="1" applyAlignment="1">
      <alignment vertical="top" wrapText="1"/>
    </xf>
    <xf numFmtId="0" fontId="33" fillId="0" borderId="120" xfId="0" applyFont="1" applyBorder="1" applyAlignment="1">
      <alignment vertical="top" wrapText="1"/>
    </xf>
    <xf numFmtId="4" fontId="5" fillId="0" borderId="121" xfId="0" applyNumberFormat="1" applyFont="1" applyBorder="1" applyAlignment="1">
      <alignment vertical="top" wrapText="1"/>
    </xf>
    <xf numFmtId="4" fontId="32" fillId="0" borderId="123" xfId="0" applyNumberFormat="1" applyFont="1" applyBorder="1" applyAlignment="1">
      <alignment vertical="top" wrapText="1"/>
    </xf>
    <xf numFmtId="4" fontId="33" fillId="0" borderId="120" xfId="0" applyNumberFormat="1" applyFont="1" applyBorder="1" applyAlignment="1">
      <alignment vertical="top" wrapText="1"/>
    </xf>
    <xf numFmtId="4" fontId="32" fillId="10" borderId="123" xfId="0" applyNumberFormat="1" applyFont="1" applyFill="1" applyBorder="1" applyAlignment="1">
      <alignment vertical="top" wrapText="1"/>
    </xf>
    <xf numFmtId="4" fontId="14" fillId="0" borderId="121" xfId="0" applyNumberFormat="1" applyFont="1" applyBorder="1" applyAlignment="1">
      <alignment vertical="top" wrapText="1"/>
    </xf>
    <xf numFmtId="4" fontId="28" fillId="0" borderId="120" xfId="0" applyNumberFormat="1" applyFont="1" applyBorder="1" applyAlignment="1">
      <alignment vertical="top" wrapText="1"/>
    </xf>
    <xf numFmtId="40" fontId="33" fillId="0" borderId="121" xfId="0" applyNumberFormat="1" applyFont="1" applyBorder="1" applyAlignment="1">
      <alignment vertical="top" wrapText="1"/>
    </xf>
    <xf numFmtId="40" fontId="33" fillId="0" borderId="123" xfId="0" applyNumberFormat="1" applyFont="1" applyBorder="1" applyAlignment="1">
      <alignment vertical="top" wrapText="1"/>
    </xf>
    <xf numFmtId="40" fontId="33" fillId="10" borderId="123" xfId="0" applyNumberFormat="1" applyFont="1" applyFill="1" applyBorder="1" applyAlignment="1">
      <alignment vertical="top" wrapText="1"/>
    </xf>
    <xf numFmtId="0" fontId="28" fillId="15" borderId="52" xfId="0" applyFont="1" applyFill="1" applyBorder="1" applyAlignment="1">
      <alignment horizontal="center" vertical="top" wrapText="1"/>
    </xf>
    <xf numFmtId="0" fontId="7" fillId="10" borderId="120" xfId="0" applyFont="1" applyFill="1" applyBorder="1" applyAlignment="1">
      <alignment horizontal="right" vertical="top" wrapText="1"/>
    </xf>
    <xf numFmtId="0" fontId="7" fillId="10" borderId="120" xfId="0" applyFont="1" applyFill="1" applyBorder="1" applyAlignment="1">
      <alignment horizontal="left" vertical="top" wrapText="1"/>
    </xf>
    <xf numFmtId="0" fontId="6" fillId="15" borderId="120" xfId="0" applyFont="1" applyFill="1" applyBorder="1" applyAlignment="1">
      <alignment vertical="top" wrapText="1"/>
    </xf>
    <xf numFmtId="0" fontId="25" fillId="15" borderId="120" xfId="0" applyFont="1" applyFill="1" applyBorder="1" applyAlignment="1">
      <alignment horizontal="right" vertical="top"/>
    </xf>
    <xf numFmtId="0" fontId="25" fillId="15" borderId="120" xfId="0" applyFont="1" applyFill="1" applyBorder="1" applyAlignment="1">
      <alignment vertical="top"/>
    </xf>
    <xf numFmtId="0" fontId="25" fillId="10" borderId="120" xfId="0" applyFont="1" applyFill="1" applyBorder="1" applyAlignment="1">
      <alignment vertical="top"/>
    </xf>
    <xf numFmtId="0" fontId="14" fillId="15" borderId="67" xfId="0" applyFont="1" applyFill="1" applyBorder="1" applyAlignment="1">
      <alignment horizontal="center" vertical="top" wrapText="1"/>
    </xf>
    <xf numFmtId="0" fontId="14" fillId="15" borderId="35" xfId="0" applyFont="1" applyFill="1" applyBorder="1" applyAlignment="1">
      <alignment horizontal="center" vertical="top" wrapText="1"/>
    </xf>
    <xf numFmtId="14" fontId="5" fillId="15" borderId="35" xfId="0" applyNumberFormat="1" applyFont="1" applyFill="1" applyBorder="1" applyAlignment="1">
      <alignment horizontal="center" vertical="top" wrapText="1"/>
    </xf>
    <xf numFmtId="165" fontId="32" fillId="15" borderId="35" xfId="0" applyNumberFormat="1" applyFont="1" applyFill="1" applyBorder="1" applyAlignment="1">
      <alignment horizontal="center" vertical="top" wrapText="1"/>
    </xf>
    <xf numFmtId="179" fontId="32" fillId="15" borderId="35" xfId="1" applyNumberFormat="1" applyFont="1" applyFill="1" applyBorder="1" applyAlignment="1" applyProtection="1">
      <alignment horizontal="center" vertical="top" wrapText="1"/>
    </xf>
    <xf numFmtId="0" fontId="5" fillId="15" borderId="67" xfId="0" applyFont="1" applyFill="1" applyBorder="1" applyAlignment="1">
      <alignment vertical="top" wrapText="1"/>
    </xf>
    <xf numFmtId="0" fontId="5" fillId="15" borderId="35" xfId="0" applyFont="1" applyFill="1" applyBorder="1" applyAlignment="1">
      <alignment vertical="top" wrapText="1"/>
    </xf>
    <xf numFmtId="14" fontId="5" fillId="15" borderId="27" xfId="0" applyNumberFormat="1" applyFont="1" applyFill="1" applyBorder="1" applyAlignment="1">
      <alignment horizontal="center" vertical="top" wrapText="1"/>
    </xf>
    <xf numFmtId="0" fontId="5" fillId="15" borderId="27" xfId="0" applyFont="1" applyFill="1" applyBorder="1" applyAlignment="1">
      <alignment vertical="top" wrapText="1"/>
    </xf>
    <xf numFmtId="0" fontId="33" fillId="15" borderId="27" xfId="0" applyFont="1" applyFill="1" applyBorder="1" applyAlignment="1">
      <alignment vertical="top" wrapText="1"/>
    </xf>
    <xf numFmtId="4" fontId="5" fillId="15" borderId="67" xfId="0" applyNumberFormat="1" applyFont="1" applyFill="1" applyBorder="1" applyAlignment="1">
      <alignment vertical="top" wrapText="1"/>
    </xf>
    <xf numFmtId="4" fontId="32" fillId="15" borderId="35" xfId="0" applyNumberFormat="1" applyFont="1" applyFill="1" applyBorder="1" applyAlignment="1">
      <alignment vertical="top" wrapText="1"/>
    </xf>
    <xf numFmtId="4" fontId="33" fillId="15" borderId="27" xfId="0" applyNumberFormat="1" applyFont="1" applyFill="1" applyBorder="1" applyAlignment="1">
      <alignment vertical="top" wrapText="1"/>
    </xf>
    <xf numFmtId="4" fontId="14" fillId="15" borderId="67" xfId="0" applyNumberFormat="1" applyFont="1" applyFill="1" applyBorder="1" applyAlignment="1">
      <alignment vertical="top" wrapText="1"/>
    </xf>
    <xf numFmtId="4" fontId="28" fillId="15" borderId="27" xfId="0" applyNumberFormat="1" applyFont="1" applyFill="1" applyBorder="1" applyAlignment="1">
      <alignment vertical="top" wrapText="1"/>
    </xf>
    <xf numFmtId="40" fontId="33" fillId="15" borderId="67" xfId="0" applyNumberFormat="1" applyFont="1" applyFill="1" applyBorder="1" applyAlignment="1">
      <alignment vertical="top" wrapText="1"/>
    </xf>
    <xf numFmtId="40" fontId="33" fillId="15" borderId="35" xfId="0" applyNumberFormat="1" applyFont="1" applyFill="1" applyBorder="1" applyAlignment="1">
      <alignment vertical="top" wrapText="1"/>
    </xf>
    <xf numFmtId="0" fontId="5" fillId="0" borderId="124" xfId="0" applyFont="1" applyBorder="1" applyAlignment="1">
      <alignment vertical="top" wrapText="1"/>
    </xf>
    <xf numFmtId="14" fontId="5" fillId="0" borderId="124" xfId="0" applyNumberFormat="1" applyFont="1" applyBorder="1" applyAlignment="1">
      <alignment horizontal="center" vertical="top" wrapText="1"/>
    </xf>
    <xf numFmtId="0" fontId="33" fillId="0" borderId="124" xfId="0" applyFont="1" applyBorder="1" applyAlignment="1">
      <alignment vertical="top" wrapText="1"/>
    </xf>
    <xf numFmtId="4" fontId="33" fillId="0" borderId="124" xfId="0" applyNumberFormat="1" applyFont="1" applyBorder="1" applyAlignment="1">
      <alignment vertical="top" wrapText="1"/>
    </xf>
    <xf numFmtId="4" fontId="33" fillId="10" borderId="124" xfId="0" applyNumberFormat="1" applyFont="1" applyFill="1" applyBorder="1" applyAlignment="1">
      <alignment vertical="top" wrapText="1"/>
    </xf>
    <xf numFmtId="4" fontId="28" fillId="0" borderId="124" xfId="0" applyNumberFormat="1" applyFont="1" applyBorder="1" applyAlignment="1">
      <alignment vertical="top" wrapText="1"/>
    </xf>
    <xf numFmtId="0" fontId="33" fillId="15" borderId="67" xfId="0" applyFont="1" applyFill="1" applyBorder="1" applyAlignment="1">
      <alignment vertical="top" wrapText="1"/>
    </xf>
    <xf numFmtId="17" fontId="25" fillId="15" borderId="51" xfId="0" applyNumberFormat="1" applyFont="1" applyFill="1" applyBorder="1" applyAlignment="1">
      <alignment vertical="top"/>
    </xf>
    <xf numFmtId="44" fontId="7" fillId="15" borderId="22" xfId="2" applyFont="1" applyFill="1" applyBorder="1" applyAlignment="1" applyProtection="1">
      <alignment vertical="top"/>
    </xf>
    <xf numFmtId="44" fontId="7" fillId="15" borderId="34" xfId="0" applyNumberFormat="1" applyFont="1" applyFill="1" applyBorder="1" applyAlignment="1">
      <alignment horizontal="right" vertical="top" wrapText="1"/>
    </xf>
    <xf numFmtId="0" fontId="26" fillId="15" borderId="64" xfId="0" applyFont="1" applyFill="1" applyBorder="1" applyAlignment="1">
      <alignment vertical="top" wrapText="1"/>
    </xf>
    <xf numFmtId="17" fontId="6" fillId="15" borderId="34" xfId="0" applyNumberFormat="1" applyFont="1" applyFill="1" applyBorder="1" applyAlignment="1">
      <alignment horizontal="left" vertical="top" wrapText="1"/>
    </xf>
    <xf numFmtId="6" fontId="26" fillId="15" borderId="21" xfId="0" applyNumberFormat="1" applyFont="1" applyFill="1" applyBorder="1" applyAlignment="1">
      <alignment vertical="top" wrapText="1"/>
    </xf>
    <xf numFmtId="17" fontId="25" fillId="15" borderId="34" xfId="0" applyNumberFormat="1" applyFont="1" applyFill="1" applyBorder="1" applyAlignment="1">
      <alignment horizontal="left" vertical="top" wrapText="1"/>
    </xf>
    <xf numFmtId="180" fontId="28" fillId="0" borderId="34" xfId="1" applyNumberFormat="1" applyFont="1" applyFill="1" applyBorder="1" applyAlignment="1" applyProtection="1">
      <alignment horizontal="center" vertical="top" wrapText="1"/>
      <protection locked="0"/>
    </xf>
    <xf numFmtId="181" fontId="5" fillId="18" borderId="23" xfId="1" applyNumberFormat="1" applyFont="1" applyFill="1" applyBorder="1" applyAlignment="1" applyProtection="1">
      <alignment horizontal="center" vertical="top" wrapText="1"/>
    </xf>
    <xf numFmtId="181" fontId="5" fillId="0" borderId="35" xfId="1" applyNumberFormat="1" applyFont="1" applyFill="1" applyBorder="1" applyAlignment="1" applyProtection="1">
      <alignment horizontal="center" vertical="top" wrapText="1"/>
    </xf>
    <xf numFmtId="181" fontId="5" fillId="0" borderId="23" xfId="1" applyNumberFormat="1" applyFont="1" applyFill="1" applyBorder="1" applyAlignment="1" applyProtection="1">
      <alignment horizontal="center" vertical="top" wrapText="1"/>
    </xf>
    <xf numFmtId="0" fontId="29" fillId="0" borderId="63" xfId="0" applyFont="1" applyBorder="1" applyAlignment="1">
      <alignment vertical="top" wrapText="1"/>
    </xf>
    <xf numFmtId="181" fontId="32" fillId="15" borderId="23" xfId="1" applyNumberFormat="1" applyFont="1" applyFill="1" applyBorder="1" applyAlignment="1" applyProtection="1">
      <alignment horizontal="center" vertical="top" wrapText="1"/>
    </xf>
    <xf numFmtId="0" fontId="29" fillId="15" borderId="63" xfId="0" applyFont="1" applyFill="1" applyBorder="1" applyAlignment="1">
      <alignment vertical="top" wrapText="1"/>
    </xf>
    <xf numFmtId="0" fontId="28" fillId="15" borderId="34" xfId="0" applyFont="1" applyFill="1" applyBorder="1" applyAlignment="1">
      <alignment vertical="top" wrapText="1"/>
    </xf>
    <xf numFmtId="0" fontId="14" fillId="15" borderId="128" xfId="0" applyFont="1" applyFill="1" applyBorder="1" applyAlignment="1">
      <alignment horizontal="center" vertical="top" wrapText="1"/>
    </xf>
    <xf numFmtId="0" fontId="14" fillId="15" borderId="129" xfId="0" applyFont="1" applyFill="1" applyBorder="1" applyAlignment="1">
      <alignment horizontal="center" vertical="top" wrapText="1"/>
    </xf>
    <xf numFmtId="14" fontId="5" fillId="15" borderId="129" xfId="0" applyNumberFormat="1" applyFont="1" applyFill="1" applyBorder="1" applyAlignment="1">
      <alignment horizontal="center" vertical="top" wrapText="1"/>
    </xf>
    <xf numFmtId="165" fontId="32" fillId="15" borderId="129" xfId="0" applyNumberFormat="1" applyFont="1" applyFill="1" applyBorder="1" applyAlignment="1">
      <alignment horizontal="center" vertical="top" wrapText="1"/>
    </xf>
    <xf numFmtId="181" fontId="32" fillId="15" borderId="129" xfId="1" applyNumberFormat="1" applyFont="1" applyFill="1" applyBorder="1" applyAlignment="1" applyProtection="1">
      <alignment horizontal="center" vertical="top" wrapText="1"/>
    </xf>
    <xf numFmtId="0" fontId="5" fillId="15" borderId="127" xfId="0" applyFont="1" applyFill="1" applyBorder="1" applyAlignment="1">
      <alignment vertical="top" wrapText="1"/>
    </xf>
    <xf numFmtId="0" fontId="5" fillId="15" borderId="128" xfId="0" applyFont="1" applyFill="1" applyBorder="1" applyAlignment="1">
      <alignment vertical="top" wrapText="1"/>
    </xf>
    <xf numFmtId="0" fontId="5" fillId="15" borderId="129" xfId="0" applyFont="1" applyFill="1" applyBorder="1" applyAlignment="1">
      <alignment vertical="top" wrapText="1"/>
    </xf>
    <xf numFmtId="14" fontId="5" fillId="15" borderId="127" xfId="0" applyNumberFormat="1" applyFont="1" applyFill="1" applyBorder="1" applyAlignment="1">
      <alignment horizontal="center" vertical="top" wrapText="1"/>
    </xf>
    <xf numFmtId="0" fontId="33" fillId="15" borderId="128" xfId="0" applyFont="1" applyFill="1" applyBorder="1" applyAlignment="1">
      <alignment vertical="top" wrapText="1"/>
    </xf>
    <xf numFmtId="0" fontId="33" fillId="15" borderId="127" xfId="0" applyFont="1" applyFill="1" applyBorder="1" applyAlignment="1">
      <alignment vertical="top" wrapText="1"/>
    </xf>
    <xf numFmtId="4" fontId="5" fillId="15" borderId="128" xfId="0" applyNumberFormat="1" applyFont="1" applyFill="1" applyBorder="1" applyAlignment="1">
      <alignment vertical="top" wrapText="1"/>
    </xf>
    <xf numFmtId="4" fontId="32" fillId="15" borderId="129" xfId="0" applyNumberFormat="1" applyFont="1" applyFill="1" applyBorder="1" applyAlignment="1">
      <alignment vertical="top" wrapText="1"/>
    </xf>
    <xf numFmtId="4" fontId="33" fillId="15" borderId="127" xfId="0" applyNumberFormat="1" applyFont="1" applyFill="1" applyBorder="1" applyAlignment="1">
      <alignment vertical="top" wrapText="1"/>
    </xf>
    <xf numFmtId="4" fontId="5" fillId="10" borderId="128" xfId="0" applyNumberFormat="1" applyFont="1" applyFill="1" applyBorder="1" applyAlignment="1">
      <alignment vertical="top" wrapText="1"/>
    </xf>
    <xf numFmtId="4" fontId="32" fillId="10" borderId="129" xfId="0" applyNumberFormat="1" applyFont="1" applyFill="1" applyBorder="1" applyAlignment="1">
      <alignment vertical="top" wrapText="1"/>
    </xf>
    <xf numFmtId="4" fontId="33" fillId="10" borderId="127" xfId="0" applyNumberFormat="1" applyFont="1" applyFill="1" applyBorder="1" applyAlignment="1">
      <alignment vertical="top" wrapText="1"/>
    </xf>
    <xf numFmtId="4" fontId="14" fillId="15" borderId="128" xfId="0" applyNumberFormat="1" applyFont="1" applyFill="1" applyBorder="1" applyAlignment="1">
      <alignment vertical="top" wrapText="1"/>
    </xf>
    <xf numFmtId="4" fontId="28" fillId="15" borderId="127" xfId="0" applyNumberFormat="1" applyFont="1" applyFill="1" applyBorder="1" applyAlignment="1">
      <alignment vertical="top" wrapText="1"/>
    </xf>
    <xf numFmtId="40" fontId="33" fillId="15" borderId="128" xfId="0" applyNumberFormat="1" applyFont="1" applyFill="1" applyBorder="1" applyAlignment="1">
      <alignment vertical="top" wrapText="1"/>
    </xf>
    <xf numFmtId="40" fontId="33" fillId="15" borderId="129" xfId="0" applyNumberFormat="1" applyFont="1" applyFill="1" applyBorder="1" applyAlignment="1">
      <alignment vertical="top" wrapText="1"/>
    </xf>
    <xf numFmtId="40" fontId="33" fillId="10" borderId="129" xfId="0" applyNumberFormat="1" applyFont="1" applyFill="1" applyBorder="1" applyAlignment="1">
      <alignment vertical="top" wrapText="1"/>
    </xf>
    <xf numFmtId="181" fontId="32" fillId="0" borderId="35" xfId="1" applyNumberFormat="1" applyFont="1" applyFill="1" applyBorder="1" applyAlignment="1" applyProtection="1">
      <alignment horizontal="center" vertical="top" wrapText="1"/>
    </xf>
    <xf numFmtId="44" fontId="7" fillId="10" borderId="20" xfId="2" applyFont="1" applyFill="1" applyBorder="1" applyAlignment="1" applyProtection="1">
      <alignment vertical="top" wrapText="1"/>
    </xf>
    <xf numFmtId="49" fontId="6" fillId="15" borderId="130" xfId="0" applyNumberFormat="1" applyFont="1" applyFill="1" applyBorder="1" applyAlignment="1">
      <alignment horizontal="left" vertical="top" wrapText="1"/>
    </xf>
    <xf numFmtId="0" fontId="12" fillId="15" borderId="36" xfId="0" applyFont="1" applyFill="1" applyBorder="1" applyAlignment="1">
      <alignment vertical="top" wrapText="1"/>
    </xf>
    <xf numFmtId="0" fontId="12" fillId="15" borderId="127" xfId="0" applyFont="1" applyFill="1" applyBorder="1" applyAlignment="1">
      <alignment vertical="top" wrapText="1"/>
    </xf>
    <xf numFmtId="0" fontId="7" fillId="15" borderId="127" xfId="0" applyFont="1" applyFill="1" applyBorder="1" applyAlignment="1">
      <alignment vertical="top" wrapText="1"/>
    </xf>
    <xf numFmtId="0" fontId="7" fillId="15" borderId="126" xfId="0" applyFont="1" applyFill="1" applyBorder="1" applyAlignment="1">
      <alignment vertical="top" wrapText="1"/>
    </xf>
    <xf numFmtId="17" fontId="7" fillId="15" borderId="127" xfId="0" applyNumberFormat="1" applyFont="1" applyFill="1" applyBorder="1" applyAlignment="1">
      <alignment vertical="top" wrapText="1"/>
    </xf>
    <xf numFmtId="17" fontId="6" fillId="15" borderId="127" xfId="0" applyNumberFormat="1" applyFont="1" applyFill="1" applyBorder="1" applyAlignment="1">
      <alignment horizontal="left" vertical="top" wrapText="1"/>
    </xf>
    <xf numFmtId="0" fontId="25" fillId="15" borderId="127" xfId="0" applyFont="1" applyFill="1" applyBorder="1" applyAlignment="1">
      <alignment vertical="top" wrapText="1"/>
    </xf>
    <xf numFmtId="17" fontId="7" fillId="10" borderId="127" xfId="0" applyNumberFormat="1" applyFont="1" applyFill="1" applyBorder="1" applyAlignment="1">
      <alignment horizontal="right" vertical="top" wrapText="1"/>
    </xf>
    <xf numFmtId="17" fontId="7" fillId="10" borderId="127" xfId="0" applyNumberFormat="1" applyFont="1" applyFill="1" applyBorder="1" applyAlignment="1">
      <alignment horizontal="left" vertical="top" wrapText="1"/>
    </xf>
    <xf numFmtId="0" fontId="25" fillId="15" borderId="126" xfId="0" applyFont="1" applyFill="1" applyBorder="1" applyAlignment="1">
      <alignment vertical="top" wrapText="1"/>
    </xf>
    <xf numFmtId="166" fontId="12" fillId="15" borderId="130" xfId="0" applyNumberFormat="1" applyFont="1" applyFill="1" applyBorder="1" applyAlignment="1">
      <alignment horizontal="left" vertical="top" wrapText="1"/>
    </xf>
    <xf numFmtId="166" fontId="12" fillId="15" borderId="126" xfId="0" applyNumberFormat="1" applyFont="1" applyFill="1" applyBorder="1" applyAlignment="1">
      <alignment horizontal="center" vertical="top" wrapText="1"/>
    </xf>
    <xf numFmtId="166" fontId="12" fillId="15" borderId="127" xfId="0" applyNumberFormat="1" applyFont="1" applyFill="1" applyBorder="1" applyAlignment="1">
      <alignment horizontal="center" vertical="top" wrapText="1"/>
    </xf>
    <xf numFmtId="0" fontId="26" fillId="15" borderId="130" xfId="0" applyFont="1" applyFill="1" applyBorder="1" applyAlignment="1">
      <alignment horizontal="center" vertical="top" wrapText="1"/>
    </xf>
    <xf numFmtId="15" fontId="25" fillId="15" borderId="126" xfId="0" applyNumberFormat="1" applyFont="1" applyFill="1" applyBorder="1" applyAlignment="1">
      <alignment horizontal="center" vertical="top" wrapText="1"/>
    </xf>
    <xf numFmtId="0" fontId="25" fillId="15" borderId="127" xfId="0" applyFont="1" applyFill="1" applyBorder="1" applyAlignment="1">
      <alignment horizontal="right" vertical="top" wrapText="1"/>
    </xf>
    <xf numFmtId="17" fontId="25" fillId="15" borderId="127" xfId="0" applyNumberFormat="1" applyFont="1" applyFill="1" applyBorder="1" applyAlignment="1">
      <alignment vertical="top" wrapText="1"/>
    </xf>
    <xf numFmtId="44" fontId="25" fillId="15" borderId="130" xfId="0" applyNumberFormat="1" applyFont="1" applyFill="1" applyBorder="1" applyAlignment="1">
      <alignment vertical="top" wrapText="1"/>
    </xf>
    <xf numFmtId="0" fontId="25" fillId="10" borderId="127" xfId="0" applyFont="1" applyFill="1" applyBorder="1" applyAlignment="1">
      <alignment vertical="top" wrapText="1"/>
    </xf>
    <xf numFmtId="0" fontId="11" fillId="0" borderId="15" xfId="0" applyFont="1" applyBorder="1" applyAlignment="1">
      <alignment horizontal="center" vertical="top" wrapText="1"/>
    </xf>
    <xf numFmtId="0" fontId="6" fillId="0" borderId="28" xfId="0" applyFont="1" applyBorder="1" applyAlignment="1">
      <alignment vertical="top" wrapText="1"/>
    </xf>
    <xf numFmtId="0" fontId="12" fillId="0" borderId="20" xfId="0" applyFont="1" applyBorder="1" applyAlignment="1">
      <alignment vertical="top" wrapText="1"/>
    </xf>
    <xf numFmtId="0" fontId="12" fillId="0" borderId="27" xfId="0" applyFont="1" applyBorder="1" applyAlignment="1">
      <alignment vertical="top" wrapText="1"/>
    </xf>
    <xf numFmtId="44" fontId="7" fillId="0" borderId="20" xfId="2" applyFont="1" applyFill="1" applyBorder="1" applyAlignment="1" applyProtection="1">
      <alignment vertical="top" wrapText="1"/>
    </xf>
    <xf numFmtId="44" fontId="6" fillId="0" borderId="20" xfId="2" applyFont="1" applyFill="1" applyBorder="1" applyAlignment="1" applyProtection="1">
      <alignment vertical="top" wrapText="1"/>
    </xf>
    <xf numFmtId="17" fontId="6" fillId="0" borderId="27" xfId="0" applyNumberFormat="1" applyFont="1" applyBorder="1" applyAlignment="1">
      <alignment vertical="top" wrapText="1"/>
    </xf>
    <xf numFmtId="44" fontId="26" fillId="0" borderId="20" xfId="0" applyNumberFormat="1" applyFont="1" applyBorder="1" applyAlignment="1">
      <alignment vertical="top" wrapText="1"/>
    </xf>
    <xf numFmtId="0" fontId="26" fillId="0" borderId="27" xfId="0" applyFont="1" applyBorder="1" applyAlignment="1">
      <alignment horizontal="left" vertical="top" wrapText="1"/>
    </xf>
    <xf numFmtId="0" fontId="12" fillId="0" borderId="20" xfId="0" applyFont="1" applyBorder="1" applyAlignment="1">
      <alignment horizontal="left" vertical="top" wrapText="1"/>
    </xf>
    <xf numFmtId="14" fontId="12" fillId="0" borderId="29" xfId="0" applyNumberFormat="1" applyFont="1" applyBorder="1" applyAlignment="1">
      <alignment horizontal="center" vertical="top" wrapText="1"/>
    </xf>
    <xf numFmtId="14" fontId="12" fillId="0" borderId="27" xfId="0" applyNumberFormat="1" applyFont="1" applyBorder="1" applyAlignment="1">
      <alignment horizontal="center" vertical="top" wrapText="1"/>
    </xf>
    <xf numFmtId="166" fontId="7" fillId="15" borderId="22" xfId="0" applyNumberFormat="1" applyFont="1" applyFill="1" applyBorder="1" applyAlignment="1">
      <alignment horizontal="left" vertical="top" wrapText="1"/>
    </xf>
    <xf numFmtId="166" fontId="7" fillId="15" borderId="34" xfId="0" applyNumberFormat="1" applyFont="1" applyFill="1" applyBorder="1" applyAlignment="1">
      <alignment horizontal="center" vertical="top" wrapText="1"/>
    </xf>
    <xf numFmtId="166" fontId="7" fillId="0" borderId="54" xfId="0" applyNumberFormat="1" applyFont="1" applyBorder="1" applyAlignment="1">
      <alignment horizontal="left" vertical="top" wrapText="1"/>
    </xf>
    <xf numFmtId="166" fontId="7" fillId="0" borderId="57" xfId="0" applyNumberFormat="1" applyFont="1" applyBorder="1" applyAlignment="1">
      <alignment horizontal="center" vertical="top" wrapText="1"/>
    </xf>
    <xf numFmtId="166" fontId="7" fillId="0" borderId="58" xfId="0" applyNumberFormat="1" applyFont="1" applyBorder="1" applyAlignment="1">
      <alignment horizontal="center" vertical="top" wrapText="1"/>
    </xf>
    <xf numFmtId="0" fontId="5" fillId="0" borderId="119" xfId="0" applyFont="1" applyBorder="1" applyAlignment="1">
      <alignment vertical="top" wrapText="1"/>
    </xf>
    <xf numFmtId="0" fontId="5" fillId="0" borderId="132" xfId="0" applyFont="1" applyBorder="1" applyAlignment="1">
      <alignment vertical="top" wrapText="1"/>
    </xf>
    <xf numFmtId="14" fontId="5" fillId="0" borderId="131" xfId="0" applyNumberFormat="1" applyFont="1" applyBorder="1" applyAlignment="1">
      <alignment horizontal="center" vertical="top" wrapText="1"/>
    </xf>
    <xf numFmtId="0" fontId="5" fillId="0" borderId="131" xfId="0" applyFont="1" applyBorder="1" applyAlignment="1">
      <alignment vertical="top" wrapText="1"/>
    </xf>
    <xf numFmtId="0" fontId="33" fillId="0" borderId="119" xfId="0" applyFont="1" applyBorder="1" applyAlignment="1">
      <alignment vertical="top" wrapText="1"/>
    </xf>
    <xf numFmtId="0" fontId="33" fillId="0" borderId="131" xfId="0" applyFont="1" applyBorder="1" applyAlignment="1">
      <alignment vertical="top" wrapText="1"/>
    </xf>
    <xf numFmtId="181" fontId="32" fillId="0" borderId="23" xfId="1" applyNumberFormat="1" applyFont="1" applyFill="1" applyBorder="1" applyAlignment="1" applyProtection="1">
      <alignment horizontal="center" vertical="top" wrapText="1"/>
    </xf>
    <xf numFmtId="0" fontId="32" fillId="0" borderId="27" xfId="0" applyFont="1" applyBorder="1" applyAlignment="1">
      <alignment vertical="top" wrapText="1"/>
    </xf>
    <xf numFmtId="165" fontId="14" fillId="8" borderId="33" xfId="0" applyNumberFormat="1" applyFont="1" applyFill="1" applyBorder="1" applyAlignment="1">
      <alignment horizontal="center" vertical="top" wrapText="1"/>
    </xf>
    <xf numFmtId="165" fontId="20" fillId="8" borderId="54" xfId="0" applyNumberFormat="1" applyFont="1" applyFill="1" applyBorder="1" applyAlignment="1">
      <alignment horizontal="centerContinuous" vertical="center" wrapText="1"/>
    </xf>
    <xf numFmtId="165" fontId="68" fillId="12" borderId="5" xfId="0" applyNumberFormat="1" applyFont="1" applyFill="1" applyBorder="1" applyAlignment="1">
      <alignment horizontal="centerContinuous" vertical="center" wrapText="1"/>
    </xf>
    <xf numFmtId="181" fontId="14" fillId="12" borderId="1" xfId="1" applyNumberFormat="1" applyFont="1" applyFill="1" applyBorder="1" applyAlignment="1" applyProtection="1">
      <alignment horizontal="centerContinuous" vertical="center" wrapText="1"/>
    </xf>
    <xf numFmtId="165" fontId="20" fillId="8" borderId="6" xfId="0" applyNumberFormat="1" applyFont="1" applyFill="1" applyBorder="1" applyAlignment="1">
      <alignment horizontal="centerContinuous" vertical="center" wrapText="1"/>
    </xf>
    <xf numFmtId="181" fontId="14" fillId="8" borderId="17" xfId="1" applyNumberFormat="1" applyFont="1" applyFill="1" applyBorder="1" applyAlignment="1" applyProtection="1">
      <alignment horizontal="centerContinuous" vertical="center" wrapText="1"/>
    </xf>
    <xf numFmtId="0" fontId="14" fillId="12" borderId="54" xfId="0" applyFont="1" applyFill="1" applyBorder="1" applyAlignment="1">
      <alignment vertical="top"/>
    </xf>
    <xf numFmtId="0" fontId="14" fillId="12" borderId="55" xfId="0" applyFont="1" applyFill="1" applyBorder="1" applyAlignment="1">
      <alignment horizontal="centerContinuous" vertical="top" wrapText="1"/>
    </xf>
    <xf numFmtId="0" fontId="5" fillId="12" borderId="55" xfId="0" applyFont="1" applyFill="1" applyBorder="1" applyAlignment="1">
      <alignment horizontal="centerContinuous" vertical="top" wrapText="1"/>
    </xf>
    <xf numFmtId="165" fontId="5" fillId="12" borderId="55" xfId="0" applyNumberFormat="1" applyFont="1" applyFill="1" applyBorder="1" applyAlignment="1">
      <alignment horizontal="centerContinuous" vertical="top" wrapText="1"/>
    </xf>
    <xf numFmtId="0" fontId="5" fillId="12" borderId="56" xfId="0" applyFont="1" applyFill="1" applyBorder="1" applyAlignment="1">
      <alignment horizontal="centerContinuous" vertical="top" wrapText="1"/>
    </xf>
    <xf numFmtId="165" fontId="32" fillId="18" borderId="23" xfId="0" applyNumberFormat="1" applyFont="1" applyFill="1" applyBorder="1" applyAlignment="1">
      <alignment horizontal="center" vertical="top" wrapText="1"/>
    </xf>
    <xf numFmtId="0" fontId="33" fillId="0" borderId="73" xfId="0" applyFont="1" applyBorder="1" applyAlignment="1">
      <alignment horizontal="center" vertical="center" wrapText="1"/>
    </xf>
    <xf numFmtId="0" fontId="5" fillId="0" borderId="63" xfId="0" applyFont="1" applyBorder="1" applyAlignment="1">
      <alignment horizontal="center" vertical="top" wrapText="1"/>
    </xf>
    <xf numFmtId="0" fontId="5" fillId="11" borderId="34" xfId="0" applyFont="1" applyFill="1" applyBorder="1" applyAlignment="1">
      <alignment vertical="top" wrapText="1"/>
    </xf>
    <xf numFmtId="0" fontId="14" fillId="11" borderId="23" xfId="0" applyFont="1" applyFill="1" applyBorder="1" applyAlignment="1">
      <alignment horizontal="center" vertical="top" wrapText="1"/>
    </xf>
    <xf numFmtId="14" fontId="5" fillId="11" borderId="23" xfId="0" applyNumberFormat="1" applyFont="1" applyFill="1" applyBorder="1" applyAlignment="1">
      <alignment horizontal="center" vertical="top" wrapText="1"/>
    </xf>
    <xf numFmtId="49" fontId="6" fillId="0" borderId="130" xfId="0" applyNumberFormat="1" applyFont="1" applyBorder="1" applyAlignment="1">
      <alignment horizontal="left" vertical="top" wrapText="1"/>
    </xf>
    <xf numFmtId="0" fontId="7" fillId="0" borderId="127" xfId="0" applyFont="1" applyBorder="1" applyAlignment="1">
      <alignment vertical="top" wrapText="1"/>
    </xf>
    <xf numFmtId="0" fontId="7" fillId="0" borderId="126" xfId="0" applyFont="1" applyBorder="1" applyAlignment="1">
      <alignment vertical="top" wrapText="1"/>
    </xf>
    <xf numFmtId="17" fontId="7" fillId="0" borderId="127" xfId="0" applyNumberFormat="1" applyFont="1" applyBorder="1" applyAlignment="1">
      <alignment vertical="top" wrapText="1"/>
    </xf>
    <xf numFmtId="17" fontId="6" fillId="0" borderId="127" xfId="0" applyNumberFormat="1" applyFont="1" applyBorder="1" applyAlignment="1">
      <alignment horizontal="left" vertical="top" wrapText="1"/>
    </xf>
    <xf numFmtId="0" fontId="7" fillId="0" borderId="127" xfId="0" applyFont="1" applyBorder="1" applyAlignment="1">
      <alignment horizontal="left" vertical="top" wrapText="1"/>
    </xf>
    <xf numFmtId="17" fontId="7" fillId="10" borderId="127" xfId="0" applyNumberFormat="1" applyFont="1" applyFill="1" applyBorder="1" applyAlignment="1">
      <alignment vertical="top" wrapText="1"/>
    </xf>
    <xf numFmtId="166" fontId="12" fillId="0" borderId="130" xfId="0" applyNumberFormat="1" applyFont="1" applyBorder="1" applyAlignment="1">
      <alignment horizontal="left" vertical="top" wrapText="1"/>
    </xf>
    <xf numFmtId="166" fontId="12" fillId="0" borderId="126" xfId="0" applyNumberFormat="1" applyFont="1" applyBorder="1" applyAlignment="1">
      <alignment horizontal="center" vertical="top" wrapText="1"/>
    </xf>
    <xf numFmtId="166" fontId="12" fillId="0" borderId="127" xfId="0" applyNumberFormat="1" applyFont="1" applyBorder="1" applyAlignment="1">
      <alignment horizontal="center" vertical="top" wrapText="1"/>
    </xf>
    <xf numFmtId="0" fontId="26" fillId="0" borderId="130" xfId="0" applyFont="1" applyBorder="1" applyAlignment="1">
      <alignment horizontal="center" vertical="top" wrapText="1"/>
    </xf>
    <xf numFmtId="15" fontId="25" fillId="0" borderId="126" xfId="0" applyNumberFormat="1" applyFont="1" applyBorder="1" applyAlignment="1">
      <alignment horizontal="center" vertical="top" wrapText="1"/>
    </xf>
    <xf numFmtId="0" fontId="25" fillId="0" borderId="127" xfId="0" applyFont="1" applyBorder="1" applyAlignment="1">
      <alignment horizontal="right" vertical="top" wrapText="1"/>
    </xf>
    <xf numFmtId="17" fontId="25" fillId="0" borderId="127" xfId="0" applyNumberFormat="1" applyFont="1" applyBorder="1" applyAlignment="1">
      <alignment vertical="top" wrapText="1"/>
    </xf>
    <xf numFmtId="44" fontId="25" fillId="0" borderId="130" xfId="0" applyNumberFormat="1" applyFont="1" applyBorder="1" applyAlignment="1">
      <alignment vertical="top" wrapText="1"/>
    </xf>
    <xf numFmtId="0" fontId="25" fillId="0" borderId="127" xfId="0" applyFont="1" applyBorder="1" applyAlignment="1">
      <alignment vertical="top" wrapText="1"/>
    </xf>
    <xf numFmtId="0" fontId="25" fillId="6" borderId="127" xfId="0" applyFont="1" applyFill="1" applyBorder="1" applyAlignment="1">
      <alignment vertical="top" wrapText="1"/>
    </xf>
    <xf numFmtId="0" fontId="25" fillId="0" borderId="126" xfId="0" applyFont="1" applyBorder="1" applyAlignment="1">
      <alignment vertical="top" wrapText="1"/>
    </xf>
    <xf numFmtId="181" fontId="32" fillId="15" borderId="35" xfId="1" applyNumberFormat="1" applyFont="1" applyFill="1" applyBorder="1" applyAlignment="1" applyProtection="1">
      <alignment horizontal="center" vertical="top" wrapText="1"/>
    </xf>
    <xf numFmtId="0" fontId="14" fillId="0" borderId="128" xfId="0" applyFont="1" applyBorder="1" applyAlignment="1">
      <alignment horizontal="center" vertical="top" wrapText="1"/>
    </xf>
    <xf numFmtId="0" fontId="14" fillId="0" borderId="135" xfId="0" applyFont="1" applyBorder="1" applyAlignment="1">
      <alignment horizontal="center" vertical="top" wrapText="1"/>
    </xf>
    <xf numFmtId="14" fontId="5" fillId="0" borderId="135" xfId="0" applyNumberFormat="1" applyFont="1" applyBorder="1" applyAlignment="1">
      <alignment horizontal="center" vertical="top" wrapText="1"/>
    </xf>
    <xf numFmtId="0" fontId="5" fillId="0" borderId="134" xfId="0" applyFont="1" applyBorder="1" applyAlignment="1">
      <alignment vertical="top" wrapText="1"/>
    </xf>
    <xf numFmtId="0" fontId="5" fillId="0" borderId="128" xfId="0" applyFont="1" applyBorder="1" applyAlignment="1">
      <alignment vertical="top" wrapText="1"/>
    </xf>
    <xf numFmtId="0" fontId="5" fillId="0" borderId="135" xfId="0" applyFont="1" applyBorder="1" applyAlignment="1">
      <alignment vertical="top" wrapText="1"/>
    </xf>
    <xf numFmtId="14" fontId="5" fillId="0" borderId="134" xfId="0" applyNumberFormat="1" applyFont="1" applyBorder="1" applyAlignment="1">
      <alignment horizontal="center" vertical="top" wrapText="1"/>
    </xf>
    <xf numFmtId="0" fontId="33" fillId="0" borderId="128" xfId="0" applyFont="1" applyBorder="1" applyAlignment="1">
      <alignment vertical="top" wrapText="1"/>
    </xf>
    <xf numFmtId="0" fontId="33" fillId="0" borderId="134" xfId="0" applyFont="1" applyBorder="1" applyAlignment="1">
      <alignment vertical="top" wrapText="1"/>
    </xf>
    <xf numFmtId="4" fontId="5" fillId="0" borderId="128" xfId="0" applyNumberFormat="1" applyFont="1" applyBorder="1" applyAlignment="1">
      <alignment vertical="top" wrapText="1"/>
    </xf>
    <xf numFmtId="4" fontId="32" fillId="0" borderId="135" xfId="0" applyNumberFormat="1" applyFont="1" applyBorder="1" applyAlignment="1">
      <alignment vertical="top" wrapText="1"/>
    </xf>
    <xf numFmtId="4" fontId="33" fillId="0" borderId="134" xfId="0" applyNumberFormat="1" applyFont="1" applyBorder="1" applyAlignment="1">
      <alignment vertical="top" wrapText="1"/>
    </xf>
    <xf numFmtId="4" fontId="32" fillId="10" borderId="135" xfId="0" applyNumberFormat="1" applyFont="1" applyFill="1" applyBorder="1" applyAlignment="1">
      <alignment vertical="top" wrapText="1"/>
    </xf>
    <xf numFmtId="4" fontId="33" fillId="10" borderId="134" xfId="0" applyNumberFormat="1" applyFont="1" applyFill="1" applyBorder="1" applyAlignment="1">
      <alignment vertical="top" wrapText="1"/>
    </xf>
    <xf numFmtId="4" fontId="14" fillId="0" borderId="128" xfId="0" applyNumberFormat="1" applyFont="1" applyBorder="1" applyAlignment="1">
      <alignment vertical="top" wrapText="1"/>
    </xf>
    <xf numFmtId="4" fontId="28" fillId="0" borderId="134" xfId="0" applyNumberFormat="1" applyFont="1" applyBorder="1" applyAlignment="1">
      <alignment vertical="top" wrapText="1"/>
    </xf>
    <xf numFmtId="40" fontId="33" fillId="0" borderId="128" xfId="0" applyNumberFormat="1" applyFont="1" applyBorder="1" applyAlignment="1">
      <alignment vertical="top" wrapText="1"/>
    </xf>
    <xf numFmtId="40" fontId="33" fillId="0" borderId="135" xfId="0" applyNumberFormat="1" applyFont="1" applyBorder="1" applyAlignment="1">
      <alignment vertical="top" wrapText="1"/>
    </xf>
    <xf numFmtId="40" fontId="33" fillId="10" borderId="135" xfId="0" applyNumberFormat="1" applyFont="1" applyFill="1" applyBorder="1" applyAlignment="1">
      <alignment vertical="top" wrapText="1"/>
    </xf>
    <xf numFmtId="0" fontId="28" fillId="0" borderId="34" xfId="0" applyFont="1" applyBorder="1" applyAlignment="1">
      <alignment vertical="center" wrapText="1"/>
    </xf>
    <xf numFmtId="0" fontId="28" fillId="15" borderId="34" xfId="0" applyFont="1" applyFill="1" applyBorder="1" applyAlignment="1">
      <alignment vertical="center" wrapText="1"/>
    </xf>
    <xf numFmtId="0" fontId="26" fillId="15" borderId="50" xfId="0" applyFont="1" applyFill="1" applyBorder="1" applyAlignment="1">
      <alignment vertical="top" wrapText="1"/>
    </xf>
    <xf numFmtId="0" fontId="6" fillId="15" borderId="50" xfId="0" applyFont="1" applyFill="1" applyBorder="1" applyAlignment="1">
      <alignment horizontal="center" vertical="top" wrapText="1"/>
    </xf>
    <xf numFmtId="49" fontId="6" fillId="15" borderId="55" xfId="0" applyNumberFormat="1" applyFont="1" applyFill="1" applyBorder="1" applyAlignment="1">
      <alignment horizontal="left" vertical="top" wrapText="1"/>
    </xf>
    <xf numFmtId="0" fontId="7" fillId="15" borderId="50" xfId="0" applyFont="1" applyFill="1" applyBorder="1" applyAlignment="1">
      <alignment vertical="top" wrapText="1"/>
    </xf>
    <xf numFmtId="0" fontId="7" fillId="15" borderId="54" xfId="0" applyFont="1" applyFill="1" applyBorder="1" applyAlignment="1">
      <alignment vertical="top" wrapText="1"/>
    </xf>
    <xf numFmtId="0" fontId="7" fillId="15" borderId="58" xfId="0" applyFont="1" applyFill="1" applyBorder="1" applyAlignment="1">
      <alignment vertical="top" wrapText="1"/>
    </xf>
    <xf numFmtId="0" fontId="7" fillId="15" borderId="57" xfId="0" applyFont="1" applyFill="1" applyBorder="1" applyAlignment="1">
      <alignment vertical="top" wrapText="1"/>
    </xf>
    <xf numFmtId="44" fontId="7" fillId="15" borderId="54" xfId="0" applyNumberFormat="1" applyFont="1" applyFill="1" applyBorder="1" applyAlignment="1">
      <alignment vertical="top"/>
    </xf>
    <xf numFmtId="0" fontId="7" fillId="15" borderId="58" xfId="0" applyFont="1" applyFill="1" applyBorder="1" applyAlignment="1">
      <alignment vertical="top"/>
    </xf>
    <xf numFmtId="44" fontId="6" fillId="15" borderId="54" xfId="0" applyNumberFormat="1" applyFont="1" applyFill="1" applyBorder="1" applyAlignment="1">
      <alignment vertical="top"/>
    </xf>
    <xf numFmtId="0" fontId="6" fillId="15" borderId="58" xfId="0" applyFont="1" applyFill="1" applyBorder="1" applyAlignment="1">
      <alignment horizontal="left" vertical="top"/>
    </xf>
    <xf numFmtId="0" fontId="7" fillId="15" borderId="58" xfId="0" applyFont="1" applyFill="1" applyBorder="1" applyAlignment="1">
      <alignment horizontal="left" vertical="top"/>
    </xf>
    <xf numFmtId="17" fontId="7" fillId="15" borderId="58" xfId="0" applyNumberFormat="1" applyFont="1" applyFill="1" applyBorder="1" applyAlignment="1">
      <alignment vertical="top"/>
    </xf>
    <xf numFmtId="44" fontId="23" fillId="15" borderId="54" xfId="0" applyNumberFormat="1" applyFont="1" applyFill="1" applyBorder="1" applyAlignment="1">
      <alignment vertical="top"/>
    </xf>
    <xf numFmtId="0" fontId="7" fillId="15" borderId="57" xfId="0" applyFont="1" applyFill="1" applyBorder="1" applyAlignment="1">
      <alignment vertical="top"/>
    </xf>
    <xf numFmtId="44" fontId="6" fillId="15" borderId="50" xfId="2" applyFont="1" applyFill="1" applyBorder="1" applyAlignment="1" applyProtection="1">
      <alignment vertical="top" wrapText="1"/>
    </xf>
    <xf numFmtId="166" fontId="7" fillId="15" borderId="54" xfId="0" applyNumberFormat="1" applyFont="1" applyFill="1" applyBorder="1" applyAlignment="1">
      <alignment horizontal="left" vertical="top" wrapText="1"/>
    </xf>
    <xf numFmtId="166" fontId="7" fillId="15" borderId="57" xfId="0" applyNumberFormat="1" applyFont="1" applyFill="1" applyBorder="1" applyAlignment="1">
      <alignment horizontal="center" vertical="top" wrapText="1"/>
    </xf>
    <xf numFmtId="166" fontId="7" fillId="15" borderId="58" xfId="0" applyNumberFormat="1" applyFont="1" applyFill="1" applyBorder="1" applyAlignment="1">
      <alignment horizontal="center" vertical="top" wrapText="1"/>
    </xf>
    <xf numFmtId="14" fontId="25" fillId="15" borderId="55" xfId="0" applyNumberFormat="1" applyFont="1" applyFill="1" applyBorder="1" applyAlignment="1">
      <alignment horizontal="left" vertical="top" wrapText="1"/>
    </xf>
    <xf numFmtId="15" fontId="25" fillId="15" borderId="57" xfId="0" applyNumberFormat="1" applyFont="1" applyFill="1" applyBorder="1" applyAlignment="1">
      <alignment horizontal="center" vertical="top" wrapText="1"/>
    </xf>
    <xf numFmtId="0" fontId="25" fillId="15" borderId="58" xfId="0" applyFont="1" applyFill="1" applyBorder="1" applyAlignment="1">
      <alignment horizontal="right" vertical="top" wrapText="1"/>
    </xf>
    <xf numFmtId="44" fontId="25" fillId="15" borderId="54" xfId="2" applyFont="1" applyFill="1" applyBorder="1" applyAlignment="1" applyProtection="1">
      <alignment vertical="top"/>
    </xf>
    <xf numFmtId="0" fontId="25" fillId="15" borderId="58" xfId="0" applyFont="1" applyFill="1" applyBorder="1" applyAlignment="1">
      <alignment vertical="top"/>
    </xf>
    <xf numFmtId="44" fontId="25" fillId="15" borderId="55" xfId="0" applyNumberFormat="1" applyFont="1" applyFill="1" applyBorder="1" applyAlignment="1">
      <alignment vertical="top"/>
    </xf>
    <xf numFmtId="44" fontId="25" fillId="15" borderId="54" xfId="0" applyNumberFormat="1" applyFont="1" applyFill="1" applyBorder="1" applyAlignment="1">
      <alignment vertical="top"/>
    </xf>
    <xf numFmtId="17" fontId="25" fillId="15" borderId="58" xfId="0" applyNumberFormat="1" applyFont="1" applyFill="1" applyBorder="1" applyAlignment="1">
      <alignment vertical="top" wrapText="1"/>
    </xf>
    <xf numFmtId="0" fontId="25" fillId="15" borderId="57" xfId="0" applyFont="1" applyFill="1" applyBorder="1" applyAlignment="1">
      <alignment vertical="top"/>
    </xf>
    <xf numFmtId="44" fontId="26" fillId="15" borderId="50" xfId="2" applyFont="1" applyFill="1" applyBorder="1" applyAlignment="1" applyProtection="1">
      <alignment horizontal="left" vertical="top" wrapText="1"/>
    </xf>
    <xf numFmtId="0" fontId="28" fillId="15" borderId="35" xfId="0" applyFont="1" applyFill="1" applyBorder="1" applyAlignment="1">
      <alignment horizontal="center" vertical="top" wrapText="1"/>
    </xf>
    <xf numFmtId="4" fontId="32" fillId="10" borderId="137" xfId="0" applyNumberFormat="1" applyFont="1" applyFill="1" applyBorder="1" applyAlignment="1">
      <alignment vertical="top" wrapText="1"/>
    </xf>
    <xf numFmtId="4" fontId="33" fillId="10" borderId="136" xfId="0" applyNumberFormat="1" applyFont="1" applyFill="1" applyBorder="1" applyAlignment="1">
      <alignment vertical="top" wrapText="1"/>
    </xf>
    <xf numFmtId="40" fontId="33" fillId="10" borderId="137" xfId="0" applyNumberFormat="1" applyFont="1" applyFill="1" applyBorder="1" applyAlignment="1">
      <alignment vertical="top" wrapText="1"/>
    </xf>
    <xf numFmtId="0" fontId="7" fillId="0" borderId="133" xfId="0" applyFont="1" applyBorder="1" applyAlignment="1">
      <alignment vertical="top" wrapText="1"/>
    </xf>
    <xf numFmtId="165" fontId="5" fillId="15" borderId="35" xfId="0" applyNumberFormat="1" applyFont="1" applyFill="1" applyBorder="1" applyAlignment="1">
      <alignment horizontal="center" vertical="top" wrapText="1"/>
    </xf>
    <xf numFmtId="181" fontId="5" fillId="15" borderId="23" xfId="1" applyNumberFormat="1" applyFont="1" applyFill="1" applyBorder="1" applyAlignment="1" applyProtection="1">
      <alignment horizontal="center" vertical="top" wrapText="1"/>
    </xf>
    <xf numFmtId="4" fontId="29" fillId="0" borderId="34" xfId="0" applyNumberFormat="1" applyFont="1" applyBorder="1" applyAlignment="1">
      <alignment vertical="top" wrapText="1"/>
    </xf>
    <xf numFmtId="0" fontId="28" fillId="0" borderId="27" xfId="0" applyFont="1" applyBorder="1" applyAlignment="1">
      <alignment vertical="center" wrapText="1"/>
    </xf>
    <xf numFmtId="0" fontId="14" fillId="15" borderId="137" xfId="0" applyFont="1" applyFill="1" applyBorder="1" applyAlignment="1">
      <alignment horizontal="center" vertical="top" wrapText="1"/>
    </xf>
    <xf numFmtId="14" fontId="5" fillId="15" borderId="137" xfId="0" applyNumberFormat="1" applyFont="1" applyFill="1" applyBorder="1" applyAlignment="1">
      <alignment horizontal="center" vertical="top" wrapText="1"/>
    </xf>
    <xf numFmtId="165" fontId="32" fillId="15" borderId="137" xfId="0" applyNumberFormat="1" applyFont="1" applyFill="1" applyBorder="1" applyAlignment="1">
      <alignment horizontal="center" vertical="top" wrapText="1"/>
    </xf>
    <xf numFmtId="181" fontId="32" fillId="15" borderId="137" xfId="1" applyNumberFormat="1" applyFont="1" applyFill="1" applyBorder="1" applyAlignment="1" applyProtection="1">
      <alignment horizontal="center" vertical="top" wrapText="1"/>
    </xf>
    <xf numFmtId="0" fontId="5" fillId="15" borderId="136" xfId="0" applyFont="1" applyFill="1" applyBorder="1" applyAlignment="1">
      <alignment vertical="top" wrapText="1"/>
    </xf>
    <xf numFmtId="0" fontId="5" fillId="15" borderId="137" xfId="0" applyFont="1" applyFill="1" applyBorder="1" applyAlignment="1">
      <alignment vertical="top" wrapText="1"/>
    </xf>
    <xf numFmtId="14" fontId="5" fillId="15" borderId="136" xfId="0" applyNumberFormat="1" applyFont="1" applyFill="1" applyBorder="1" applyAlignment="1">
      <alignment horizontal="center" vertical="top" wrapText="1"/>
    </xf>
    <xf numFmtId="0" fontId="33" fillId="15" borderId="136" xfId="0" applyFont="1" applyFill="1" applyBorder="1" applyAlignment="1">
      <alignment vertical="top" wrapText="1"/>
    </xf>
    <xf numFmtId="4" fontId="32" fillId="15" borderId="137" xfId="0" applyNumberFormat="1" applyFont="1" applyFill="1" applyBorder="1" applyAlignment="1">
      <alignment vertical="top" wrapText="1"/>
    </xf>
    <xf numFmtId="4" fontId="33" fillId="15" borderId="136" xfId="0" applyNumberFormat="1" applyFont="1" applyFill="1" applyBorder="1" applyAlignment="1">
      <alignment vertical="top" wrapText="1"/>
    </xf>
    <xf numFmtId="4" fontId="28" fillId="15" borderId="136" xfId="0" applyNumberFormat="1" applyFont="1" applyFill="1" applyBorder="1" applyAlignment="1">
      <alignment vertical="top" wrapText="1"/>
    </xf>
    <xf numFmtId="40" fontId="33" fillId="15" borderId="137" xfId="0" applyNumberFormat="1" applyFont="1" applyFill="1" applyBorder="1" applyAlignment="1">
      <alignment vertical="top" wrapText="1"/>
    </xf>
    <xf numFmtId="165" fontId="32" fillId="0" borderId="132" xfId="0" applyNumberFormat="1" applyFont="1" applyBorder="1" applyAlignment="1">
      <alignment horizontal="center" vertical="top" wrapText="1"/>
    </xf>
    <xf numFmtId="181" fontId="32" fillId="0" borderId="132" xfId="1" applyNumberFormat="1" applyFont="1" applyFill="1" applyBorder="1" applyAlignment="1" applyProtection="1">
      <alignment horizontal="center" vertical="top" wrapText="1"/>
    </xf>
    <xf numFmtId="0" fontId="14" fillId="0" borderId="140" xfId="0" applyFont="1" applyBorder="1" applyAlignment="1">
      <alignment horizontal="center" vertical="top" wrapText="1"/>
    </xf>
    <xf numFmtId="14" fontId="5" fillId="0" borderId="140" xfId="0" applyNumberFormat="1" applyFont="1" applyBorder="1" applyAlignment="1">
      <alignment horizontal="center" vertical="top" wrapText="1"/>
    </xf>
    <xf numFmtId="165" fontId="32" fillId="0" borderId="140" xfId="0" applyNumberFormat="1" applyFont="1" applyBorder="1" applyAlignment="1">
      <alignment horizontal="center" vertical="top" wrapText="1"/>
    </xf>
    <xf numFmtId="181" fontId="32" fillId="0" borderId="140" xfId="1" applyNumberFormat="1" applyFont="1" applyFill="1" applyBorder="1" applyAlignment="1" applyProtection="1">
      <alignment horizontal="center" vertical="top" wrapText="1"/>
    </xf>
    <xf numFmtId="0" fontId="5" fillId="0" borderId="139" xfId="0" applyFont="1" applyBorder="1" applyAlignment="1">
      <alignment vertical="top" wrapText="1"/>
    </xf>
    <xf numFmtId="0" fontId="5" fillId="0" borderId="140" xfId="0" applyFont="1" applyBorder="1" applyAlignment="1">
      <alignment vertical="top" wrapText="1"/>
    </xf>
    <xf numFmtId="14" fontId="5" fillId="0" borderId="139" xfId="0" applyNumberFormat="1" applyFont="1" applyBorder="1" applyAlignment="1">
      <alignment horizontal="center" vertical="top" wrapText="1"/>
    </xf>
    <xf numFmtId="0" fontId="33" fillId="0" borderId="139" xfId="0" applyFont="1" applyBorder="1" applyAlignment="1">
      <alignment vertical="top" wrapText="1"/>
    </xf>
    <xf numFmtId="4" fontId="32" fillId="0" borderId="140" xfId="0" applyNumberFormat="1" applyFont="1" applyBorder="1" applyAlignment="1">
      <alignment vertical="top" wrapText="1"/>
    </xf>
    <xf numFmtId="4" fontId="33" fillId="0" borderId="139" xfId="0" applyNumberFormat="1" applyFont="1" applyBorder="1" applyAlignment="1">
      <alignment vertical="top" wrapText="1"/>
    </xf>
    <xf numFmtId="4" fontId="32" fillId="10" borderId="140" xfId="0" applyNumberFormat="1" applyFont="1" applyFill="1" applyBorder="1" applyAlignment="1">
      <alignment vertical="top" wrapText="1"/>
    </xf>
    <xf numFmtId="4" fontId="33" fillId="10" borderId="139" xfId="0" applyNumberFormat="1" applyFont="1" applyFill="1" applyBorder="1" applyAlignment="1">
      <alignment vertical="top" wrapText="1"/>
    </xf>
    <xf numFmtId="4" fontId="28" fillId="0" borderId="139" xfId="0" applyNumberFormat="1" applyFont="1" applyBorder="1" applyAlignment="1">
      <alignment vertical="top" wrapText="1"/>
    </xf>
    <xf numFmtId="40" fontId="33" fillId="0" borderId="140" xfId="0" applyNumberFormat="1" applyFont="1" applyBorder="1" applyAlignment="1">
      <alignment vertical="top" wrapText="1"/>
    </xf>
    <xf numFmtId="40" fontId="33" fillId="10" borderId="140" xfId="0" applyNumberFormat="1" applyFont="1" applyFill="1" applyBorder="1" applyAlignment="1">
      <alignment vertical="top" wrapText="1"/>
    </xf>
    <xf numFmtId="166" fontId="7" fillId="15" borderId="120" xfId="0" applyNumberFormat="1" applyFont="1" applyFill="1" applyBorder="1" applyAlignment="1">
      <alignment horizontal="center" vertical="top" wrapText="1"/>
    </xf>
    <xf numFmtId="166" fontId="7" fillId="0" borderId="55" xfId="0" applyNumberFormat="1" applyFont="1" applyBorder="1" applyAlignment="1">
      <alignment horizontal="left" vertical="top" wrapText="1"/>
    </xf>
    <xf numFmtId="166" fontId="7" fillId="0" borderId="63" xfId="0" applyNumberFormat="1" applyFont="1" applyBorder="1" applyAlignment="1">
      <alignment horizontal="left" vertical="top" wrapText="1"/>
    </xf>
    <xf numFmtId="166" fontId="7" fillId="0" borderId="23" xfId="0" applyNumberFormat="1" applyFont="1" applyBorder="1" applyAlignment="1">
      <alignment horizontal="center" vertical="top" wrapText="1"/>
    </xf>
    <xf numFmtId="0" fontId="14" fillId="15" borderId="140" xfId="0" applyFont="1" applyFill="1" applyBorder="1" applyAlignment="1">
      <alignment horizontal="center" vertical="top" wrapText="1"/>
    </xf>
    <xf numFmtId="14" fontId="5" fillId="15" borderId="140" xfId="0" applyNumberFormat="1" applyFont="1" applyFill="1" applyBorder="1" applyAlignment="1">
      <alignment horizontal="center" vertical="top" wrapText="1"/>
    </xf>
    <xf numFmtId="0" fontId="5" fillId="15" borderId="139" xfId="0" applyFont="1" applyFill="1" applyBorder="1" applyAlignment="1">
      <alignment vertical="top" wrapText="1"/>
    </xf>
    <xf numFmtId="0" fontId="5" fillId="15" borderId="140" xfId="0" applyFont="1" applyFill="1" applyBorder="1" applyAlignment="1">
      <alignment vertical="top" wrapText="1"/>
    </xf>
    <xf numFmtId="14" fontId="5" fillId="15" borderId="139" xfId="0" applyNumberFormat="1" applyFont="1" applyFill="1" applyBorder="1" applyAlignment="1">
      <alignment horizontal="center" vertical="top" wrapText="1"/>
    </xf>
    <xf numFmtId="0" fontId="33" fillId="15" borderId="139" xfId="0" applyFont="1" applyFill="1" applyBorder="1" applyAlignment="1">
      <alignment vertical="top" wrapText="1"/>
    </xf>
    <xf numFmtId="4" fontId="32" fillId="15" borderId="140" xfId="0" applyNumberFormat="1" applyFont="1" applyFill="1" applyBorder="1" applyAlignment="1">
      <alignment vertical="top" wrapText="1"/>
    </xf>
    <xf numFmtId="4" fontId="33" fillId="15" borderId="139" xfId="0" applyNumberFormat="1" applyFont="1" applyFill="1" applyBorder="1" applyAlignment="1">
      <alignment vertical="top" wrapText="1"/>
    </xf>
    <xf numFmtId="4" fontId="28" fillId="15" borderId="139" xfId="0" applyNumberFormat="1" applyFont="1" applyFill="1" applyBorder="1" applyAlignment="1">
      <alignment vertical="top" wrapText="1"/>
    </xf>
    <xf numFmtId="40" fontId="33" fillId="15" borderId="140" xfId="0" applyNumberFormat="1" applyFont="1" applyFill="1" applyBorder="1" applyAlignment="1">
      <alignment vertical="top" wrapText="1"/>
    </xf>
    <xf numFmtId="0" fontId="25" fillId="15" borderId="55" xfId="0" applyFont="1" applyFill="1" applyBorder="1" applyAlignment="1">
      <alignment horizontal="left" vertical="top" wrapText="1"/>
    </xf>
    <xf numFmtId="0" fontId="5" fillId="15" borderId="67" xfId="0" applyFont="1" applyFill="1" applyBorder="1" applyAlignment="1">
      <alignment horizontal="center" vertical="top" wrapText="1"/>
    </xf>
    <xf numFmtId="0" fontId="5" fillId="15" borderId="63" xfId="0" applyFont="1" applyFill="1" applyBorder="1" applyAlignment="1">
      <alignment horizontal="center" vertical="top" wrapText="1"/>
    </xf>
    <xf numFmtId="0" fontId="14" fillId="15" borderId="143" xfId="0" applyFont="1" applyFill="1" applyBorder="1" applyAlignment="1">
      <alignment horizontal="center" vertical="top" wrapText="1"/>
    </xf>
    <xf numFmtId="0" fontId="14" fillId="15" borderId="144" xfId="0" applyFont="1" applyFill="1" applyBorder="1" applyAlignment="1">
      <alignment horizontal="center" vertical="top" wrapText="1"/>
    </xf>
    <xf numFmtId="14" fontId="5" fillId="15" borderId="144" xfId="0" applyNumberFormat="1" applyFont="1" applyFill="1" applyBorder="1" applyAlignment="1">
      <alignment horizontal="center" vertical="top" wrapText="1"/>
    </xf>
    <xf numFmtId="0" fontId="5" fillId="15" borderId="142" xfId="0" applyFont="1" applyFill="1" applyBorder="1" applyAlignment="1">
      <alignment vertical="top" wrapText="1"/>
    </xf>
    <xf numFmtId="0" fontId="5" fillId="15" borderId="143" xfId="0" applyFont="1" applyFill="1" applyBorder="1" applyAlignment="1">
      <alignment vertical="top" wrapText="1"/>
    </xf>
    <xf numFmtId="0" fontId="5" fillId="15" borderId="144" xfId="0" applyFont="1" applyFill="1" applyBorder="1" applyAlignment="1">
      <alignment vertical="top" wrapText="1"/>
    </xf>
    <xf numFmtId="14" fontId="5" fillId="15" borderId="142" xfId="0" applyNumberFormat="1" applyFont="1" applyFill="1" applyBorder="1" applyAlignment="1">
      <alignment horizontal="center" vertical="top" wrapText="1"/>
    </xf>
    <xf numFmtId="0" fontId="33" fillId="15" borderId="143" xfId="0" applyFont="1" applyFill="1" applyBorder="1" applyAlignment="1">
      <alignment vertical="top" wrapText="1"/>
    </xf>
    <xf numFmtId="0" fontId="32" fillId="15" borderId="144" xfId="0" applyFont="1" applyFill="1" applyBorder="1" applyAlignment="1">
      <alignment vertical="top" wrapText="1"/>
    </xf>
    <xf numFmtId="0" fontId="33" fillId="15" borderId="142" xfId="0" applyFont="1" applyFill="1" applyBorder="1" applyAlignment="1">
      <alignment vertical="top" wrapText="1"/>
    </xf>
    <xf numFmtId="4" fontId="5" fillId="15" borderId="143" xfId="0" applyNumberFormat="1" applyFont="1" applyFill="1" applyBorder="1" applyAlignment="1">
      <alignment vertical="top" wrapText="1"/>
    </xf>
    <xf numFmtId="4" fontId="32" fillId="15" borderId="144" xfId="0" applyNumberFormat="1" applyFont="1" applyFill="1" applyBorder="1" applyAlignment="1">
      <alignment vertical="top" wrapText="1"/>
    </xf>
    <xf numFmtId="4" fontId="33" fillId="15" borderId="142" xfId="0" applyNumberFormat="1" applyFont="1" applyFill="1" applyBorder="1" applyAlignment="1">
      <alignment vertical="top" wrapText="1"/>
    </xf>
    <xf numFmtId="4" fontId="5" fillId="10" borderId="143" xfId="0" applyNumberFormat="1" applyFont="1" applyFill="1" applyBorder="1" applyAlignment="1">
      <alignment vertical="top" wrapText="1"/>
    </xf>
    <xf numFmtId="4" fontId="32" fillId="10" borderId="144" xfId="0" applyNumberFormat="1" applyFont="1" applyFill="1" applyBorder="1" applyAlignment="1">
      <alignment vertical="top" wrapText="1"/>
    </xf>
    <xf numFmtId="4" fontId="33" fillId="10" borderId="142" xfId="0" applyNumberFormat="1" applyFont="1" applyFill="1" applyBorder="1" applyAlignment="1">
      <alignment vertical="top" wrapText="1"/>
    </xf>
    <xf numFmtId="4" fontId="14" fillId="15" borderId="143" xfId="0" applyNumberFormat="1" applyFont="1" applyFill="1" applyBorder="1" applyAlignment="1">
      <alignment vertical="top" wrapText="1"/>
    </xf>
    <xf numFmtId="4" fontId="28" fillId="15" borderId="142" xfId="0" applyNumberFormat="1" applyFont="1" applyFill="1" applyBorder="1" applyAlignment="1">
      <alignment vertical="top" wrapText="1"/>
    </xf>
    <xf numFmtId="40" fontId="33" fillId="15" borderId="143" xfId="0" applyNumberFormat="1" applyFont="1" applyFill="1" applyBorder="1" applyAlignment="1">
      <alignment vertical="top" wrapText="1"/>
    </xf>
    <xf numFmtId="40" fontId="33" fillId="15" borderId="144" xfId="0" applyNumberFormat="1" applyFont="1" applyFill="1" applyBorder="1" applyAlignment="1">
      <alignment vertical="top" wrapText="1"/>
    </xf>
    <xf numFmtId="49" fontId="6" fillId="0" borderId="50" xfId="0" applyNumberFormat="1" applyFont="1" applyBorder="1" applyAlignment="1">
      <alignment horizontal="left" vertical="top" wrapText="1"/>
    </xf>
    <xf numFmtId="0" fontId="7" fillId="0" borderId="68" xfId="0" applyFont="1" applyBorder="1" applyAlignment="1">
      <alignment vertical="top" wrapText="1"/>
    </xf>
    <xf numFmtId="0" fontId="7" fillId="10" borderId="58" xfId="0" applyFont="1" applyFill="1" applyBorder="1" applyAlignment="1">
      <alignment horizontal="right" vertical="top" wrapText="1"/>
    </xf>
    <xf numFmtId="166" fontId="7" fillId="0" borderId="68" xfId="0" applyNumberFormat="1" applyFont="1" applyBorder="1" applyAlignment="1">
      <alignment horizontal="left" vertical="top" wrapText="1"/>
    </xf>
    <xf numFmtId="166" fontId="7" fillId="0" borderId="69" xfId="0" applyNumberFormat="1" applyFont="1" applyBorder="1" applyAlignment="1">
      <alignment horizontal="center" vertical="top" wrapText="1"/>
    </xf>
    <xf numFmtId="166" fontId="7" fillId="15" borderId="63" xfId="0" applyNumberFormat="1" applyFont="1" applyFill="1" applyBorder="1" applyAlignment="1">
      <alignment horizontal="left" vertical="top" wrapText="1"/>
    </xf>
    <xf numFmtId="166" fontId="7" fillId="15" borderId="23" xfId="0" applyNumberFormat="1" applyFont="1" applyFill="1" applyBorder="1" applyAlignment="1">
      <alignment horizontal="center" vertical="top" wrapText="1"/>
    </xf>
    <xf numFmtId="49" fontId="6" fillId="15" borderId="64" xfId="0" applyNumberFormat="1" applyFont="1" applyFill="1" applyBorder="1" applyAlignment="1">
      <alignment horizontal="left" vertical="top" wrapText="1"/>
    </xf>
    <xf numFmtId="0" fontId="7" fillId="15" borderId="34" xfId="0" applyFont="1" applyFill="1" applyBorder="1" applyAlignment="1">
      <alignment horizontal="left" vertical="top" wrapText="1"/>
    </xf>
    <xf numFmtId="0" fontId="7" fillId="21" borderId="64" xfId="0" applyFont="1" applyFill="1" applyBorder="1" applyAlignment="1">
      <alignment vertical="top" wrapText="1"/>
    </xf>
    <xf numFmtId="0" fontId="6" fillId="21" borderId="64" xfId="0" applyFont="1" applyFill="1" applyBorder="1" applyAlignment="1">
      <alignment horizontal="center" vertical="top" wrapText="1"/>
    </xf>
    <xf numFmtId="0" fontId="14" fillId="0" borderId="63" xfId="0" applyFont="1" applyBorder="1" applyAlignment="1">
      <alignment horizontal="left" vertical="top" wrapText="1"/>
    </xf>
    <xf numFmtId="167" fontId="32" fillId="18" borderId="23" xfId="0" applyNumberFormat="1" applyFont="1" applyFill="1" applyBorder="1" applyAlignment="1">
      <alignment horizontal="center" vertical="top" wrapText="1"/>
    </xf>
    <xf numFmtId="0" fontId="44" fillId="0" borderId="23" xfId="0" applyFont="1" applyBorder="1" applyAlignment="1">
      <alignment vertical="top" wrapText="1"/>
    </xf>
    <xf numFmtId="0" fontId="37" fillId="0" borderId="23" xfId="0" applyFont="1" applyBorder="1" applyAlignment="1">
      <alignment vertical="top" wrapText="1"/>
    </xf>
    <xf numFmtId="0" fontId="60" fillId="0" borderId="63" xfId="0" applyFont="1" applyBorder="1" applyAlignment="1">
      <alignment vertical="top" wrapText="1"/>
    </xf>
    <xf numFmtId="0" fontId="5" fillId="0" borderId="0" xfId="0" applyFont="1"/>
    <xf numFmtId="0" fontId="14" fillId="0" borderId="146" xfId="0" applyFont="1" applyBorder="1" applyAlignment="1">
      <alignment horizontal="center" vertical="top" wrapText="1"/>
    </xf>
    <xf numFmtId="0" fontId="14" fillId="0" borderId="147" xfId="0" applyFont="1" applyBorder="1" applyAlignment="1">
      <alignment horizontal="center" vertical="top" wrapText="1"/>
    </xf>
    <xf numFmtId="14" fontId="5" fillId="0" borderId="147" xfId="0" applyNumberFormat="1" applyFont="1" applyBorder="1" applyAlignment="1">
      <alignment horizontal="center" vertical="top" wrapText="1"/>
    </xf>
    <xf numFmtId="0" fontId="5" fillId="0" borderId="145" xfId="0" applyFont="1" applyBorder="1" applyAlignment="1">
      <alignment vertical="top" wrapText="1"/>
    </xf>
    <xf numFmtId="0" fontId="5" fillId="0" borderId="146" xfId="0" applyFont="1" applyBorder="1" applyAlignment="1">
      <alignment vertical="top" wrapText="1"/>
    </xf>
    <xf numFmtId="0" fontId="5" fillId="0" borderId="147" xfId="0" applyFont="1" applyBorder="1" applyAlignment="1">
      <alignment vertical="top" wrapText="1"/>
    </xf>
    <xf numFmtId="14" fontId="5" fillId="0" borderId="145" xfId="0" applyNumberFormat="1" applyFont="1" applyBorder="1" applyAlignment="1">
      <alignment horizontal="center" vertical="top" wrapText="1"/>
    </xf>
    <xf numFmtId="0" fontId="33" fillId="0" borderId="146" xfId="0" applyFont="1" applyBorder="1" applyAlignment="1">
      <alignment vertical="top" wrapText="1"/>
    </xf>
    <xf numFmtId="0" fontId="33" fillId="0" borderId="145" xfId="0" applyFont="1" applyBorder="1" applyAlignment="1">
      <alignment vertical="top" wrapText="1"/>
    </xf>
    <xf numFmtId="4" fontId="5" fillId="0" borderId="146" xfId="0" applyNumberFormat="1" applyFont="1" applyBorder="1" applyAlignment="1">
      <alignment vertical="top" wrapText="1"/>
    </xf>
    <xf numFmtId="4" fontId="32" fillId="0" borderId="147" xfId="0" applyNumberFormat="1" applyFont="1" applyBorder="1" applyAlignment="1">
      <alignment vertical="top" wrapText="1"/>
    </xf>
    <xf numFmtId="4" fontId="33" fillId="0" borderId="145" xfId="0" applyNumberFormat="1" applyFont="1" applyBorder="1" applyAlignment="1">
      <alignment vertical="top" wrapText="1"/>
    </xf>
    <xf numFmtId="4" fontId="5" fillId="10" borderId="146" xfId="0" applyNumberFormat="1" applyFont="1" applyFill="1" applyBorder="1" applyAlignment="1">
      <alignment vertical="top" wrapText="1"/>
    </xf>
    <xf numFmtId="4" fontId="32" fillId="10" borderId="147" xfId="0" applyNumberFormat="1" applyFont="1" applyFill="1" applyBorder="1" applyAlignment="1">
      <alignment vertical="top" wrapText="1"/>
    </xf>
    <xf numFmtId="4" fontId="33" fillId="10" borderId="145" xfId="0" applyNumberFormat="1" applyFont="1" applyFill="1" applyBorder="1" applyAlignment="1">
      <alignment vertical="top" wrapText="1"/>
    </xf>
    <xf numFmtId="4" fontId="14" fillId="0" borderId="146" xfId="0" applyNumberFormat="1" applyFont="1" applyBorder="1" applyAlignment="1">
      <alignment vertical="top" wrapText="1"/>
    </xf>
    <xf numFmtId="4" fontId="28" fillId="0" borderId="145" xfId="0" applyNumberFormat="1" applyFont="1" applyBorder="1" applyAlignment="1">
      <alignment vertical="top" wrapText="1"/>
    </xf>
    <xf numFmtId="40" fontId="33" fillId="0" borderId="146" xfId="0" applyNumberFormat="1" applyFont="1" applyBorder="1" applyAlignment="1">
      <alignment vertical="top" wrapText="1"/>
    </xf>
    <xf numFmtId="40" fontId="33" fillId="0" borderId="147" xfId="0" applyNumberFormat="1" applyFont="1" applyBorder="1" applyAlignment="1">
      <alignment vertical="top" wrapText="1"/>
    </xf>
    <xf numFmtId="40" fontId="33" fillId="10" borderId="147" xfId="0" applyNumberFormat="1" applyFont="1" applyFill="1" applyBorder="1" applyAlignment="1">
      <alignment vertical="top" wrapText="1"/>
    </xf>
    <xf numFmtId="14" fontId="33" fillId="0" borderId="131" xfId="0" applyNumberFormat="1" applyFont="1" applyBorder="1" applyAlignment="1">
      <alignment horizontal="center" vertical="top" wrapText="1"/>
    </xf>
    <xf numFmtId="4" fontId="32" fillId="15" borderId="67" xfId="0" applyNumberFormat="1" applyFont="1" applyFill="1" applyBorder="1" applyAlignment="1">
      <alignment vertical="top" wrapText="1"/>
    </xf>
    <xf numFmtId="4" fontId="32" fillId="15" borderId="27" xfId="0" applyNumberFormat="1" applyFont="1" applyFill="1" applyBorder="1" applyAlignment="1">
      <alignment vertical="top" wrapText="1"/>
    </xf>
    <xf numFmtId="0" fontId="32" fillId="15" borderId="27" xfId="0" applyFont="1" applyFill="1" applyBorder="1" applyAlignment="1">
      <alignment vertical="top" wrapText="1"/>
    </xf>
    <xf numFmtId="4" fontId="29" fillId="15" borderId="67" xfId="0" applyNumberFormat="1" applyFont="1" applyFill="1" applyBorder="1" applyAlignment="1">
      <alignment vertical="top" wrapText="1"/>
    </xf>
    <xf numFmtId="4" fontId="29" fillId="15" borderId="27" xfId="0" applyNumberFormat="1" applyFont="1" applyFill="1" applyBorder="1" applyAlignment="1">
      <alignment vertical="top" wrapText="1"/>
    </xf>
    <xf numFmtId="0" fontId="5" fillId="0" borderId="148" xfId="0" applyFont="1" applyBorder="1" applyAlignment="1">
      <alignment vertical="top" wrapText="1"/>
    </xf>
    <xf numFmtId="4" fontId="5" fillId="10" borderId="149" xfId="0" applyNumberFormat="1" applyFont="1" applyFill="1" applyBorder="1" applyAlignment="1">
      <alignment vertical="top" wrapText="1"/>
    </xf>
    <xf numFmtId="4" fontId="32" fillId="10" borderId="150" xfId="0" applyNumberFormat="1" applyFont="1" applyFill="1" applyBorder="1" applyAlignment="1">
      <alignment vertical="top" wrapText="1"/>
    </xf>
    <xf numFmtId="4" fontId="33" fillId="10" borderId="148" xfId="0" applyNumberFormat="1" applyFont="1" applyFill="1" applyBorder="1" applyAlignment="1">
      <alignment vertical="top" wrapText="1"/>
    </xf>
    <xf numFmtId="40" fontId="33" fillId="10" borderId="150" xfId="0" applyNumberFormat="1" applyFont="1" applyFill="1" applyBorder="1" applyAlignment="1">
      <alignment vertical="top" wrapText="1"/>
    </xf>
    <xf numFmtId="8" fontId="14" fillId="0" borderId="16" xfId="2" applyNumberFormat="1" applyFont="1" applyFill="1" applyBorder="1" applyAlignment="1" applyProtection="1">
      <alignment vertical="top" wrapText="1"/>
    </xf>
    <xf numFmtId="6" fontId="33" fillId="0" borderId="16" xfId="2" applyNumberFormat="1" applyFont="1" applyFill="1" applyBorder="1" applyAlignment="1" applyProtection="1">
      <alignment vertical="top" wrapText="1"/>
    </xf>
    <xf numFmtId="182" fontId="5" fillId="0" borderId="16" xfId="1" applyNumberFormat="1" applyFont="1" applyFill="1" applyBorder="1" applyAlignment="1" applyProtection="1">
      <alignment horizontal="center" vertical="top" wrapText="1"/>
    </xf>
    <xf numFmtId="182" fontId="14" fillId="8" borderId="56" xfId="1" applyNumberFormat="1" applyFont="1" applyFill="1" applyBorder="1" applyAlignment="1" applyProtection="1">
      <alignment horizontal="centerContinuous" vertical="center" wrapText="1"/>
    </xf>
    <xf numFmtId="182" fontId="29" fillId="8" borderId="33" xfId="1" applyNumberFormat="1" applyFont="1" applyFill="1" applyBorder="1" applyAlignment="1" applyProtection="1">
      <alignment horizontal="center" vertical="top" wrapText="1"/>
    </xf>
    <xf numFmtId="182" fontId="5" fillId="0" borderId="35" xfId="1" applyNumberFormat="1" applyFont="1" applyFill="1" applyBorder="1" applyAlignment="1" applyProtection="1">
      <alignment horizontal="center" vertical="top" wrapText="1"/>
    </xf>
    <xf numFmtId="182" fontId="5" fillId="0" borderId="23" xfId="1" applyNumberFormat="1" applyFont="1" applyFill="1" applyBorder="1" applyAlignment="1" applyProtection="1">
      <alignment horizontal="center" vertical="top" wrapText="1"/>
    </xf>
    <xf numFmtId="182" fontId="5" fillId="18" borderId="23" xfId="1" applyNumberFormat="1" applyFont="1" applyFill="1" applyBorder="1" applyAlignment="1" applyProtection="1">
      <alignment horizontal="center" vertical="top" wrapText="1"/>
    </xf>
    <xf numFmtId="182" fontId="5" fillId="0" borderId="0" xfId="1" applyNumberFormat="1" applyFont="1" applyFill="1" applyBorder="1" applyAlignment="1" applyProtection="1">
      <alignment horizontal="center" vertical="top" wrapText="1"/>
    </xf>
    <xf numFmtId="182" fontId="28" fillId="0" borderId="34" xfId="1" applyNumberFormat="1" applyFont="1" applyFill="1" applyBorder="1" applyAlignment="1" applyProtection="1">
      <alignment horizontal="center" vertical="top" wrapText="1"/>
      <protection locked="0"/>
    </xf>
    <xf numFmtId="0" fontId="14" fillId="15" borderId="153" xfId="0" applyFont="1" applyFill="1" applyBorder="1" applyAlignment="1">
      <alignment horizontal="center" vertical="top" wrapText="1"/>
    </xf>
    <xf numFmtId="0" fontId="14" fillId="15" borderId="154" xfId="0" applyFont="1" applyFill="1" applyBorder="1" applyAlignment="1">
      <alignment horizontal="center" vertical="top" wrapText="1"/>
    </xf>
    <xf numFmtId="14" fontId="5" fillId="15" borderId="154" xfId="0" applyNumberFormat="1" applyFont="1" applyFill="1" applyBorder="1" applyAlignment="1">
      <alignment horizontal="center" vertical="top" wrapText="1"/>
    </xf>
    <xf numFmtId="0" fontId="5" fillId="15" borderId="152" xfId="0" applyFont="1" applyFill="1" applyBorder="1" applyAlignment="1">
      <alignment vertical="top" wrapText="1"/>
    </xf>
    <xf numFmtId="0" fontId="5" fillId="15" borderId="153" xfId="0" applyFont="1" applyFill="1" applyBorder="1" applyAlignment="1">
      <alignment vertical="top" wrapText="1"/>
    </xf>
    <xf numFmtId="0" fontId="5" fillId="15" borderId="154" xfId="0" applyFont="1" applyFill="1" applyBorder="1" applyAlignment="1">
      <alignment vertical="top" wrapText="1"/>
    </xf>
    <xf numFmtId="14" fontId="5" fillId="15" borderId="152" xfId="0" applyNumberFormat="1" applyFont="1" applyFill="1" applyBorder="1" applyAlignment="1">
      <alignment horizontal="center" vertical="top" wrapText="1"/>
    </xf>
    <xf numFmtId="0" fontId="33" fillId="15" borderId="153" xfId="0" applyFont="1" applyFill="1" applyBorder="1" applyAlignment="1">
      <alignment vertical="top" wrapText="1"/>
    </xf>
    <xf numFmtId="0" fontId="33" fillId="15" borderId="152" xfId="0" applyFont="1" applyFill="1" applyBorder="1" applyAlignment="1">
      <alignment vertical="top" wrapText="1"/>
    </xf>
    <xf numFmtId="4" fontId="5" fillId="15" borderId="153" xfId="0" applyNumberFormat="1" applyFont="1" applyFill="1" applyBorder="1" applyAlignment="1">
      <alignment vertical="top" wrapText="1"/>
    </xf>
    <xf numFmtId="4" fontId="32" fillId="15" borderId="154" xfId="0" applyNumberFormat="1" applyFont="1" applyFill="1" applyBorder="1" applyAlignment="1">
      <alignment vertical="top" wrapText="1"/>
    </xf>
    <xf numFmtId="4" fontId="33" fillId="15" borderId="152" xfId="0" applyNumberFormat="1" applyFont="1" applyFill="1" applyBorder="1" applyAlignment="1">
      <alignment vertical="top" wrapText="1"/>
    </xf>
    <xf numFmtId="4" fontId="5" fillId="10" borderId="153" xfId="0" applyNumberFormat="1" applyFont="1" applyFill="1" applyBorder="1" applyAlignment="1">
      <alignment vertical="top" wrapText="1"/>
    </xf>
    <xf numFmtId="4" fontId="32" fillId="10" borderId="154" xfId="0" applyNumberFormat="1" applyFont="1" applyFill="1" applyBorder="1" applyAlignment="1">
      <alignment vertical="top" wrapText="1"/>
    </xf>
    <xf numFmtId="4" fontId="33" fillId="10" borderId="152" xfId="0" applyNumberFormat="1" applyFont="1" applyFill="1" applyBorder="1" applyAlignment="1">
      <alignment vertical="top" wrapText="1"/>
    </xf>
    <xf numFmtId="4" fontId="14" fillId="15" borderId="153" xfId="0" applyNumberFormat="1" applyFont="1" applyFill="1" applyBorder="1" applyAlignment="1">
      <alignment vertical="top" wrapText="1"/>
    </xf>
    <xf numFmtId="4" fontId="28" fillId="15" borderId="152" xfId="0" applyNumberFormat="1" applyFont="1" applyFill="1" applyBorder="1" applyAlignment="1">
      <alignment vertical="top" wrapText="1"/>
    </xf>
    <xf numFmtId="40" fontId="33" fillId="15" borderId="153" xfId="0" applyNumberFormat="1" applyFont="1" applyFill="1" applyBorder="1" applyAlignment="1">
      <alignment vertical="top" wrapText="1"/>
    </xf>
    <xf numFmtId="40" fontId="33" fillId="15" borderId="154" xfId="0" applyNumberFormat="1" applyFont="1" applyFill="1" applyBorder="1" applyAlignment="1">
      <alignment vertical="top" wrapText="1"/>
    </xf>
    <xf numFmtId="40" fontId="33" fillId="10" borderId="154" xfId="0" applyNumberFormat="1" applyFont="1" applyFill="1" applyBorder="1" applyAlignment="1">
      <alignment vertical="top" wrapText="1"/>
    </xf>
    <xf numFmtId="182" fontId="32" fillId="15" borderId="35" xfId="1" applyNumberFormat="1" applyFont="1" applyFill="1" applyBorder="1" applyAlignment="1" applyProtection="1">
      <alignment horizontal="center" vertical="top" wrapText="1"/>
    </xf>
    <xf numFmtId="0" fontId="14" fillId="0" borderId="149" xfId="0" applyFont="1" applyBorder="1" applyAlignment="1">
      <alignment horizontal="center" vertical="top" wrapText="1"/>
    </xf>
    <xf numFmtId="0" fontId="14" fillId="0" borderId="150" xfId="0" applyFont="1" applyBorder="1" applyAlignment="1">
      <alignment horizontal="center" vertical="top" wrapText="1"/>
    </xf>
    <xf numFmtId="14" fontId="5" fillId="0" borderId="150" xfId="0" applyNumberFormat="1" applyFont="1" applyBorder="1" applyAlignment="1">
      <alignment horizontal="center" vertical="top" wrapText="1"/>
    </xf>
    <xf numFmtId="165" fontId="32" fillId="0" borderId="150" xfId="0" applyNumberFormat="1" applyFont="1" applyBorder="1" applyAlignment="1">
      <alignment horizontal="center" vertical="top" wrapText="1"/>
    </xf>
    <xf numFmtId="182" fontId="32" fillId="0" borderId="150" xfId="1" applyNumberFormat="1" applyFont="1" applyFill="1" applyBorder="1" applyAlignment="1" applyProtection="1">
      <alignment horizontal="center" vertical="top" wrapText="1"/>
    </xf>
    <xf numFmtId="0" fontId="5" fillId="0" borderId="149" xfId="0" applyFont="1" applyBorder="1" applyAlignment="1">
      <alignment vertical="top" wrapText="1"/>
    </xf>
    <xf numFmtId="0" fontId="5" fillId="0" borderId="150" xfId="0" applyFont="1" applyBorder="1" applyAlignment="1">
      <alignment vertical="top" wrapText="1"/>
    </xf>
    <xf numFmtId="14" fontId="5" fillId="0" borderId="148" xfId="0" applyNumberFormat="1" applyFont="1" applyBorder="1" applyAlignment="1">
      <alignment horizontal="center" vertical="top" wrapText="1"/>
    </xf>
    <xf numFmtId="0" fontId="33" fillId="0" borderId="149" xfId="0" applyFont="1" applyBorder="1" applyAlignment="1">
      <alignment vertical="top" wrapText="1"/>
    </xf>
    <xf numFmtId="0" fontId="33" fillId="0" borderId="148" xfId="0" applyFont="1" applyBorder="1" applyAlignment="1">
      <alignment vertical="top" wrapText="1"/>
    </xf>
    <xf numFmtId="4" fontId="5" fillId="0" borderId="149" xfId="0" applyNumberFormat="1" applyFont="1" applyBorder="1" applyAlignment="1">
      <alignment vertical="top" wrapText="1"/>
    </xf>
    <xf numFmtId="4" fontId="32" fillId="0" borderId="150" xfId="0" applyNumberFormat="1" applyFont="1" applyBorder="1" applyAlignment="1">
      <alignment vertical="top" wrapText="1"/>
    </xf>
    <xf numFmtId="4" fontId="33" fillId="0" borderId="148" xfId="0" applyNumberFormat="1" applyFont="1" applyBorder="1" applyAlignment="1">
      <alignment vertical="top" wrapText="1"/>
    </xf>
    <xf numFmtId="4" fontId="14" fillId="0" borderId="149" xfId="0" applyNumberFormat="1" applyFont="1" applyBorder="1" applyAlignment="1">
      <alignment vertical="top" wrapText="1"/>
    </xf>
    <xf numFmtId="4" fontId="28" fillId="0" borderId="148" xfId="0" applyNumberFormat="1" applyFont="1" applyBorder="1" applyAlignment="1">
      <alignment vertical="top" wrapText="1"/>
    </xf>
    <xf numFmtId="40" fontId="33" fillId="0" borderId="149" xfId="0" applyNumberFormat="1" applyFont="1" applyBorder="1" applyAlignment="1">
      <alignment vertical="top" wrapText="1"/>
    </xf>
    <xf numFmtId="40" fontId="33" fillId="0" borderId="150" xfId="0" applyNumberFormat="1" applyFont="1" applyBorder="1" applyAlignment="1">
      <alignment vertical="top" wrapText="1"/>
    </xf>
    <xf numFmtId="182" fontId="5" fillId="15" borderId="23" xfId="1" applyNumberFormat="1" applyFont="1" applyFill="1" applyBorder="1" applyAlignment="1" applyProtection="1">
      <alignment horizontal="center" vertical="top" wrapText="1"/>
    </xf>
    <xf numFmtId="165" fontId="28" fillId="15" borderId="23" xfId="0" applyNumberFormat="1" applyFont="1" applyFill="1" applyBorder="1" applyAlignment="1">
      <alignment horizontal="center" vertical="top" wrapText="1"/>
    </xf>
    <xf numFmtId="182" fontId="28" fillId="15" borderId="23" xfId="1" applyNumberFormat="1" applyFont="1" applyFill="1" applyBorder="1" applyAlignment="1" applyProtection="1">
      <alignment horizontal="center" vertical="top" wrapText="1"/>
    </xf>
    <xf numFmtId="182" fontId="32" fillId="15" borderId="132" xfId="1" applyNumberFormat="1" applyFont="1" applyFill="1" applyBorder="1" applyAlignment="1" applyProtection="1">
      <alignment horizontal="center" vertical="top" wrapText="1"/>
    </xf>
    <xf numFmtId="17" fontId="14" fillId="0" borderId="16" xfId="0" applyNumberFormat="1" applyFont="1" applyBorder="1" applyAlignment="1">
      <alignment horizontal="right" vertical="top" wrapText="1"/>
    </xf>
    <xf numFmtId="4" fontId="5" fillId="10" borderId="156" xfId="0" applyNumberFormat="1" applyFont="1" applyFill="1" applyBorder="1" applyAlignment="1">
      <alignment vertical="top" wrapText="1"/>
    </xf>
    <xf numFmtId="182" fontId="32" fillId="0" borderId="23" xfId="1" applyNumberFormat="1" applyFont="1" applyFill="1" applyBorder="1" applyAlignment="1" applyProtection="1">
      <alignment horizontal="center" vertical="top" wrapText="1"/>
    </xf>
    <xf numFmtId="0" fontId="14" fillId="0" borderId="92" xfId="0" applyFont="1" applyBorder="1" applyAlignment="1">
      <alignment horizontal="center" vertical="top" wrapText="1"/>
    </xf>
    <xf numFmtId="182" fontId="32" fillId="0" borderId="35" xfId="1" applyNumberFormat="1" applyFont="1" applyFill="1" applyBorder="1" applyAlignment="1" applyProtection="1">
      <alignment horizontal="center" vertical="top" wrapText="1"/>
    </xf>
    <xf numFmtId="0" fontId="14" fillId="15" borderId="156" xfId="0" applyFont="1" applyFill="1" applyBorder="1" applyAlignment="1">
      <alignment horizontal="center" vertical="top" wrapText="1"/>
    </xf>
    <xf numFmtId="0" fontId="14" fillId="15" borderId="158" xfId="0" applyFont="1" applyFill="1" applyBorder="1" applyAlignment="1">
      <alignment horizontal="center" vertical="top" wrapText="1"/>
    </xf>
    <xf numFmtId="14" fontId="5" fillId="15" borderId="158" xfId="0" applyNumberFormat="1" applyFont="1" applyFill="1" applyBorder="1" applyAlignment="1">
      <alignment horizontal="center" vertical="top" wrapText="1"/>
    </xf>
    <xf numFmtId="182" fontId="33" fillId="15" borderId="158" xfId="1" applyNumberFormat="1" applyFont="1" applyFill="1" applyBorder="1" applyAlignment="1" applyProtection="1">
      <alignment horizontal="center" vertical="top" wrapText="1"/>
    </xf>
    <xf numFmtId="0" fontId="5" fillId="15" borderId="157" xfId="0" applyFont="1" applyFill="1" applyBorder="1" applyAlignment="1">
      <alignment vertical="top" wrapText="1"/>
    </xf>
    <xf numFmtId="0" fontId="5" fillId="15" borderId="156" xfId="0" applyFont="1" applyFill="1" applyBorder="1" applyAlignment="1">
      <alignment vertical="top" wrapText="1"/>
    </xf>
    <xf numFmtId="0" fontId="5" fillId="15" borderId="158" xfId="0" applyFont="1" applyFill="1" applyBorder="1" applyAlignment="1">
      <alignment vertical="top" wrapText="1"/>
    </xf>
    <xf numFmtId="14" fontId="5" fillId="15" borderId="157" xfId="0" applyNumberFormat="1" applyFont="1" applyFill="1" applyBorder="1" applyAlignment="1">
      <alignment horizontal="center" vertical="top" wrapText="1"/>
    </xf>
    <xf numFmtId="0" fontId="33" fillId="15" borderId="156" xfId="0" applyFont="1" applyFill="1" applyBorder="1" applyAlignment="1">
      <alignment vertical="top" wrapText="1"/>
    </xf>
    <xf numFmtId="0" fontId="33" fillId="15" borderId="157" xfId="0" applyFont="1" applyFill="1" applyBorder="1" applyAlignment="1">
      <alignment vertical="top" wrapText="1"/>
    </xf>
    <xf numFmtId="4" fontId="5" fillId="15" borderId="156" xfId="0" applyNumberFormat="1" applyFont="1" applyFill="1" applyBorder="1" applyAlignment="1">
      <alignment vertical="top" wrapText="1"/>
    </xf>
    <xf numFmtId="4" fontId="32" fillId="15" borderId="158" xfId="0" applyNumberFormat="1" applyFont="1" applyFill="1" applyBorder="1" applyAlignment="1">
      <alignment vertical="top" wrapText="1"/>
    </xf>
    <xf numFmtId="4" fontId="33" fillId="15" borderId="157" xfId="0" applyNumberFormat="1" applyFont="1" applyFill="1" applyBorder="1" applyAlignment="1">
      <alignment vertical="top" wrapText="1"/>
    </xf>
    <xf numFmtId="4" fontId="32" fillId="10" borderId="158" xfId="0" applyNumberFormat="1" applyFont="1" applyFill="1" applyBorder="1" applyAlignment="1">
      <alignment vertical="top" wrapText="1"/>
    </xf>
    <xf numFmtId="4" fontId="33" fillId="10" borderId="157" xfId="0" applyNumberFormat="1" applyFont="1" applyFill="1" applyBorder="1" applyAlignment="1">
      <alignment vertical="top" wrapText="1"/>
    </xf>
    <xf numFmtId="4" fontId="14" fillId="15" borderId="156" xfId="0" applyNumberFormat="1" applyFont="1" applyFill="1" applyBorder="1" applyAlignment="1">
      <alignment vertical="top" wrapText="1"/>
    </xf>
    <xf numFmtId="4" fontId="28" fillId="15" borderId="157" xfId="0" applyNumberFormat="1" applyFont="1" applyFill="1" applyBorder="1" applyAlignment="1">
      <alignment vertical="top" wrapText="1"/>
    </xf>
    <xf numFmtId="40" fontId="33" fillId="15" borderId="156" xfId="0" applyNumberFormat="1" applyFont="1" applyFill="1" applyBorder="1" applyAlignment="1">
      <alignment vertical="top" wrapText="1"/>
    </xf>
    <xf numFmtId="40" fontId="33" fillId="15" borderId="158" xfId="0" applyNumberFormat="1" applyFont="1" applyFill="1" applyBorder="1" applyAlignment="1">
      <alignment vertical="top" wrapText="1"/>
    </xf>
    <xf numFmtId="40" fontId="33" fillId="10" borderId="158" xfId="0" applyNumberFormat="1" applyFont="1" applyFill="1" applyBorder="1" applyAlignment="1">
      <alignment vertical="top" wrapText="1"/>
    </xf>
    <xf numFmtId="0" fontId="26" fillId="0" borderId="26" xfId="0" applyFont="1" applyBorder="1" applyAlignment="1">
      <alignment horizontal="center" vertical="top" wrapText="1"/>
    </xf>
    <xf numFmtId="0" fontId="7" fillId="0" borderId="67" xfId="0" applyFont="1" applyBorder="1" applyAlignment="1">
      <alignment vertical="top" wrapText="1"/>
    </xf>
    <xf numFmtId="0" fontId="7" fillId="0" borderId="35" xfId="0" applyFont="1" applyBorder="1" applyAlignment="1">
      <alignment vertical="top" wrapText="1"/>
    </xf>
    <xf numFmtId="17" fontId="7" fillId="0" borderId="29" xfId="0" applyNumberFormat="1" applyFont="1" applyBorder="1" applyAlignment="1">
      <alignment vertical="top" wrapText="1"/>
    </xf>
    <xf numFmtId="166" fontId="7" fillId="4" borderId="29" xfId="0" applyNumberFormat="1" applyFont="1" applyFill="1" applyBorder="1" applyAlignment="1">
      <alignment horizontal="center" vertical="top" wrapText="1"/>
    </xf>
    <xf numFmtId="166" fontId="7" fillId="4" borderId="27" xfId="0" applyNumberFormat="1" applyFont="1" applyFill="1" applyBorder="1" applyAlignment="1">
      <alignment horizontal="center" vertical="top" wrapText="1"/>
    </xf>
    <xf numFmtId="17" fontId="25" fillId="0" borderId="29" xfId="0" applyNumberFormat="1" applyFont="1" applyBorder="1" applyAlignment="1">
      <alignment vertical="top" wrapText="1"/>
    </xf>
    <xf numFmtId="49" fontId="6" fillId="15" borderId="52" xfId="0" applyNumberFormat="1" applyFont="1" applyFill="1" applyBorder="1" applyAlignment="1">
      <alignment horizontal="left" vertical="top" wrapText="1"/>
    </xf>
    <xf numFmtId="0" fontId="7" fillId="15" borderId="156" xfId="0" applyFont="1" applyFill="1" applyBorder="1" applyAlignment="1">
      <alignment vertical="top" wrapText="1"/>
    </xf>
    <xf numFmtId="0" fontId="7" fillId="15" borderId="157" xfId="0" applyFont="1" applyFill="1" applyBorder="1" applyAlignment="1">
      <alignment vertical="top" wrapText="1"/>
    </xf>
    <xf numFmtId="17" fontId="7" fillId="15" borderId="157" xfId="0" applyNumberFormat="1" applyFont="1" applyFill="1" applyBorder="1" applyAlignment="1">
      <alignment vertical="top" wrapText="1"/>
    </xf>
    <xf numFmtId="17" fontId="6" fillId="15" borderId="157" xfId="0" applyNumberFormat="1" applyFont="1" applyFill="1" applyBorder="1" applyAlignment="1">
      <alignment horizontal="left" vertical="top" wrapText="1"/>
    </xf>
    <xf numFmtId="0" fontId="7" fillId="15" borderId="157" xfId="0" applyFont="1" applyFill="1" applyBorder="1" applyAlignment="1">
      <alignment horizontal="left" vertical="top" wrapText="1"/>
    </xf>
    <xf numFmtId="0" fontId="7" fillId="10" borderId="157" xfId="0" applyFont="1" applyFill="1" applyBorder="1" applyAlignment="1">
      <alignment horizontal="right" vertical="top" wrapText="1"/>
    </xf>
    <xf numFmtId="17" fontId="7" fillId="10" borderId="157" xfId="0" applyNumberFormat="1" applyFont="1" applyFill="1" applyBorder="1" applyAlignment="1">
      <alignment horizontal="left" vertical="top" wrapText="1"/>
    </xf>
    <xf numFmtId="166" fontId="7" fillId="15" borderId="156" xfId="0" applyNumberFormat="1" applyFont="1" applyFill="1" applyBorder="1" applyAlignment="1">
      <alignment horizontal="left" vertical="top" wrapText="1"/>
    </xf>
    <xf numFmtId="166" fontId="7" fillId="15" borderId="158" xfId="0" applyNumberFormat="1" applyFont="1" applyFill="1" applyBorder="1" applyAlignment="1">
      <alignment horizontal="center" vertical="top" wrapText="1"/>
    </xf>
    <xf numFmtId="166" fontId="7" fillId="15" borderId="157" xfId="0" applyNumberFormat="1" applyFont="1" applyFill="1" applyBorder="1" applyAlignment="1">
      <alignment horizontal="center" vertical="top" wrapText="1"/>
    </xf>
    <xf numFmtId="0" fontId="26" fillId="15" borderId="155" xfId="0" applyFont="1" applyFill="1" applyBorder="1" applyAlignment="1">
      <alignment horizontal="center" vertical="top" wrapText="1"/>
    </xf>
    <xf numFmtId="15" fontId="25" fillId="15" borderId="126" xfId="0" applyNumberFormat="1" applyFont="1" applyFill="1" applyBorder="1" applyAlignment="1">
      <alignment horizontal="center" vertical="top"/>
    </xf>
    <xf numFmtId="0" fontId="25" fillId="15" borderId="157" xfId="0" applyFont="1" applyFill="1" applyBorder="1" applyAlignment="1">
      <alignment horizontal="right" vertical="top"/>
    </xf>
    <xf numFmtId="17" fontId="25" fillId="15" borderId="157" xfId="0" applyNumberFormat="1" applyFont="1" applyFill="1" applyBorder="1" applyAlignment="1">
      <alignment vertical="top"/>
    </xf>
    <xf numFmtId="44" fontId="25" fillId="15" borderId="155" xfId="0" applyNumberFormat="1" applyFont="1" applyFill="1" applyBorder="1" applyAlignment="1">
      <alignment vertical="top"/>
    </xf>
    <xf numFmtId="0" fontId="25" fillId="15" borderId="157" xfId="0" applyFont="1" applyFill="1" applyBorder="1" applyAlignment="1">
      <alignment vertical="top"/>
    </xf>
    <xf numFmtId="0" fontId="25" fillId="10" borderId="157" xfId="0" applyFont="1" applyFill="1" applyBorder="1" applyAlignment="1">
      <alignment vertical="top"/>
    </xf>
    <xf numFmtId="0" fontId="25" fillId="15" borderId="126" xfId="0" applyFont="1" applyFill="1" applyBorder="1" applyAlignment="1">
      <alignment vertical="top"/>
    </xf>
    <xf numFmtId="165" fontId="35" fillId="12" borderId="33" xfId="0" applyNumberFormat="1" applyFont="1" applyFill="1" applyBorder="1" applyAlignment="1">
      <alignment horizontal="center" vertical="top" wrapText="1"/>
    </xf>
    <xf numFmtId="182" fontId="35" fillId="12" borderId="2" xfId="1" applyNumberFormat="1" applyFont="1" applyFill="1" applyBorder="1" applyAlignment="1" applyProtection="1">
      <alignment horizontal="center" vertical="top" wrapText="1"/>
    </xf>
    <xf numFmtId="165" fontId="28" fillId="13" borderId="69" xfId="0" applyNumberFormat="1" applyFont="1" applyFill="1" applyBorder="1" applyAlignment="1">
      <alignment horizontal="center" vertical="top" wrapText="1"/>
    </xf>
    <xf numFmtId="182" fontId="28" fillId="13" borderId="58" xfId="1" applyNumberFormat="1" applyFont="1" applyFill="1" applyBorder="1" applyAlignment="1" applyProtection="1">
      <alignment horizontal="center" vertical="top" wrapText="1"/>
    </xf>
    <xf numFmtId="165" fontId="28" fillId="0" borderId="23" xfId="0" applyNumberFormat="1" applyFont="1" applyBorder="1" applyAlignment="1">
      <alignment horizontal="center" vertical="top" wrapText="1"/>
    </xf>
    <xf numFmtId="182" fontId="28" fillId="0" borderId="34" xfId="1" applyNumberFormat="1" applyFont="1" applyFill="1" applyBorder="1" applyAlignment="1" applyProtection="1">
      <alignment horizontal="center" vertical="top" wrapText="1"/>
    </xf>
    <xf numFmtId="165" fontId="68" fillId="13" borderId="69" xfId="0" applyNumberFormat="1" applyFont="1" applyFill="1" applyBorder="1" applyAlignment="1">
      <alignment horizontal="center" vertical="top" wrapText="1"/>
    </xf>
    <xf numFmtId="182" fontId="68" fillId="13" borderId="58" xfId="1" applyNumberFormat="1" applyFont="1" applyFill="1" applyBorder="1" applyAlignment="1" applyProtection="1">
      <alignment horizontal="center" vertical="top" wrapText="1"/>
    </xf>
    <xf numFmtId="182" fontId="28" fillId="0" borderId="9" xfId="1" applyNumberFormat="1" applyFont="1" applyFill="1" applyBorder="1" applyAlignment="1" applyProtection="1">
      <alignment horizontal="center" vertical="top" wrapText="1"/>
    </xf>
    <xf numFmtId="0" fontId="7" fillId="0" borderId="34" xfId="0" applyFont="1" applyBorder="1" applyAlignment="1">
      <alignment horizontal="right" vertical="top" wrapText="1"/>
    </xf>
    <xf numFmtId="0" fontId="14" fillId="0" borderId="156" xfId="0" applyFont="1" applyBorder="1" applyAlignment="1">
      <alignment horizontal="center" vertical="top" wrapText="1"/>
    </xf>
    <xf numFmtId="0" fontId="14" fillId="0" borderId="163" xfId="0" applyFont="1" applyBorder="1" applyAlignment="1">
      <alignment horizontal="center" vertical="top" wrapText="1"/>
    </xf>
    <xf numFmtId="14" fontId="5" fillId="0" borderId="163" xfId="0" applyNumberFormat="1" applyFont="1" applyBorder="1" applyAlignment="1">
      <alignment horizontal="center" vertical="top" wrapText="1"/>
    </xf>
    <xf numFmtId="165" fontId="5" fillId="0" borderId="163" xfId="0" applyNumberFormat="1" applyFont="1" applyBorder="1" applyAlignment="1">
      <alignment horizontal="center" vertical="top" wrapText="1"/>
    </xf>
    <xf numFmtId="0" fontId="5" fillId="0" borderId="162" xfId="0" applyFont="1" applyBorder="1" applyAlignment="1">
      <alignment vertical="top" wrapText="1"/>
    </xf>
    <xf numFmtId="0" fontId="5" fillId="0" borderId="156" xfId="0" applyFont="1" applyBorder="1" applyAlignment="1">
      <alignment vertical="top" wrapText="1"/>
    </xf>
    <xf numFmtId="0" fontId="5" fillId="0" borderId="163" xfId="0" applyFont="1" applyBorder="1" applyAlignment="1">
      <alignment vertical="top" wrapText="1"/>
    </xf>
    <xf numFmtId="14" fontId="5" fillId="0" borderId="162" xfId="0" applyNumberFormat="1" applyFont="1" applyBorder="1" applyAlignment="1">
      <alignment horizontal="center" vertical="top" wrapText="1"/>
    </xf>
    <xf numFmtId="0" fontId="33" fillId="0" borderId="156" xfId="0" applyFont="1" applyBorder="1" applyAlignment="1">
      <alignment vertical="top" wrapText="1"/>
    </xf>
    <xf numFmtId="0" fontId="33" fillId="0" borderId="162" xfId="0" applyFont="1" applyBorder="1" applyAlignment="1">
      <alignment vertical="top" wrapText="1"/>
    </xf>
    <xf numFmtId="4" fontId="5" fillId="0" borderId="156" xfId="0" applyNumberFormat="1" applyFont="1" applyBorder="1" applyAlignment="1">
      <alignment vertical="top" wrapText="1"/>
    </xf>
    <xf numFmtId="4" fontId="32" fillId="0" borderId="163" xfId="0" applyNumberFormat="1" applyFont="1" applyBorder="1" applyAlignment="1">
      <alignment vertical="top" wrapText="1"/>
    </xf>
    <xf numFmtId="4" fontId="33" fillId="0" borderId="162" xfId="0" applyNumberFormat="1" applyFont="1" applyBorder="1" applyAlignment="1">
      <alignment vertical="top" wrapText="1"/>
    </xf>
    <xf numFmtId="4" fontId="32" fillId="10" borderId="163" xfId="0" applyNumberFormat="1" applyFont="1" applyFill="1" applyBorder="1" applyAlignment="1">
      <alignment vertical="top" wrapText="1"/>
    </xf>
    <xf numFmtId="4" fontId="33" fillId="10" borderId="162" xfId="0" applyNumberFormat="1" applyFont="1" applyFill="1" applyBorder="1" applyAlignment="1">
      <alignment vertical="top" wrapText="1"/>
    </xf>
    <xf numFmtId="4" fontId="14" fillId="0" borderId="156" xfId="0" applyNumberFormat="1" applyFont="1" applyBorder="1" applyAlignment="1">
      <alignment vertical="top" wrapText="1"/>
    </xf>
    <xf numFmtId="4" fontId="28" fillId="0" borderId="162" xfId="0" applyNumberFormat="1" applyFont="1" applyBorder="1" applyAlignment="1">
      <alignment vertical="top" wrapText="1"/>
    </xf>
    <xf numFmtId="40" fontId="33" fillId="0" borderId="156" xfId="0" applyNumberFormat="1" applyFont="1" applyBorder="1" applyAlignment="1">
      <alignment vertical="top" wrapText="1"/>
    </xf>
    <xf numFmtId="40" fontId="33" fillId="0" borderId="163" xfId="0" applyNumberFormat="1" applyFont="1" applyBorder="1" applyAlignment="1">
      <alignment vertical="top" wrapText="1"/>
    </xf>
    <xf numFmtId="40" fontId="33" fillId="10" borderId="163" xfId="0" applyNumberFormat="1" applyFont="1" applyFill="1" applyBorder="1" applyAlignment="1">
      <alignment vertical="top" wrapText="1"/>
    </xf>
    <xf numFmtId="0" fontId="23" fillId="0" borderId="52" xfId="0" applyFont="1" applyBorder="1" applyAlignment="1">
      <alignment horizontal="center" vertical="top" wrapText="1"/>
    </xf>
    <xf numFmtId="49" fontId="6" fillId="0" borderId="166" xfId="0" applyNumberFormat="1" applyFont="1" applyBorder="1" applyAlignment="1">
      <alignment horizontal="left" vertical="top" wrapText="1"/>
    </xf>
    <xf numFmtId="0" fontId="7" fillId="0" borderId="162" xfId="0" applyFont="1" applyBorder="1" applyAlignment="1">
      <alignment vertical="top" wrapText="1"/>
    </xf>
    <xf numFmtId="0" fontId="7" fillId="0" borderId="156" xfId="0" applyFont="1" applyBorder="1" applyAlignment="1">
      <alignment vertical="top" wrapText="1"/>
    </xf>
    <xf numFmtId="0" fontId="24" fillId="0" borderId="36" xfId="0" applyFont="1" applyBorder="1" applyAlignment="1">
      <alignment vertical="top" wrapText="1"/>
    </xf>
    <xf numFmtId="0" fontId="7" fillId="0" borderId="163" xfId="0" applyFont="1" applyBorder="1" applyAlignment="1">
      <alignment vertical="top" wrapText="1"/>
    </xf>
    <xf numFmtId="17" fontId="25" fillId="0" borderId="162" xfId="0" applyNumberFormat="1" applyFont="1" applyBorder="1" applyAlignment="1">
      <alignment vertical="top" wrapText="1"/>
    </xf>
    <xf numFmtId="0" fontId="7" fillId="0" borderId="162" xfId="0" applyFont="1" applyBorder="1" applyAlignment="1">
      <alignment horizontal="left" vertical="top" wrapText="1"/>
    </xf>
    <xf numFmtId="17" fontId="7" fillId="0" borderId="162" xfId="0" applyNumberFormat="1" applyFont="1" applyBorder="1" applyAlignment="1">
      <alignment vertical="top" wrapText="1"/>
    </xf>
    <xf numFmtId="17" fontId="25" fillId="10" borderId="162" xfId="0" applyNumberFormat="1" applyFont="1" applyFill="1" applyBorder="1" applyAlignment="1">
      <alignment vertical="top" wrapText="1"/>
    </xf>
    <xf numFmtId="17" fontId="7" fillId="0" borderId="167" xfId="0" applyNumberFormat="1" applyFont="1" applyBorder="1" applyAlignment="1">
      <alignment vertical="top" wrapText="1"/>
    </xf>
    <xf numFmtId="0" fontId="26" fillId="0" borderId="166" xfId="0" applyFont="1" applyBorder="1" applyAlignment="1">
      <alignment horizontal="center" vertical="top" wrapText="1"/>
    </xf>
    <xf numFmtId="15" fontId="25" fillId="0" borderId="167" xfId="0" applyNumberFormat="1" applyFont="1" applyBorder="1" applyAlignment="1">
      <alignment horizontal="center" vertical="top" wrapText="1"/>
    </xf>
    <xf numFmtId="0" fontId="25" fillId="0" borderId="162" xfId="0" applyFont="1" applyBorder="1" applyAlignment="1">
      <alignment horizontal="right" vertical="top" wrapText="1"/>
    </xf>
    <xf numFmtId="0" fontId="25" fillId="0" borderId="162" xfId="0" applyFont="1" applyBorder="1" applyAlignment="1">
      <alignment vertical="top" wrapText="1"/>
    </xf>
    <xf numFmtId="44" fontId="25" fillId="0" borderId="166" xfId="0" applyNumberFormat="1" applyFont="1" applyBorder="1" applyAlignment="1">
      <alignment vertical="top" wrapText="1"/>
    </xf>
    <xf numFmtId="0" fontId="25" fillId="10" borderId="162" xfId="0" applyFont="1" applyFill="1" applyBorder="1" applyAlignment="1">
      <alignment vertical="top" wrapText="1"/>
    </xf>
    <xf numFmtId="15" fontId="25" fillId="0" borderId="167" xfId="0" applyNumberFormat="1" applyFont="1" applyBorder="1" applyAlignment="1">
      <alignment vertical="top" wrapText="1"/>
    </xf>
    <xf numFmtId="0" fontId="6" fillId="0" borderId="169" xfId="0" applyFont="1" applyBorder="1" applyAlignment="1">
      <alignment horizontal="center" vertical="top" wrapText="1"/>
    </xf>
    <xf numFmtId="49" fontId="6" fillId="0" borderId="168" xfId="0" applyNumberFormat="1" applyFont="1" applyBorder="1" applyAlignment="1">
      <alignment horizontal="left" vertical="top" wrapText="1"/>
    </xf>
    <xf numFmtId="0" fontId="7" fillId="0" borderId="169" xfId="0" applyFont="1" applyBorder="1" applyAlignment="1">
      <alignment vertical="top" wrapText="1"/>
    </xf>
    <xf numFmtId="0" fontId="7" fillId="0" borderId="170" xfId="0" applyFont="1" applyBorder="1" applyAlignment="1">
      <alignment vertical="top" wrapText="1"/>
    </xf>
    <xf numFmtId="0" fontId="7" fillId="0" borderId="164" xfId="0" applyFont="1" applyBorder="1" applyAlignment="1">
      <alignment vertical="top" wrapText="1"/>
    </xf>
    <xf numFmtId="0" fontId="7" fillId="0" borderId="171" xfId="0" applyFont="1" applyBorder="1" applyAlignment="1">
      <alignment vertical="top" wrapText="1"/>
    </xf>
    <xf numFmtId="44" fontId="7" fillId="0" borderId="170" xfId="0" applyNumberFormat="1" applyFont="1" applyBorder="1" applyAlignment="1">
      <alignment vertical="top" wrapText="1"/>
    </xf>
    <xf numFmtId="17" fontId="7" fillId="0" borderId="164" xfId="0" applyNumberFormat="1" applyFont="1" applyBorder="1" applyAlignment="1">
      <alignment vertical="top" wrapText="1"/>
    </xf>
    <xf numFmtId="44" fontId="6" fillId="0" borderId="170" xfId="0" applyNumberFormat="1" applyFont="1" applyBorder="1" applyAlignment="1">
      <alignment vertical="top" wrapText="1"/>
    </xf>
    <xf numFmtId="17" fontId="6" fillId="0" borderId="164" xfId="0" applyNumberFormat="1" applyFont="1" applyBorder="1" applyAlignment="1">
      <alignment horizontal="left" vertical="top" wrapText="1"/>
    </xf>
    <xf numFmtId="44" fontId="7" fillId="10" borderId="170" xfId="0" applyNumberFormat="1" applyFont="1" applyFill="1" applyBorder="1" applyAlignment="1">
      <alignment vertical="top" wrapText="1"/>
    </xf>
    <xf numFmtId="17" fontId="7" fillId="10" borderId="164" xfId="0" applyNumberFormat="1" applyFont="1" applyFill="1" applyBorder="1" applyAlignment="1">
      <alignment horizontal="right" vertical="top" wrapText="1"/>
    </xf>
    <xf numFmtId="17" fontId="7" fillId="10" borderId="164" xfId="0" applyNumberFormat="1" applyFont="1" applyFill="1" applyBorder="1" applyAlignment="1">
      <alignment horizontal="left" vertical="top" wrapText="1"/>
    </xf>
    <xf numFmtId="44" fontId="6" fillId="0" borderId="169" xfId="2" applyFont="1" applyFill="1" applyBorder="1" applyAlignment="1" applyProtection="1">
      <alignment vertical="top" wrapText="1"/>
    </xf>
    <xf numFmtId="0" fontId="25" fillId="0" borderId="164" xfId="0" applyFont="1" applyBorder="1" applyAlignment="1">
      <alignment vertical="top" wrapText="1"/>
    </xf>
    <xf numFmtId="44" fontId="25" fillId="0" borderId="170" xfId="0" applyNumberFormat="1" applyFont="1" applyBorder="1" applyAlignment="1">
      <alignment vertical="top" wrapText="1"/>
    </xf>
    <xf numFmtId="44" fontId="25" fillId="10" borderId="170" xfId="0" applyNumberFormat="1" applyFont="1" applyFill="1" applyBorder="1" applyAlignment="1">
      <alignment vertical="top" wrapText="1"/>
    </xf>
    <xf numFmtId="0" fontId="25" fillId="10" borderId="164" xfId="0" applyFont="1" applyFill="1" applyBorder="1" applyAlignment="1">
      <alignment vertical="top" wrapText="1"/>
    </xf>
    <xf numFmtId="44" fontId="26" fillId="0" borderId="169" xfId="2" applyFont="1" applyFill="1" applyBorder="1" applyAlignment="1" applyProtection="1">
      <alignment horizontal="left" vertical="top" wrapText="1"/>
    </xf>
    <xf numFmtId="0" fontId="26" fillId="0" borderId="29" xfId="0" applyFont="1" applyBorder="1" applyAlignment="1">
      <alignment vertical="top" wrapText="1"/>
    </xf>
    <xf numFmtId="166" fontId="7" fillId="4" borderId="28" xfId="0" applyNumberFormat="1" applyFont="1" applyFill="1" applyBorder="1" applyAlignment="1">
      <alignment horizontal="left" vertical="top" wrapText="1"/>
    </xf>
    <xf numFmtId="0" fontId="7" fillId="0" borderId="164" xfId="0" applyFont="1" applyBorder="1" applyAlignment="1">
      <alignment horizontal="left" vertical="top" wrapText="1"/>
    </xf>
    <xf numFmtId="166" fontId="7" fillId="10" borderId="168" xfId="0" applyNumberFormat="1" applyFont="1" applyFill="1" applyBorder="1" applyAlignment="1">
      <alignment horizontal="left" vertical="top" wrapText="1"/>
    </xf>
    <xf numFmtId="166" fontId="7" fillId="10" borderId="171" xfId="0" applyNumberFormat="1" applyFont="1" applyFill="1" applyBorder="1" applyAlignment="1">
      <alignment horizontal="center" vertical="top" wrapText="1"/>
    </xf>
    <xf numFmtId="166" fontId="12" fillId="10" borderId="164" xfId="0" applyNumberFormat="1" applyFont="1" applyFill="1" applyBorder="1" applyAlignment="1">
      <alignment horizontal="center" vertical="top" wrapText="1"/>
    </xf>
    <xf numFmtId="0" fontId="24" fillId="0" borderId="168" xfId="0" applyFont="1" applyBorder="1" applyAlignment="1">
      <alignment horizontal="center" vertical="top" wrapText="1"/>
    </xf>
    <xf numFmtId="15" fontId="24" fillId="0" borderId="171" xfId="0" applyNumberFormat="1" applyFont="1" applyBorder="1" applyAlignment="1">
      <alignment horizontal="center" vertical="top" wrapText="1"/>
    </xf>
    <xf numFmtId="0" fontId="24" fillId="0" borderId="164" xfId="0" applyFont="1" applyBorder="1" applyAlignment="1">
      <alignment horizontal="right" vertical="top" wrapText="1"/>
    </xf>
    <xf numFmtId="44" fontId="24" fillId="0" borderId="170" xfId="2" applyFont="1" applyFill="1" applyBorder="1" applyAlignment="1" applyProtection="1">
      <alignment vertical="top" wrapText="1"/>
    </xf>
    <xf numFmtId="44" fontId="24" fillId="0" borderId="168" xfId="0" applyNumberFormat="1" applyFont="1" applyBorder="1" applyAlignment="1">
      <alignment vertical="top" wrapText="1"/>
    </xf>
    <xf numFmtId="44" fontId="24" fillId="0" borderId="170" xfId="0" applyNumberFormat="1" applyFont="1" applyBorder="1" applyAlignment="1">
      <alignment vertical="top" wrapText="1"/>
    </xf>
    <xf numFmtId="40" fontId="28" fillId="12" borderId="49" xfId="0" applyNumberFormat="1" applyFont="1" applyFill="1" applyBorder="1" applyAlignment="1">
      <alignment horizontal="center" vertical="top" wrapText="1"/>
    </xf>
    <xf numFmtId="40" fontId="28" fillId="12" borderId="33" xfId="0" applyNumberFormat="1" applyFont="1" applyFill="1" applyBorder="1" applyAlignment="1">
      <alignment horizontal="center" vertical="top" wrapText="1"/>
    </xf>
    <xf numFmtId="40" fontId="28" fillId="10" borderId="33" xfId="0" applyNumberFormat="1" applyFont="1" applyFill="1" applyBorder="1" applyAlignment="1">
      <alignment horizontal="center" vertical="top" wrapText="1"/>
    </xf>
    <xf numFmtId="165" fontId="80" fillId="12" borderId="175" xfId="0" applyNumberFormat="1" applyFont="1" applyFill="1" applyBorder="1" applyAlignment="1">
      <alignment horizontal="centerContinuous" vertical="center" wrapText="1"/>
    </xf>
    <xf numFmtId="182" fontId="84" fillId="12" borderId="176" xfId="1" applyNumberFormat="1" applyFont="1" applyFill="1" applyBorder="1" applyAlignment="1" applyProtection="1">
      <alignment horizontal="centerContinuous" vertical="center" wrapText="1"/>
    </xf>
    <xf numFmtId="0" fontId="28" fillId="12" borderId="177" xfId="0" applyFont="1" applyFill="1" applyBorder="1" applyAlignment="1">
      <alignment horizontal="center" vertical="top" wrapText="1"/>
    </xf>
    <xf numFmtId="182" fontId="68" fillId="12" borderId="178" xfId="0" applyNumberFormat="1" applyFont="1" applyFill="1" applyBorder="1" applyAlignment="1">
      <alignment vertical="top" wrapText="1"/>
    </xf>
    <xf numFmtId="40" fontId="28" fillId="0" borderId="179" xfId="0" applyNumberFormat="1" applyFont="1" applyBorder="1" applyAlignment="1">
      <alignment vertical="top" wrapText="1"/>
    </xf>
    <xf numFmtId="182" fontId="32" fillId="15" borderId="23" xfId="1" applyNumberFormat="1" applyFont="1" applyFill="1" applyBorder="1" applyAlignment="1" applyProtection="1">
      <alignment horizontal="center" vertical="top" wrapText="1"/>
    </xf>
    <xf numFmtId="182" fontId="28" fillId="15" borderId="34" xfId="1" applyNumberFormat="1" applyFont="1" applyFill="1" applyBorder="1" applyAlignment="1" applyProtection="1">
      <alignment horizontal="center" vertical="top" wrapText="1"/>
    </xf>
    <xf numFmtId="166" fontId="6" fillId="0" borderId="166" xfId="0" applyNumberFormat="1" applyFont="1" applyBorder="1" applyAlignment="1">
      <alignment horizontal="left" vertical="top" wrapText="1"/>
    </xf>
    <xf numFmtId="166" fontId="7" fillId="0" borderId="167" xfId="0" applyNumberFormat="1" applyFont="1" applyBorder="1" applyAlignment="1">
      <alignment horizontal="center" vertical="top" wrapText="1"/>
    </xf>
    <xf numFmtId="166" fontId="7" fillId="0" borderId="162" xfId="0" applyNumberFormat="1" applyFont="1" applyBorder="1" applyAlignment="1">
      <alignment horizontal="center" vertical="top" wrapText="1"/>
    </xf>
    <xf numFmtId="0" fontId="26" fillId="15" borderId="18" xfId="0" applyFont="1" applyFill="1" applyBorder="1" applyAlignment="1">
      <alignment vertical="top" wrapText="1"/>
    </xf>
    <xf numFmtId="44" fontId="26" fillId="15" borderId="18" xfId="2" applyFont="1" applyFill="1" applyBorder="1" applyAlignment="1" applyProtection="1">
      <alignment horizontal="left" vertical="top" wrapText="1"/>
    </xf>
    <xf numFmtId="0" fontId="6" fillId="15" borderId="18" xfId="0" applyFont="1" applyFill="1" applyBorder="1" applyAlignment="1">
      <alignment horizontal="center" vertical="top" wrapText="1"/>
    </xf>
    <xf numFmtId="49" fontId="6" fillId="15" borderId="3" xfId="0" applyNumberFormat="1" applyFont="1" applyFill="1" applyBorder="1" applyAlignment="1">
      <alignment horizontal="left" vertical="top" wrapText="1"/>
    </xf>
    <xf numFmtId="0" fontId="7" fillId="15" borderId="18" xfId="0" applyFont="1" applyFill="1" applyBorder="1" applyAlignment="1">
      <alignment vertical="top" wrapText="1"/>
    </xf>
    <xf numFmtId="0" fontId="7" fillId="15" borderId="6" xfId="0" applyFont="1" applyFill="1" applyBorder="1" applyAlignment="1">
      <alignment vertical="top" wrapText="1"/>
    </xf>
    <xf numFmtId="0" fontId="7" fillId="15" borderId="2" xfId="0" applyFont="1" applyFill="1" applyBorder="1" applyAlignment="1">
      <alignment vertical="top" wrapText="1"/>
    </xf>
    <xf numFmtId="0" fontId="7" fillId="15" borderId="12" xfId="0" applyFont="1" applyFill="1" applyBorder="1" applyAlignment="1">
      <alignment vertical="top" wrapText="1"/>
    </xf>
    <xf numFmtId="44" fontId="7" fillId="15" borderId="6" xfId="0" applyNumberFormat="1" applyFont="1" applyFill="1" applyBorder="1" applyAlignment="1">
      <alignment vertical="top"/>
    </xf>
    <xf numFmtId="0" fontId="7" fillId="15" borderId="2" xfId="0" applyFont="1" applyFill="1" applyBorder="1" applyAlignment="1">
      <alignment vertical="top"/>
    </xf>
    <xf numFmtId="44" fontId="6" fillId="15" borderId="6" xfId="0" applyNumberFormat="1" applyFont="1" applyFill="1" applyBorder="1" applyAlignment="1">
      <alignment vertical="top"/>
    </xf>
    <xf numFmtId="0" fontId="6" fillId="15" borderId="2" xfId="0" applyFont="1" applyFill="1" applyBorder="1" applyAlignment="1">
      <alignment horizontal="left" vertical="top"/>
    </xf>
    <xf numFmtId="0" fontId="7" fillId="15" borderId="2" xfId="0" applyFont="1" applyFill="1" applyBorder="1" applyAlignment="1">
      <alignment horizontal="left" vertical="top"/>
    </xf>
    <xf numFmtId="17" fontId="7" fillId="15" borderId="2" xfId="0" applyNumberFormat="1" applyFont="1" applyFill="1" applyBorder="1" applyAlignment="1">
      <alignment vertical="top"/>
    </xf>
    <xf numFmtId="44" fontId="7" fillId="10" borderId="6" xfId="0" applyNumberFormat="1" applyFont="1" applyFill="1" applyBorder="1" applyAlignment="1">
      <alignment vertical="top"/>
    </xf>
    <xf numFmtId="0" fontId="7" fillId="10" borderId="2" xfId="0" applyFont="1" applyFill="1" applyBorder="1" applyAlignment="1">
      <alignment horizontal="right" vertical="top"/>
    </xf>
    <xf numFmtId="0" fontId="7" fillId="10" borderId="2" xfId="0" applyFont="1" applyFill="1" applyBorder="1" applyAlignment="1">
      <alignment horizontal="left" vertical="top"/>
    </xf>
    <xf numFmtId="44" fontId="23" fillId="15" borderId="6" xfId="0" applyNumberFormat="1" applyFont="1" applyFill="1" applyBorder="1" applyAlignment="1">
      <alignment vertical="top"/>
    </xf>
    <xf numFmtId="0" fontId="7" fillId="15" borderId="12" xfId="0" applyFont="1" applyFill="1" applyBorder="1" applyAlignment="1">
      <alignment vertical="top"/>
    </xf>
    <xf numFmtId="44" fontId="6" fillId="15" borderId="18" xfId="2" applyFont="1" applyFill="1" applyBorder="1" applyAlignment="1" applyProtection="1">
      <alignment vertical="top" wrapText="1"/>
    </xf>
    <xf numFmtId="166" fontId="7" fillId="15" borderId="6" xfId="0" applyNumberFormat="1" applyFont="1" applyFill="1" applyBorder="1" applyAlignment="1">
      <alignment horizontal="left" vertical="top" wrapText="1"/>
    </xf>
    <xf numFmtId="166" fontId="7" fillId="15" borderId="12" xfId="0" applyNumberFormat="1" applyFont="1" applyFill="1" applyBorder="1" applyAlignment="1">
      <alignment horizontal="center" vertical="top" wrapText="1"/>
    </xf>
    <xf numFmtId="166" fontId="7" fillId="15" borderId="2" xfId="0" applyNumberFormat="1" applyFont="1" applyFill="1" applyBorder="1" applyAlignment="1">
      <alignment horizontal="center" vertical="top" wrapText="1"/>
    </xf>
    <xf numFmtId="0" fontId="25" fillId="15" borderId="3" xfId="0" applyFont="1" applyFill="1" applyBorder="1" applyAlignment="1">
      <alignment horizontal="left" vertical="top" wrapText="1"/>
    </xf>
    <xf numFmtId="15" fontId="25" fillId="15" borderId="12" xfId="0" applyNumberFormat="1" applyFont="1" applyFill="1" applyBorder="1" applyAlignment="1">
      <alignment horizontal="center" vertical="top" wrapText="1"/>
    </xf>
    <xf numFmtId="0" fontId="25" fillId="15" borderId="2" xfId="0" applyFont="1" applyFill="1" applyBorder="1" applyAlignment="1">
      <alignment horizontal="right" vertical="top" wrapText="1"/>
    </xf>
    <xf numFmtId="44" fontId="25" fillId="15" borderId="6" xfId="2" applyFont="1" applyFill="1" applyBorder="1" applyAlignment="1" applyProtection="1">
      <alignment vertical="top"/>
    </xf>
    <xf numFmtId="0" fontId="25" fillId="15" borderId="2" xfId="0" applyFont="1" applyFill="1" applyBorder="1" applyAlignment="1">
      <alignment vertical="top"/>
    </xf>
    <xf numFmtId="44" fontId="25" fillId="15" borderId="3" xfId="0" applyNumberFormat="1" applyFont="1" applyFill="1" applyBorder="1" applyAlignment="1">
      <alignment vertical="top"/>
    </xf>
    <xf numFmtId="44" fontId="25" fillId="15" borderId="6" xfId="0" applyNumberFormat="1" applyFont="1" applyFill="1" applyBorder="1" applyAlignment="1">
      <alignment vertical="top"/>
    </xf>
    <xf numFmtId="0" fontId="25" fillId="10" borderId="2" xfId="0" applyFont="1" applyFill="1" applyBorder="1" applyAlignment="1">
      <alignment vertical="top"/>
    </xf>
    <xf numFmtId="17" fontId="25" fillId="15" borderId="2" xfId="0" applyNumberFormat="1" applyFont="1" applyFill="1" applyBorder="1" applyAlignment="1">
      <alignment vertical="top" wrapText="1"/>
    </xf>
    <xf numFmtId="0" fontId="25" fillId="15" borderId="12" xfId="0" applyFont="1" applyFill="1" applyBorder="1" applyAlignment="1">
      <alignment vertical="top"/>
    </xf>
    <xf numFmtId="0" fontId="7" fillId="15" borderId="31" xfId="0" applyFont="1" applyFill="1" applyBorder="1" applyAlignment="1">
      <alignment horizontal="left" vertical="top" wrapText="1"/>
    </xf>
    <xf numFmtId="166" fontId="12" fillId="15" borderId="31" xfId="0" applyNumberFormat="1" applyFont="1" applyFill="1" applyBorder="1" applyAlignment="1">
      <alignment horizontal="center" vertical="top" wrapText="1"/>
    </xf>
    <xf numFmtId="0" fontId="23" fillId="15" borderId="11" xfId="0" applyFont="1" applyFill="1" applyBorder="1" applyAlignment="1">
      <alignment horizontal="center" vertical="top" wrapText="1"/>
    </xf>
    <xf numFmtId="15" fontId="24" fillId="15" borderId="19" xfId="0" applyNumberFormat="1" applyFont="1" applyFill="1" applyBorder="1" applyAlignment="1">
      <alignment horizontal="center" vertical="top" wrapText="1"/>
    </xf>
    <xf numFmtId="0" fontId="24" fillId="15" borderId="31" xfId="0" applyFont="1" applyFill="1" applyBorder="1" applyAlignment="1">
      <alignment horizontal="right" vertical="top" wrapText="1"/>
    </xf>
    <xf numFmtId="44" fontId="24" fillId="15" borderId="5" xfId="2" applyFont="1" applyFill="1" applyBorder="1" applyAlignment="1" applyProtection="1">
      <alignment vertical="top" wrapText="1"/>
    </xf>
    <xf numFmtId="0" fontId="25" fillId="15" borderId="31" xfId="0" applyFont="1" applyFill="1" applyBorder="1" applyAlignment="1">
      <alignment vertical="top" wrapText="1"/>
    </xf>
    <xf numFmtId="44" fontId="24" fillId="15" borderId="11" xfId="0" applyNumberFormat="1" applyFont="1" applyFill="1" applyBorder="1" applyAlignment="1">
      <alignment vertical="top" wrapText="1"/>
    </xf>
    <xf numFmtId="44" fontId="25" fillId="15" borderId="5" xfId="0" applyNumberFormat="1" applyFont="1" applyFill="1" applyBorder="1" applyAlignment="1">
      <alignment vertical="top" wrapText="1"/>
    </xf>
    <xf numFmtId="44" fontId="24" fillId="15" borderId="5" xfId="0" applyNumberFormat="1" applyFont="1" applyFill="1" applyBorder="1" applyAlignment="1">
      <alignment vertical="top" wrapText="1"/>
    </xf>
    <xf numFmtId="0" fontId="25" fillId="10" borderId="31" xfId="0" applyFont="1" applyFill="1" applyBorder="1" applyAlignment="1">
      <alignment vertical="top" wrapText="1"/>
    </xf>
    <xf numFmtId="44" fontId="23" fillId="15" borderId="53" xfId="2" applyFont="1" applyFill="1" applyBorder="1" applyAlignment="1" applyProtection="1">
      <alignment horizontal="left" vertical="top" wrapText="1"/>
    </xf>
    <xf numFmtId="0" fontId="14" fillId="15" borderId="163" xfId="0" applyFont="1" applyFill="1" applyBorder="1" applyAlignment="1">
      <alignment horizontal="center" vertical="top" wrapText="1"/>
    </xf>
    <xf numFmtId="14" fontId="5" fillId="15" borderId="163" xfId="0" applyNumberFormat="1" applyFont="1" applyFill="1" applyBorder="1" applyAlignment="1">
      <alignment horizontal="center" vertical="top" wrapText="1"/>
    </xf>
    <xf numFmtId="0" fontId="5" fillId="15" borderId="162" xfId="0" applyFont="1" applyFill="1" applyBorder="1" applyAlignment="1">
      <alignment vertical="top" wrapText="1"/>
    </xf>
    <xf numFmtId="0" fontId="5" fillId="15" borderId="163" xfId="0" applyFont="1" applyFill="1" applyBorder="1" applyAlignment="1">
      <alignment vertical="top" wrapText="1"/>
    </xf>
    <xf numFmtId="14" fontId="5" fillId="15" borderId="162" xfId="0" applyNumberFormat="1" applyFont="1" applyFill="1" applyBorder="1" applyAlignment="1">
      <alignment horizontal="center" vertical="top" wrapText="1"/>
    </xf>
    <xf numFmtId="0" fontId="33" fillId="15" borderId="162" xfId="0" applyFont="1" applyFill="1" applyBorder="1" applyAlignment="1">
      <alignment vertical="top" wrapText="1"/>
    </xf>
    <xf numFmtId="4" fontId="32" fillId="15" borderId="163" xfId="0" applyNumberFormat="1" applyFont="1" applyFill="1" applyBorder="1" applyAlignment="1">
      <alignment vertical="top" wrapText="1"/>
    </xf>
    <xf numFmtId="4" fontId="33" fillId="15" borderId="162" xfId="0" applyNumberFormat="1" applyFont="1" applyFill="1" applyBorder="1" applyAlignment="1">
      <alignment vertical="top" wrapText="1"/>
    </xf>
    <xf numFmtId="4" fontId="28" fillId="15" borderId="162" xfId="0" applyNumberFormat="1" applyFont="1" applyFill="1" applyBorder="1" applyAlignment="1">
      <alignment vertical="top" wrapText="1"/>
    </xf>
    <xf numFmtId="40" fontId="33" fillId="15" borderId="163" xfId="0" applyNumberFormat="1" applyFont="1" applyFill="1" applyBorder="1" applyAlignment="1">
      <alignment vertical="top" wrapText="1"/>
    </xf>
    <xf numFmtId="40" fontId="28" fillId="12" borderId="167" xfId="0" applyNumberFormat="1" applyFont="1" applyFill="1" applyBorder="1" applyAlignment="1">
      <alignment horizontal="center" vertical="top" wrapText="1"/>
    </xf>
    <xf numFmtId="40" fontId="28" fillId="6" borderId="29" xfId="0" applyNumberFormat="1" applyFont="1" applyFill="1" applyBorder="1" applyAlignment="1">
      <alignment vertical="top" wrapText="1"/>
    </xf>
    <xf numFmtId="40" fontId="28" fillId="6" borderId="167" xfId="0" applyNumberFormat="1" applyFont="1" applyFill="1" applyBorder="1" applyAlignment="1">
      <alignment vertical="top" wrapText="1"/>
    </xf>
    <xf numFmtId="40" fontId="28" fillId="0" borderId="19" xfId="0" applyNumberFormat="1" applyFont="1" applyBorder="1" applyAlignment="1">
      <alignment vertical="top" wrapText="1"/>
    </xf>
    <xf numFmtId="40" fontId="28" fillId="0" borderId="167" xfId="0" applyNumberFormat="1" applyFont="1" applyBorder="1" applyAlignment="1">
      <alignment vertical="top" wrapText="1"/>
    </xf>
    <xf numFmtId="40" fontId="28" fillId="0" borderId="171" xfId="0" applyNumberFormat="1" applyFont="1" applyBorder="1" applyAlignment="1">
      <alignment vertical="top" wrapText="1"/>
    </xf>
    <xf numFmtId="40" fontId="28" fillId="6" borderId="57" xfId="0" applyNumberFormat="1" applyFont="1" applyFill="1" applyBorder="1" applyAlignment="1">
      <alignment vertical="top" wrapText="1"/>
    </xf>
    <xf numFmtId="40" fontId="28" fillId="0" borderId="29" xfId="0" applyNumberFormat="1" applyFont="1" applyBorder="1" applyAlignment="1">
      <alignment vertical="top" wrapText="1"/>
    </xf>
    <xf numFmtId="40" fontId="28" fillId="0" borderId="174" xfId="0" applyNumberFormat="1" applyFont="1" applyBorder="1" applyAlignment="1">
      <alignment vertical="top" wrapText="1"/>
    </xf>
    <xf numFmtId="40" fontId="28" fillId="6" borderId="171" xfId="0" applyNumberFormat="1" applyFont="1" applyFill="1" applyBorder="1" applyAlignment="1">
      <alignment vertical="top" wrapText="1"/>
    </xf>
    <xf numFmtId="40" fontId="28" fillId="0" borderId="57" xfId="0" applyNumberFormat="1" applyFont="1" applyBorder="1" applyAlignment="1">
      <alignment vertical="top" wrapText="1"/>
    </xf>
    <xf numFmtId="40" fontId="28" fillId="6" borderId="19" xfId="0" applyNumberFormat="1" applyFont="1" applyFill="1" applyBorder="1" applyAlignment="1">
      <alignment vertical="top" wrapText="1"/>
    </xf>
    <xf numFmtId="40" fontId="28" fillId="0" borderId="12" xfId="0" applyNumberFormat="1" applyFont="1" applyBorder="1" applyAlignment="1">
      <alignment vertical="top" wrapText="1"/>
    </xf>
    <xf numFmtId="40" fontId="28" fillId="15" borderId="171" xfId="0" applyNumberFormat="1" applyFont="1" applyFill="1" applyBorder="1" applyAlignment="1">
      <alignment vertical="top" wrapText="1"/>
    </xf>
    <xf numFmtId="40" fontId="28" fillId="15" borderId="167" xfId="0" applyNumberFormat="1" applyFont="1" applyFill="1" applyBorder="1" applyAlignment="1">
      <alignment vertical="top" wrapText="1"/>
    </xf>
    <xf numFmtId="40" fontId="28" fillId="6" borderId="174" xfId="0" applyNumberFormat="1" applyFont="1" applyFill="1" applyBorder="1" applyAlignment="1">
      <alignment vertical="top" wrapText="1"/>
    </xf>
    <xf numFmtId="40" fontId="28" fillId="15" borderId="19" xfId="0" applyNumberFormat="1" applyFont="1" applyFill="1" applyBorder="1" applyAlignment="1">
      <alignment vertical="top" wrapText="1"/>
    </xf>
    <xf numFmtId="40" fontId="28" fillId="15" borderId="174" xfId="0" applyNumberFormat="1" applyFont="1" applyFill="1" applyBorder="1" applyAlignment="1">
      <alignment vertical="top" wrapText="1"/>
    </xf>
    <xf numFmtId="40" fontId="28" fillId="15" borderId="29" xfId="0" applyNumberFormat="1" applyFont="1" applyFill="1" applyBorder="1" applyAlignment="1">
      <alignment vertical="top" wrapText="1"/>
    </xf>
    <xf numFmtId="40" fontId="28" fillId="15" borderId="12" xfId="0" applyNumberFormat="1" applyFont="1" applyFill="1" applyBorder="1" applyAlignment="1">
      <alignment vertical="top" wrapText="1"/>
    </xf>
    <xf numFmtId="40" fontId="28" fillId="0" borderId="10" xfId="0" applyNumberFormat="1" applyFont="1" applyBorder="1" applyAlignment="1">
      <alignment vertical="top" wrapText="1"/>
    </xf>
    <xf numFmtId="0" fontId="14" fillId="0" borderId="52" xfId="0" applyFont="1" applyBorder="1" applyAlignment="1">
      <alignment horizontal="center" vertical="top" wrapText="1"/>
    </xf>
    <xf numFmtId="0" fontId="5" fillId="6" borderId="26" xfId="0" applyFont="1" applyFill="1" applyBorder="1" applyAlignment="1">
      <alignment vertical="top" wrapText="1"/>
    </xf>
    <xf numFmtId="0" fontId="5" fillId="6" borderId="52" xfId="0" applyFont="1" applyFill="1" applyBorder="1" applyAlignment="1">
      <alignment vertical="top" wrapText="1"/>
    </xf>
    <xf numFmtId="0" fontId="5" fillId="0" borderId="53" xfId="0" applyFont="1" applyBorder="1" applyAlignment="1">
      <alignment vertical="top" wrapText="1"/>
    </xf>
    <xf numFmtId="0" fontId="5" fillId="0" borderId="52" xfId="0" applyFont="1" applyBorder="1" applyAlignment="1">
      <alignment vertical="top" wrapText="1"/>
    </xf>
    <xf numFmtId="0" fontId="5" fillId="0" borderId="26" xfId="0" applyFont="1" applyBorder="1" applyAlignment="1">
      <alignment vertical="top" wrapText="1"/>
    </xf>
    <xf numFmtId="0" fontId="5" fillId="0" borderId="50" xfId="0" applyFont="1" applyBorder="1" applyAlignment="1">
      <alignment vertical="top" wrapText="1"/>
    </xf>
    <xf numFmtId="0" fontId="5" fillId="6" borderId="50" xfId="0" applyFont="1" applyFill="1" applyBorder="1" applyAlignment="1">
      <alignment vertical="top" wrapText="1"/>
    </xf>
    <xf numFmtId="0" fontId="5" fillId="0" borderId="7" xfId="0" applyFont="1" applyBorder="1" applyAlignment="1">
      <alignment vertical="top" wrapText="1"/>
    </xf>
    <xf numFmtId="0" fontId="5" fillId="6" borderId="53" xfId="0" applyFont="1" applyFill="1" applyBorder="1" applyAlignment="1">
      <alignment vertical="top" wrapText="1"/>
    </xf>
    <xf numFmtId="0" fontId="5" fillId="15" borderId="52" xfId="0" applyFont="1" applyFill="1" applyBorder="1" applyAlignment="1">
      <alignment vertical="top" wrapText="1"/>
    </xf>
    <xf numFmtId="0" fontId="29" fillId="0" borderId="52" xfId="0" applyFont="1" applyBorder="1" applyAlignment="1">
      <alignment vertical="top" wrapText="1"/>
    </xf>
    <xf numFmtId="0" fontId="33" fillId="15" borderId="53" xfId="0" applyFont="1" applyFill="1" applyBorder="1" applyAlignment="1">
      <alignment vertical="top" wrapText="1"/>
    </xf>
    <xf numFmtId="0" fontId="5" fillId="15" borderId="26" xfId="0" applyFont="1" applyFill="1" applyBorder="1" applyAlignment="1">
      <alignment vertical="top" wrapText="1"/>
    </xf>
    <xf numFmtId="0" fontId="32" fillId="15" borderId="26" xfId="0" applyFont="1" applyFill="1" applyBorder="1" applyAlignment="1">
      <alignment vertical="top" wrapText="1"/>
    </xf>
    <xf numFmtId="0" fontId="5" fillId="0" borderId="18" xfId="0" applyFont="1" applyBorder="1" applyAlignment="1">
      <alignment vertical="top" wrapText="1"/>
    </xf>
    <xf numFmtId="0" fontId="5" fillId="15" borderId="53" xfId="0" applyFont="1" applyFill="1" applyBorder="1" applyAlignment="1">
      <alignment vertical="top" wrapText="1"/>
    </xf>
    <xf numFmtId="0" fontId="32" fillId="15" borderId="52" xfId="0" applyFont="1" applyFill="1" applyBorder="1" applyAlignment="1">
      <alignment vertical="top" wrapText="1"/>
    </xf>
    <xf numFmtId="8" fontId="14" fillId="0" borderId="28" xfId="2" applyNumberFormat="1" applyFont="1" applyFill="1" applyBorder="1" applyAlignment="1" applyProtection="1">
      <alignment vertical="top" wrapText="1"/>
    </xf>
    <xf numFmtId="165" fontId="28" fillId="15" borderId="35" xfId="0" applyNumberFormat="1" applyFont="1" applyFill="1" applyBorder="1" applyAlignment="1">
      <alignment horizontal="center" vertical="top" wrapText="1"/>
    </xf>
    <xf numFmtId="182" fontId="28" fillId="15" borderId="27" xfId="1" applyNumberFormat="1" applyFont="1" applyFill="1" applyBorder="1" applyAlignment="1" applyProtection="1">
      <alignment horizontal="center" vertical="top" wrapText="1"/>
    </xf>
    <xf numFmtId="40" fontId="28" fillId="15" borderId="27" xfId="0" applyNumberFormat="1" applyFont="1" applyFill="1" applyBorder="1" applyAlignment="1">
      <alignment vertical="top" wrapText="1"/>
    </xf>
    <xf numFmtId="165" fontId="28" fillId="0" borderId="163" xfId="0" applyNumberFormat="1" applyFont="1" applyBorder="1" applyAlignment="1">
      <alignment horizontal="center" vertical="top" wrapText="1"/>
    </xf>
    <xf numFmtId="182" fontId="28" fillId="0" borderId="162" xfId="1" applyNumberFormat="1" applyFont="1" applyFill="1" applyBorder="1" applyAlignment="1" applyProtection="1">
      <alignment horizontal="center" vertical="top" wrapText="1"/>
    </xf>
    <xf numFmtId="40" fontId="28" fillId="0" borderId="162" xfId="0" applyNumberFormat="1" applyFont="1" applyBorder="1" applyAlignment="1">
      <alignment vertical="top" wrapText="1"/>
    </xf>
    <xf numFmtId="40" fontId="28" fillId="15" borderId="73" xfId="0" applyNumberFormat="1" applyFont="1" applyFill="1" applyBorder="1" applyAlignment="1">
      <alignment vertical="top" wrapText="1"/>
    </xf>
    <xf numFmtId="0" fontId="14" fillId="15" borderId="182" xfId="0" applyFont="1" applyFill="1" applyBorder="1" applyAlignment="1">
      <alignment horizontal="center" vertical="top" wrapText="1"/>
    </xf>
    <xf numFmtId="0" fontId="14" fillId="15" borderId="183" xfId="0" applyFont="1" applyFill="1" applyBorder="1" applyAlignment="1">
      <alignment horizontal="center" vertical="top" wrapText="1"/>
    </xf>
    <xf numFmtId="14" fontId="5" fillId="15" borderId="183" xfId="0" applyNumberFormat="1" applyFont="1" applyFill="1" applyBorder="1" applyAlignment="1">
      <alignment horizontal="center" vertical="top" wrapText="1"/>
    </xf>
    <xf numFmtId="0" fontId="5" fillId="15" borderId="181" xfId="0" applyFont="1" applyFill="1" applyBorder="1" applyAlignment="1">
      <alignment vertical="top" wrapText="1"/>
    </xf>
    <xf numFmtId="0" fontId="5" fillId="15" borderId="182" xfId="0" applyFont="1" applyFill="1" applyBorder="1" applyAlignment="1">
      <alignment vertical="top" wrapText="1"/>
    </xf>
    <xf numFmtId="0" fontId="5" fillId="15" borderId="183" xfId="0" applyFont="1" applyFill="1" applyBorder="1" applyAlignment="1">
      <alignment vertical="top" wrapText="1"/>
    </xf>
    <xf numFmtId="14" fontId="5" fillId="15" borderId="181" xfId="0" applyNumberFormat="1" applyFont="1" applyFill="1" applyBorder="1" applyAlignment="1">
      <alignment horizontal="center" vertical="top" wrapText="1"/>
    </xf>
    <xf numFmtId="4" fontId="5" fillId="15" borderId="182" xfId="0" applyNumberFormat="1" applyFont="1" applyFill="1" applyBorder="1" applyAlignment="1">
      <alignment vertical="top" wrapText="1"/>
    </xf>
    <xf numFmtId="4" fontId="32" fillId="15" borderId="183" xfId="0" applyNumberFormat="1" applyFont="1" applyFill="1" applyBorder="1" applyAlignment="1">
      <alignment vertical="top" wrapText="1"/>
    </xf>
    <xf numFmtId="4" fontId="33" fillId="15" borderId="181" xfId="0" applyNumberFormat="1" applyFont="1" applyFill="1" applyBorder="1" applyAlignment="1">
      <alignment vertical="top" wrapText="1"/>
    </xf>
    <xf numFmtId="4" fontId="5" fillId="10" borderId="182" xfId="0" applyNumberFormat="1" applyFont="1" applyFill="1" applyBorder="1" applyAlignment="1">
      <alignment vertical="top" wrapText="1"/>
    </xf>
    <xf numFmtId="4" fontId="32" fillId="10" borderId="183" xfId="0" applyNumberFormat="1" applyFont="1" applyFill="1" applyBorder="1" applyAlignment="1">
      <alignment vertical="top" wrapText="1"/>
    </xf>
    <xf numFmtId="4" fontId="33" fillId="10" borderId="181" xfId="0" applyNumberFormat="1" applyFont="1" applyFill="1" applyBorder="1" applyAlignment="1">
      <alignment vertical="top" wrapText="1"/>
    </xf>
    <xf numFmtId="4" fontId="14" fillId="15" borderId="182" xfId="0" applyNumberFormat="1" applyFont="1" applyFill="1" applyBorder="1" applyAlignment="1">
      <alignment vertical="top" wrapText="1"/>
    </xf>
    <xf numFmtId="4" fontId="28" fillId="15" borderId="181" xfId="0" applyNumberFormat="1" applyFont="1" applyFill="1" applyBorder="1" applyAlignment="1">
      <alignment vertical="top" wrapText="1"/>
    </xf>
    <xf numFmtId="40" fontId="33" fillId="15" borderId="182" xfId="0" applyNumberFormat="1" applyFont="1" applyFill="1" applyBorder="1" applyAlignment="1">
      <alignment vertical="top" wrapText="1"/>
    </xf>
    <xf numFmtId="40" fontId="33" fillId="15" borderId="183" xfId="0" applyNumberFormat="1" applyFont="1" applyFill="1" applyBorder="1" applyAlignment="1">
      <alignment vertical="top" wrapText="1"/>
    </xf>
    <xf numFmtId="40" fontId="33" fillId="10" borderId="183" xfId="0" applyNumberFormat="1" applyFont="1" applyFill="1" applyBorder="1" applyAlignment="1">
      <alignment vertical="top" wrapText="1"/>
    </xf>
    <xf numFmtId="40" fontId="28" fillId="15" borderId="181" xfId="0" applyNumberFormat="1" applyFont="1" applyFill="1" applyBorder="1" applyAlignment="1">
      <alignment vertical="top" wrapText="1"/>
    </xf>
    <xf numFmtId="8" fontId="14" fillId="15" borderId="184" xfId="2" applyNumberFormat="1" applyFont="1" applyFill="1" applyBorder="1" applyAlignment="1" applyProtection="1">
      <alignment vertical="top" wrapText="1"/>
    </xf>
    <xf numFmtId="0" fontId="14" fillId="15" borderId="186" xfId="0" applyFont="1" applyFill="1" applyBorder="1" applyAlignment="1">
      <alignment horizontal="center" vertical="top" wrapText="1"/>
    </xf>
    <xf numFmtId="0" fontId="14" fillId="15" borderId="187" xfId="0" applyFont="1" applyFill="1" applyBorder="1" applyAlignment="1">
      <alignment horizontal="center" vertical="top" wrapText="1"/>
    </xf>
    <xf numFmtId="14" fontId="5" fillId="15" borderId="187" xfId="0" applyNumberFormat="1" applyFont="1" applyFill="1" applyBorder="1" applyAlignment="1">
      <alignment horizontal="center" vertical="top" wrapText="1"/>
    </xf>
    <xf numFmtId="165" fontId="32" fillId="15" borderId="187" xfId="0" applyNumberFormat="1" applyFont="1" applyFill="1" applyBorder="1" applyAlignment="1">
      <alignment horizontal="center" vertical="top" wrapText="1"/>
    </xf>
    <xf numFmtId="182" fontId="32" fillId="15" borderId="187" xfId="1" applyNumberFormat="1" applyFont="1" applyFill="1" applyBorder="1" applyAlignment="1" applyProtection="1">
      <alignment horizontal="center" vertical="top" wrapText="1"/>
    </xf>
    <xf numFmtId="0" fontId="5" fillId="15" borderId="185" xfId="0" applyFont="1" applyFill="1" applyBorder="1" applyAlignment="1">
      <alignment vertical="top" wrapText="1"/>
    </xf>
    <xf numFmtId="0" fontId="5" fillId="15" borderId="186" xfId="0" applyFont="1" applyFill="1" applyBorder="1" applyAlignment="1">
      <alignment vertical="top" wrapText="1"/>
    </xf>
    <xf numFmtId="0" fontId="5" fillId="15" borderId="187" xfId="0" applyFont="1" applyFill="1" applyBorder="1" applyAlignment="1">
      <alignment vertical="top" wrapText="1"/>
    </xf>
    <xf numFmtId="14" fontId="5" fillId="15" borderId="185" xfId="0" applyNumberFormat="1" applyFont="1" applyFill="1" applyBorder="1" applyAlignment="1">
      <alignment horizontal="center" vertical="top" wrapText="1"/>
    </xf>
    <xf numFmtId="0" fontId="33" fillId="15" borderId="186" xfId="0" applyFont="1" applyFill="1" applyBorder="1" applyAlignment="1">
      <alignment vertical="top" wrapText="1"/>
    </xf>
    <xf numFmtId="0" fontId="28" fillId="15" borderId="185" xfId="0" applyFont="1" applyFill="1" applyBorder="1" applyAlignment="1">
      <alignment vertical="center" wrapText="1"/>
    </xf>
    <xf numFmtId="4" fontId="5" fillId="15" borderId="186" xfId="0" applyNumberFormat="1" applyFont="1" applyFill="1" applyBorder="1" applyAlignment="1">
      <alignment vertical="top" wrapText="1"/>
    </xf>
    <xf numFmtId="4" fontId="32" fillId="15" borderId="187" xfId="0" applyNumberFormat="1" applyFont="1" applyFill="1" applyBorder="1" applyAlignment="1">
      <alignment vertical="top" wrapText="1"/>
    </xf>
    <xf numFmtId="4" fontId="33" fillId="15" borderId="185" xfId="0" applyNumberFormat="1" applyFont="1" applyFill="1" applyBorder="1" applyAlignment="1">
      <alignment vertical="top" wrapText="1"/>
    </xf>
    <xf numFmtId="4" fontId="5" fillId="10" borderId="186" xfId="0" applyNumberFormat="1" applyFont="1" applyFill="1" applyBorder="1" applyAlignment="1">
      <alignment vertical="top" wrapText="1"/>
    </xf>
    <xf numFmtId="4" fontId="32" fillId="10" borderId="187" xfId="0" applyNumberFormat="1" applyFont="1" applyFill="1" applyBorder="1" applyAlignment="1">
      <alignment vertical="top" wrapText="1"/>
    </xf>
    <xf numFmtId="4" fontId="33" fillId="10" borderId="185" xfId="0" applyNumberFormat="1" applyFont="1" applyFill="1" applyBorder="1" applyAlignment="1">
      <alignment vertical="top" wrapText="1"/>
    </xf>
    <xf numFmtId="4" fontId="14" fillId="15" borderId="186" xfId="0" applyNumberFormat="1" applyFont="1" applyFill="1" applyBorder="1" applyAlignment="1">
      <alignment vertical="top" wrapText="1"/>
    </xf>
    <xf numFmtId="4" fontId="28" fillId="15" borderId="185" xfId="0" applyNumberFormat="1" applyFont="1" applyFill="1" applyBorder="1" applyAlignment="1">
      <alignment vertical="top" wrapText="1"/>
    </xf>
    <xf numFmtId="40" fontId="33" fillId="15" borderId="186" xfId="0" applyNumberFormat="1" applyFont="1" applyFill="1" applyBorder="1" applyAlignment="1">
      <alignment vertical="top" wrapText="1"/>
    </xf>
    <xf numFmtId="40" fontId="33" fillId="15" borderId="187" xfId="0" applyNumberFormat="1" applyFont="1" applyFill="1" applyBorder="1" applyAlignment="1">
      <alignment vertical="top" wrapText="1"/>
    </xf>
    <xf numFmtId="40" fontId="33" fillId="10" borderId="187" xfId="0" applyNumberFormat="1" applyFont="1" applyFill="1" applyBorder="1" applyAlignment="1">
      <alignment vertical="top" wrapText="1"/>
    </xf>
    <xf numFmtId="40" fontId="28" fillId="15" borderId="185" xfId="0" applyNumberFormat="1" applyFont="1" applyFill="1" applyBorder="1" applyAlignment="1">
      <alignment vertical="top" wrapText="1"/>
    </xf>
    <xf numFmtId="0" fontId="14" fillId="15" borderId="189" xfId="0" applyFont="1" applyFill="1" applyBorder="1" applyAlignment="1">
      <alignment horizontal="center" vertical="top" wrapText="1"/>
    </xf>
    <xf numFmtId="0" fontId="14" fillId="15" borderId="190" xfId="0" applyFont="1" applyFill="1" applyBorder="1" applyAlignment="1">
      <alignment horizontal="center" vertical="top" wrapText="1"/>
    </xf>
    <xf numFmtId="14" fontId="5" fillId="15" borderId="190" xfId="0" applyNumberFormat="1" applyFont="1" applyFill="1" applyBorder="1" applyAlignment="1">
      <alignment horizontal="center" vertical="top" wrapText="1"/>
    </xf>
    <xf numFmtId="165" fontId="32" fillId="15" borderId="190" xfId="0" applyNumberFormat="1" applyFont="1" applyFill="1" applyBorder="1" applyAlignment="1">
      <alignment horizontal="center" vertical="top" wrapText="1"/>
    </xf>
    <xf numFmtId="182" fontId="32" fillId="15" borderId="190" xfId="1" applyNumberFormat="1" applyFont="1" applyFill="1" applyBorder="1" applyAlignment="1" applyProtection="1">
      <alignment horizontal="center" vertical="top" wrapText="1"/>
    </xf>
    <xf numFmtId="0" fontId="5" fillId="15" borderId="188" xfId="0" applyFont="1" applyFill="1" applyBorder="1" applyAlignment="1">
      <alignment vertical="top" wrapText="1"/>
    </xf>
    <xf numFmtId="0" fontId="5" fillId="15" borderId="189" xfId="0" applyFont="1" applyFill="1" applyBorder="1" applyAlignment="1">
      <alignment vertical="top" wrapText="1"/>
    </xf>
    <xf numFmtId="0" fontId="5" fillId="15" borderId="190" xfId="0" applyFont="1" applyFill="1" applyBorder="1" applyAlignment="1">
      <alignment vertical="top" wrapText="1"/>
    </xf>
    <xf numFmtId="14" fontId="5" fillId="15" borderId="188" xfId="0" applyNumberFormat="1" applyFont="1" applyFill="1" applyBorder="1" applyAlignment="1">
      <alignment horizontal="center" vertical="top" wrapText="1"/>
    </xf>
    <xf numFmtId="0" fontId="29" fillId="15" borderId="189" xfId="0" applyFont="1" applyFill="1" applyBorder="1" applyAlignment="1">
      <alignment vertical="top" wrapText="1"/>
    </xf>
    <xf numFmtId="0" fontId="28" fillId="15" borderId="188" xfId="0" applyFont="1" applyFill="1" applyBorder="1" applyAlignment="1">
      <alignment vertical="top" wrapText="1"/>
    </xf>
    <xf numFmtId="4" fontId="5" fillId="15" borderId="189" xfId="0" applyNumberFormat="1" applyFont="1" applyFill="1" applyBorder="1" applyAlignment="1">
      <alignment vertical="top" wrapText="1"/>
    </xf>
    <xf numFmtId="4" fontId="32" fillId="15" borderId="190" xfId="0" applyNumberFormat="1" applyFont="1" applyFill="1" applyBorder="1" applyAlignment="1">
      <alignment vertical="top" wrapText="1"/>
    </xf>
    <xf numFmtId="4" fontId="33" fillId="15" borderId="188" xfId="0" applyNumberFormat="1" applyFont="1" applyFill="1" applyBorder="1" applyAlignment="1">
      <alignment vertical="top" wrapText="1"/>
    </xf>
    <xf numFmtId="4" fontId="5" fillId="10" borderId="189" xfId="0" applyNumberFormat="1" applyFont="1" applyFill="1" applyBorder="1" applyAlignment="1">
      <alignment vertical="top" wrapText="1"/>
    </xf>
    <xf numFmtId="4" fontId="32" fillId="10" borderId="190" xfId="0" applyNumberFormat="1" applyFont="1" applyFill="1" applyBorder="1" applyAlignment="1">
      <alignment vertical="top" wrapText="1"/>
    </xf>
    <xf numFmtId="4" fontId="33" fillId="10" borderId="188" xfId="0" applyNumberFormat="1" applyFont="1" applyFill="1" applyBorder="1" applyAlignment="1">
      <alignment vertical="top" wrapText="1"/>
    </xf>
    <xf numFmtId="4" fontId="14" fillId="15" borderId="189" xfId="0" applyNumberFormat="1" applyFont="1" applyFill="1" applyBorder="1" applyAlignment="1">
      <alignment vertical="top" wrapText="1"/>
    </xf>
    <xf numFmtId="4" fontId="28" fillId="15" borderId="188" xfId="0" applyNumberFormat="1" applyFont="1" applyFill="1" applyBorder="1" applyAlignment="1">
      <alignment vertical="top" wrapText="1"/>
    </xf>
    <xf numFmtId="40" fontId="33" fillId="15" borderId="189" xfId="0" applyNumberFormat="1" applyFont="1" applyFill="1" applyBorder="1" applyAlignment="1">
      <alignment vertical="top" wrapText="1"/>
    </xf>
    <xf numFmtId="40" fontId="33" fillId="15" borderId="190" xfId="0" applyNumberFormat="1" applyFont="1" applyFill="1" applyBorder="1" applyAlignment="1">
      <alignment vertical="top" wrapText="1"/>
    </xf>
    <xf numFmtId="40" fontId="33" fillId="10" borderId="190" xfId="0" applyNumberFormat="1" applyFont="1" applyFill="1" applyBorder="1" applyAlignment="1">
      <alignment vertical="top" wrapText="1"/>
    </xf>
    <xf numFmtId="40" fontId="28" fillId="15" borderId="188" xfId="0" applyNumberFormat="1" applyFont="1" applyFill="1" applyBorder="1" applyAlignment="1">
      <alignment vertical="top" wrapText="1"/>
    </xf>
    <xf numFmtId="0" fontId="33" fillId="15" borderId="182" xfId="0" applyFont="1" applyFill="1" applyBorder="1" applyAlignment="1">
      <alignment vertical="top" wrapText="1"/>
    </xf>
    <xf numFmtId="0" fontId="33" fillId="15" borderId="181" xfId="0" applyFont="1" applyFill="1" applyBorder="1" applyAlignment="1">
      <alignment vertical="top" wrapText="1"/>
    </xf>
    <xf numFmtId="165" fontId="28" fillId="15" borderId="183" xfId="0" applyNumberFormat="1" applyFont="1" applyFill="1" applyBorder="1" applyAlignment="1">
      <alignment horizontal="center" vertical="top" wrapText="1"/>
    </xf>
    <xf numFmtId="182" fontId="28" fillId="15" borderId="181" xfId="1" applyNumberFormat="1" applyFont="1" applyFill="1" applyBorder="1" applyAlignment="1" applyProtection="1">
      <alignment horizontal="center" vertical="top" wrapText="1"/>
    </xf>
    <xf numFmtId="17" fontId="14" fillId="15" borderId="184" xfId="0" applyNumberFormat="1" applyFont="1" applyFill="1" applyBorder="1" applyAlignment="1">
      <alignment horizontal="right" vertical="top" wrapText="1"/>
    </xf>
    <xf numFmtId="165" fontId="28" fillId="18" borderId="23" xfId="0" applyNumberFormat="1" applyFont="1" applyFill="1" applyBorder="1" applyAlignment="1">
      <alignment horizontal="center" vertical="top" wrapText="1"/>
    </xf>
    <xf numFmtId="182" fontId="28" fillId="18" borderId="34" xfId="1" applyNumberFormat="1" applyFont="1" applyFill="1" applyBorder="1" applyAlignment="1" applyProtection="1">
      <alignment horizontal="center" vertical="top" wrapText="1"/>
    </xf>
    <xf numFmtId="0" fontId="85" fillId="0" borderId="63" xfId="0" applyFont="1" applyBorder="1" applyAlignment="1">
      <alignment horizontal="center" vertical="top" wrapText="1"/>
    </xf>
    <xf numFmtId="0" fontId="28" fillId="0" borderId="119" xfId="0" applyFont="1" applyBorder="1" applyAlignment="1">
      <alignment horizontal="center" vertical="top" wrapText="1"/>
    </xf>
    <xf numFmtId="0" fontId="28" fillId="0" borderId="132" xfId="0" applyFont="1" applyBorder="1" applyAlignment="1">
      <alignment horizontal="center" vertical="top" wrapText="1"/>
    </xf>
    <xf numFmtId="14" fontId="33" fillId="0" borderId="132" xfId="0" applyNumberFormat="1" applyFont="1" applyBorder="1" applyAlignment="1">
      <alignment horizontal="center" vertical="top" wrapText="1"/>
    </xf>
    <xf numFmtId="14" fontId="5" fillId="0" borderId="131" xfId="0" applyNumberFormat="1" applyFont="1" applyBorder="1" applyAlignment="1">
      <alignment vertical="top" wrapText="1"/>
    </xf>
    <xf numFmtId="0" fontId="14" fillId="0" borderId="192" xfId="0" applyFont="1" applyBorder="1" applyAlignment="1">
      <alignment horizontal="center" vertical="top" wrapText="1"/>
    </xf>
    <xf numFmtId="0" fontId="14" fillId="0" borderId="193" xfId="0" applyFont="1" applyBorder="1" applyAlignment="1">
      <alignment horizontal="center" vertical="top" wrapText="1"/>
    </xf>
    <xf numFmtId="14" fontId="5" fillId="0" borderId="193" xfId="0" applyNumberFormat="1" applyFont="1" applyBorder="1" applyAlignment="1">
      <alignment horizontal="center" vertical="top" wrapText="1"/>
    </xf>
    <xf numFmtId="0" fontId="5" fillId="0" borderId="191" xfId="0" applyFont="1" applyBorder="1" applyAlignment="1">
      <alignment vertical="top" wrapText="1"/>
    </xf>
    <xf numFmtId="0" fontId="5" fillId="0" borderId="192" xfId="0" applyFont="1" applyBorder="1" applyAlignment="1">
      <alignment vertical="top" wrapText="1"/>
    </xf>
    <xf numFmtId="0" fontId="5" fillId="0" borderId="193" xfId="0" applyFont="1" applyBorder="1" applyAlignment="1">
      <alignment vertical="top" wrapText="1"/>
    </xf>
    <xf numFmtId="14" fontId="5" fillId="0" borderId="191" xfId="0" applyNumberFormat="1" applyFont="1" applyBorder="1" applyAlignment="1">
      <alignment horizontal="center" vertical="top" wrapText="1"/>
    </xf>
    <xf numFmtId="0" fontId="33" fillId="0" borderId="192" xfId="0" applyFont="1" applyBorder="1" applyAlignment="1">
      <alignment vertical="top" wrapText="1"/>
    </xf>
    <xf numFmtId="0" fontId="33" fillId="0" borderId="191" xfId="0" applyFont="1" applyBorder="1" applyAlignment="1">
      <alignment vertical="top" wrapText="1"/>
    </xf>
    <xf numFmtId="4" fontId="5" fillId="0" borderId="192" xfId="0" applyNumberFormat="1" applyFont="1" applyBorder="1" applyAlignment="1">
      <alignment vertical="top" wrapText="1"/>
    </xf>
    <xf numFmtId="4" fontId="32" fillId="0" borderId="193" xfId="0" applyNumberFormat="1" applyFont="1" applyBorder="1" applyAlignment="1">
      <alignment vertical="top" wrapText="1"/>
    </xf>
    <xf numFmtId="4" fontId="33" fillId="0" borderId="191" xfId="0" applyNumberFormat="1" applyFont="1" applyBorder="1" applyAlignment="1">
      <alignment vertical="top" wrapText="1"/>
    </xf>
    <xf numFmtId="4" fontId="5" fillId="10" borderId="192" xfId="0" applyNumberFormat="1" applyFont="1" applyFill="1" applyBorder="1" applyAlignment="1">
      <alignment vertical="top" wrapText="1"/>
    </xf>
    <xf numFmtId="4" fontId="32" fillId="10" borderId="193" xfId="0" applyNumberFormat="1" applyFont="1" applyFill="1" applyBorder="1" applyAlignment="1">
      <alignment vertical="top" wrapText="1"/>
    </xf>
    <xf numFmtId="4" fontId="33" fillId="10" borderId="191" xfId="0" applyNumberFormat="1" applyFont="1" applyFill="1" applyBorder="1" applyAlignment="1">
      <alignment vertical="top" wrapText="1"/>
    </xf>
    <xf numFmtId="4" fontId="14" fillId="0" borderId="192" xfId="0" applyNumberFormat="1" applyFont="1" applyBorder="1" applyAlignment="1">
      <alignment vertical="top" wrapText="1"/>
    </xf>
    <xf numFmtId="4" fontId="28" fillId="0" borderId="191" xfId="0" applyNumberFormat="1" applyFont="1" applyBorder="1" applyAlignment="1">
      <alignment vertical="top" wrapText="1"/>
    </xf>
    <xf numFmtId="165" fontId="28" fillId="0" borderId="193" xfId="0" applyNumberFormat="1" applyFont="1" applyBorder="1" applyAlignment="1">
      <alignment horizontal="center" vertical="top" wrapText="1"/>
    </xf>
    <xf numFmtId="40" fontId="33" fillId="10" borderId="193" xfId="0" applyNumberFormat="1" applyFont="1" applyFill="1" applyBorder="1" applyAlignment="1">
      <alignment vertical="top" wrapText="1"/>
    </xf>
    <xf numFmtId="40" fontId="28" fillId="0" borderId="191" xfId="0" applyNumberFormat="1" applyFont="1" applyBorder="1" applyAlignment="1">
      <alignment vertical="top" wrapText="1"/>
    </xf>
    <xf numFmtId="17" fontId="14" fillId="8" borderId="194" xfId="0" applyNumberFormat="1" applyFont="1" applyFill="1" applyBorder="1" applyAlignment="1">
      <alignment horizontal="right" vertical="top" wrapText="1"/>
    </xf>
    <xf numFmtId="8" fontId="14" fillId="8" borderId="194" xfId="2" applyNumberFormat="1" applyFont="1" applyFill="1" applyBorder="1" applyAlignment="1" applyProtection="1">
      <alignment vertical="top" wrapText="1"/>
    </xf>
    <xf numFmtId="14" fontId="5" fillId="0" borderId="195" xfId="0" applyNumberFormat="1" applyFont="1" applyBorder="1" applyAlignment="1">
      <alignment horizontal="center" vertical="top" wrapText="1"/>
    </xf>
    <xf numFmtId="40" fontId="28" fillId="15" borderId="31" xfId="0" applyNumberFormat="1" applyFont="1" applyFill="1" applyBorder="1" applyAlignment="1">
      <alignment vertical="top" wrapText="1"/>
    </xf>
    <xf numFmtId="49" fontId="6" fillId="6" borderId="64" xfId="0" applyNumberFormat="1" applyFont="1" applyFill="1" applyBorder="1" applyAlignment="1">
      <alignment horizontal="left" vertical="top" wrapText="1"/>
    </xf>
    <xf numFmtId="166" fontId="7" fillId="6" borderId="63" xfId="0" applyNumberFormat="1" applyFont="1" applyFill="1" applyBorder="1" applyAlignment="1">
      <alignment horizontal="left" vertical="top" wrapText="1"/>
    </xf>
    <xf numFmtId="0" fontId="6" fillId="0" borderId="4" xfId="0" applyFont="1" applyBorder="1" applyAlignment="1">
      <alignment horizontal="right" vertical="top" wrapText="1"/>
    </xf>
    <xf numFmtId="0" fontId="6" fillId="15" borderId="6" xfId="0" applyFont="1" applyFill="1" applyBorder="1" applyAlignment="1">
      <alignment horizontal="right" vertical="top" wrapText="1"/>
    </xf>
    <xf numFmtId="44" fontId="6" fillId="15" borderId="3" xfId="0" applyNumberFormat="1" applyFont="1" applyFill="1" applyBorder="1" applyAlignment="1">
      <alignment vertical="top"/>
    </xf>
    <xf numFmtId="0" fontId="0" fillId="0" borderId="0" xfId="0" applyAlignment="1">
      <alignment vertical="top"/>
    </xf>
    <xf numFmtId="0" fontId="23" fillId="0" borderId="64" xfId="0" applyFont="1" applyBorder="1" applyAlignment="1">
      <alignment horizontal="center" vertical="top" wrapText="1"/>
    </xf>
    <xf numFmtId="0" fontId="6" fillId="6" borderId="13" xfId="0" applyFont="1" applyFill="1" applyBorder="1" applyAlignment="1">
      <alignment horizontal="right" vertical="top" wrapText="1"/>
    </xf>
    <xf numFmtId="44" fontId="6" fillId="6" borderId="16" xfId="0" applyNumberFormat="1" applyFont="1" applyFill="1" applyBorder="1" applyAlignment="1">
      <alignment vertical="top"/>
    </xf>
    <xf numFmtId="44" fontId="25" fillId="6" borderId="16" xfId="0" applyNumberFormat="1" applyFont="1" applyFill="1" applyBorder="1" applyAlignment="1">
      <alignment vertical="top"/>
    </xf>
    <xf numFmtId="0" fontId="6" fillId="0" borderId="13" xfId="0" applyFont="1" applyBorder="1" applyAlignment="1">
      <alignment horizontal="right" vertical="top" wrapText="1"/>
    </xf>
    <xf numFmtId="44" fontId="6" fillId="0" borderId="16" xfId="0" applyNumberFormat="1" applyFont="1" applyBorder="1" applyAlignment="1">
      <alignment vertical="top"/>
    </xf>
    <xf numFmtId="44" fontId="25" fillId="0" borderId="16" xfId="0" applyNumberFormat="1" applyFont="1" applyBorder="1" applyAlignment="1">
      <alignment vertical="top"/>
    </xf>
    <xf numFmtId="0" fontId="6" fillId="0" borderId="5" xfId="0" applyFont="1" applyBorder="1" applyAlignment="1">
      <alignment horizontal="right" vertical="top" wrapText="1"/>
    </xf>
    <xf numFmtId="44" fontId="6" fillId="0" borderId="11" xfId="0" applyNumberFormat="1" applyFont="1" applyBorder="1" applyAlignment="1">
      <alignment vertical="top"/>
    </xf>
    <xf numFmtId="44" fontId="25" fillId="0" borderId="11" xfId="0" applyNumberFormat="1" applyFont="1" applyBorder="1" applyAlignment="1">
      <alignment vertical="top"/>
    </xf>
    <xf numFmtId="0" fontId="6" fillId="6" borderId="36" xfId="0" applyFont="1" applyFill="1" applyBorder="1" applyAlignment="1">
      <alignment horizontal="right" vertical="top" wrapText="1"/>
    </xf>
    <xf numFmtId="44" fontId="6" fillId="6" borderId="65" xfId="0" applyNumberFormat="1" applyFont="1" applyFill="1" applyBorder="1" applyAlignment="1">
      <alignment vertical="top"/>
    </xf>
    <xf numFmtId="0" fontId="6" fillId="8" borderId="36" xfId="0" applyFont="1" applyFill="1" applyBorder="1" applyAlignment="1">
      <alignment horizontal="right" vertical="top" wrapText="1"/>
    </xf>
    <xf numFmtId="44" fontId="6" fillId="8" borderId="65" xfId="0" applyNumberFormat="1" applyFont="1" applyFill="1" applyBorder="1" applyAlignment="1">
      <alignment vertical="top"/>
    </xf>
    <xf numFmtId="44" fontId="25" fillId="8" borderId="65" xfId="0" applyNumberFormat="1" applyFont="1" applyFill="1" applyBorder="1" applyAlignment="1">
      <alignment vertical="top"/>
    </xf>
    <xf numFmtId="0" fontId="6" fillId="8" borderId="54" xfId="0" applyFont="1" applyFill="1" applyBorder="1" applyAlignment="1">
      <alignment horizontal="right" vertical="top" wrapText="1"/>
    </xf>
    <xf numFmtId="44" fontId="6" fillId="8" borderId="55" xfId="0" applyNumberFormat="1" applyFont="1" applyFill="1" applyBorder="1" applyAlignment="1">
      <alignment vertical="top"/>
    </xf>
    <xf numFmtId="44" fontId="25" fillId="8" borderId="55" xfId="0" applyNumberFormat="1" applyFont="1" applyFill="1" applyBorder="1" applyAlignment="1">
      <alignment vertical="top"/>
    </xf>
    <xf numFmtId="0" fontId="6" fillId="15" borderId="54" xfId="0" applyFont="1" applyFill="1" applyBorder="1" applyAlignment="1">
      <alignment horizontal="right" vertical="top" wrapText="1"/>
    </xf>
    <xf numFmtId="44" fontId="6" fillId="15" borderId="55" xfId="0" applyNumberFormat="1" applyFont="1" applyFill="1" applyBorder="1" applyAlignment="1">
      <alignment vertical="top"/>
    </xf>
    <xf numFmtId="0" fontId="14" fillId="8" borderId="193" xfId="0" applyFont="1" applyFill="1" applyBorder="1" applyAlignment="1">
      <alignment horizontal="center" vertical="top" wrapText="1"/>
    </xf>
    <xf numFmtId="14" fontId="5" fillId="18" borderId="195" xfId="0" applyNumberFormat="1" applyFont="1" applyFill="1" applyBorder="1" applyAlignment="1">
      <alignment horizontal="center" vertical="top" wrapText="1"/>
    </xf>
    <xf numFmtId="14" fontId="5" fillId="6" borderId="193" xfId="0" applyNumberFormat="1" applyFont="1" applyFill="1" applyBorder="1" applyAlignment="1">
      <alignment horizontal="center" vertical="top" wrapText="1"/>
    </xf>
    <xf numFmtId="0" fontId="5" fillId="0" borderId="195" xfId="0" applyFont="1" applyBorder="1" applyAlignment="1">
      <alignment horizontal="center" vertical="top" wrapText="1"/>
    </xf>
    <xf numFmtId="14" fontId="5" fillId="6" borderId="195" xfId="0" applyNumberFormat="1" applyFont="1" applyFill="1" applyBorder="1" applyAlignment="1">
      <alignment horizontal="center" vertical="top" wrapText="1"/>
    </xf>
    <xf numFmtId="14" fontId="5" fillId="10" borderId="195" xfId="0" applyNumberFormat="1" applyFont="1" applyFill="1" applyBorder="1" applyAlignment="1">
      <alignment horizontal="center" vertical="top" wrapText="1"/>
    </xf>
    <xf numFmtId="14" fontId="5" fillId="15" borderId="193" xfId="0" applyNumberFormat="1" applyFont="1" applyFill="1" applyBorder="1" applyAlignment="1">
      <alignment horizontal="center" vertical="top" wrapText="1"/>
    </xf>
    <xf numFmtId="14" fontId="5" fillId="15" borderId="195" xfId="0" applyNumberFormat="1" applyFont="1" applyFill="1" applyBorder="1" applyAlignment="1">
      <alignment horizontal="center" vertical="top" wrapText="1"/>
    </xf>
    <xf numFmtId="15" fontId="5" fillId="6" borderId="195" xfId="0" applyNumberFormat="1" applyFont="1" applyFill="1" applyBorder="1" applyAlignment="1">
      <alignment horizontal="center" vertical="top" wrapText="1"/>
    </xf>
    <xf numFmtId="14" fontId="5" fillId="15" borderId="196" xfId="0" applyNumberFormat="1" applyFont="1" applyFill="1" applyBorder="1" applyAlignment="1">
      <alignment horizontal="center" vertical="top" wrapText="1"/>
    </xf>
    <xf numFmtId="14" fontId="5" fillId="15" borderId="197" xfId="0" applyNumberFormat="1" applyFont="1" applyFill="1" applyBorder="1" applyAlignment="1">
      <alignment horizontal="center" vertical="top" wrapText="1"/>
    </xf>
    <xf numFmtId="14" fontId="5" fillId="0" borderId="198" xfId="0" applyNumberFormat="1" applyFont="1" applyBorder="1" applyAlignment="1">
      <alignment horizontal="center" vertical="top" wrapText="1"/>
    </xf>
    <xf numFmtId="14" fontId="5" fillId="0" borderId="197" xfId="0" applyNumberFormat="1" applyFont="1" applyBorder="1" applyAlignment="1">
      <alignment horizontal="center" vertical="top" wrapText="1"/>
    </xf>
    <xf numFmtId="14" fontId="5" fillId="15" borderId="198" xfId="0" applyNumberFormat="1" applyFont="1" applyFill="1" applyBorder="1" applyAlignment="1">
      <alignment horizontal="center" vertical="top" wrapText="1"/>
    </xf>
    <xf numFmtId="14" fontId="33" fillId="0" borderId="198" xfId="0" applyNumberFormat="1" applyFont="1" applyBorder="1" applyAlignment="1">
      <alignment horizontal="center" vertical="top" wrapText="1"/>
    </xf>
    <xf numFmtId="14" fontId="5" fillId="11" borderId="198" xfId="0" applyNumberFormat="1" applyFont="1" applyFill="1" applyBorder="1" applyAlignment="1">
      <alignment horizontal="center" vertical="top" wrapText="1"/>
    </xf>
    <xf numFmtId="14" fontId="5" fillId="0" borderId="196" xfId="0" applyNumberFormat="1" applyFont="1" applyBorder="1" applyAlignment="1">
      <alignment horizontal="center" vertical="top" wrapText="1"/>
    </xf>
    <xf numFmtId="14" fontId="5" fillId="18" borderId="198" xfId="0" applyNumberFormat="1" applyFont="1" applyFill="1" applyBorder="1" applyAlignment="1">
      <alignment horizontal="center" vertical="top" wrapText="1"/>
    </xf>
    <xf numFmtId="0" fontId="5" fillId="0" borderId="198" xfId="0" applyFont="1" applyBorder="1" applyAlignment="1">
      <alignment horizontal="center" vertical="top" wrapText="1"/>
    </xf>
    <xf numFmtId="0" fontId="14" fillId="0" borderId="67" xfId="0" applyFont="1" applyBorder="1" applyAlignment="1">
      <alignment horizontal="left" vertical="top" wrapText="1"/>
    </xf>
    <xf numFmtId="0" fontId="14" fillId="8" borderId="192" xfId="0" applyFont="1" applyFill="1" applyBorder="1" applyAlignment="1">
      <alignment horizontal="center" vertical="top" wrapText="1"/>
    </xf>
    <xf numFmtId="0" fontId="14" fillId="8" borderId="191" xfId="0" applyFont="1" applyFill="1" applyBorder="1" applyAlignment="1">
      <alignment horizontal="center" vertical="top" wrapText="1"/>
    </xf>
    <xf numFmtId="0" fontId="28" fillId="8" borderId="192" xfId="0" applyFont="1" applyFill="1" applyBorder="1" applyAlignment="1">
      <alignment horizontal="center" vertical="top" wrapText="1"/>
    </xf>
    <xf numFmtId="0" fontId="28" fillId="8" borderId="191" xfId="0" applyFont="1" applyFill="1" applyBorder="1" applyAlignment="1">
      <alignment horizontal="center" vertical="top" wrapText="1"/>
    </xf>
    <xf numFmtId="4" fontId="14" fillId="8" borderId="192" xfId="0" applyNumberFormat="1" applyFont="1" applyFill="1" applyBorder="1" applyAlignment="1">
      <alignment horizontal="center" vertical="top" wrapText="1"/>
    </xf>
    <xf numFmtId="4" fontId="29" fillId="8" borderId="193" xfId="0" applyNumberFormat="1" applyFont="1" applyFill="1" applyBorder="1" applyAlignment="1">
      <alignment horizontal="center" vertical="top" wrapText="1"/>
    </xf>
    <xf numFmtId="4" fontId="28" fillId="8" borderId="191" xfId="0" applyNumberFormat="1" applyFont="1" applyFill="1" applyBorder="1" applyAlignment="1">
      <alignment horizontal="center" vertical="top" wrapText="1"/>
    </xf>
    <xf numFmtId="4" fontId="14" fillId="10" borderId="192" xfId="0" applyNumberFormat="1" applyFont="1" applyFill="1" applyBorder="1" applyAlignment="1">
      <alignment horizontal="center" vertical="top" wrapText="1"/>
    </xf>
    <xf numFmtId="4" fontId="29" fillId="10" borderId="193" xfId="0" applyNumberFormat="1" applyFont="1" applyFill="1" applyBorder="1" applyAlignment="1">
      <alignment horizontal="center" vertical="top" wrapText="1"/>
    </xf>
    <xf numFmtId="4" fontId="28" fillId="10" borderId="191" xfId="0" applyNumberFormat="1" applyFont="1" applyFill="1" applyBorder="1" applyAlignment="1">
      <alignment horizontal="center" vertical="top" wrapText="1"/>
    </xf>
    <xf numFmtId="0" fontId="35" fillId="12" borderId="192" xfId="0" applyFont="1" applyFill="1" applyBorder="1" applyAlignment="1" applyProtection="1">
      <alignment horizontal="center" vertical="top" wrapText="1"/>
      <protection locked="0"/>
    </xf>
    <xf numFmtId="173" fontId="35" fillId="12" borderId="193" xfId="0" applyNumberFormat="1" applyFont="1" applyFill="1" applyBorder="1" applyAlignment="1" applyProtection="1">
      <alignment horizontal="center" vertical="top"/>
      <protection locked="0"/>
    </xf>
    <xf numFmtId="0" fontId="35" fillId="12" borderId="193" xfId="0" applyFont="1" applyFill="1" applyBorder="1" applyAlignment="1" applyProtection="1">
      <alignment horizontal="center" vertical="top" wrapText="1"/>
      <protection locked="0"/>
    </xf>
    <xf numFmtId="165" fontId="35" fillId="12" borderId="193" xfId="0" applyNumberFormat="1" applyFont="1" applyFill="1" applyBorder="1" applyAlignment="1" applyProtection="1">
      <alignment horizontal="center" vertical="top" wrapText="1"/>
      <protection locked="0"/>
    </xf>
    <xf numFmtId="168" fontId="35" fillId="12" borderId="191" xfId="1" applyNumberFormat="1" applyFont="1" applyFill="1" applyBorder="1" applyAlignment="1" applyProtection="1">
      <alignment horizontal="center" vertical="top" wrapText="1"/>
      <protection locked="0"/>
    </xf>
    <xf numFmtId="40" fontId="28" fillId="12" borderId="192" xfId="0" applyNumberFormat="1" applyFont="1" applyFill="1" applyBorder="1" applyAlignment="1">
      <alignment horizontal="center" vertical="top" wrapText="1"/>
    </xf>
    <xf numFmtId="40" fontId="28" fillId="12" borderId="193" xfId="0" applyNumberFormat="1" applyFont="1" applyFill="1" applyBorder="1" applyAlignment="1">
      <alignment horizontal="center" vertical="top" wrapText="1"/>
    </xf>
    <xf numFmtId="40" fontId="28" fillId="12" borderId="191" xfId="0" applyNumberFormat="1" applyFont="1" applyFill="1" applyBorder="1" applyAlignment="1">
      <alignment horizontal="center" vertical="top" wrapText="1"/>
    </xf>
    <xf numFmtId="44" fontId="29" fillId="0" borderId="3" xfId="2" applyFont="1" applyFill="1" applyBorder="1" applyAlignment="1" applyProtection="1">
      <alignment horizontal="center" vertical="top" wrapText="1"/>
    </xf>
    <xf numFmtId="0" fontId="5" fillId="0" borderId="3" xfId="0" applyFont="1" applyBorder="1" applyAlignment="1">
      <alignment horizontal="center" vertical="top" wrapText="1"/>
    </xf>
    <xf numFmtId="44" fontId="5" fillId="0" borderId="3" xfId="0" applyNumberFormat="1" applyFont="1" applyBorder="1" applyAlignment="1">
      <alignment horizontal="center" vertical="top" wrapText="1"/>
    </xf>
    <xf numFmtId="165" fontId="5" fillId="0" borderId="193" xfId="0" applyNumberFormat="1" applyFont="1" applyBorder="1" applyAlignment="1">
      <alignment horizontal="center" vertical="top" wrapText="1"/>
    </xf>
    <xf numFmtId="182" fontId="5" fillId="0" borderId="193" xfId="1" applyNumberFormat="1" applyFont="1" applyFill="1" applyBorder="1" applyAlignment="1" applyProtection="1">
      <alignment horizontal="center" vertical="top" wrapText="1"/>
    </xf>
    <xf numFmtId="165" fontId="5" fillId="15" borderId="183" xfId="0" applyNumberFormat="1" applyFont="1" applyFill="1" applyBorder="1" applyAlignment="1">
      <alignment horizontal="center" vertical="top" wrapText="1"/>
    </xf>
    <xf numFmtId="182" fontId="5" fillId="15" borderId="183" xfId="1" applyNumberFormat="1" applyFont="1" applyFill="1" applyBorder="1" applyAlignment="1" applyProtection="1">
      <alignment horizontal="center" vertical="top" wrapText="1"/>
    </xf>
    <xf numFmtId="178" fontId="5" fillId="0" borderId="23" xfId="0" applyNumberFormat="1" applyFont="1" applyBorder="1" applyAlignment="1">
      <alignment horizontal="center" vertical="top" wrapText="1"/>
    </xf>
    <xf numFmtId="178" fontId="14" fillId="0" borderId="104" xfId="0" applyNumberFormat="1" applyFont="1" applyBorder="1" applyAlignment="1">
      <alignment horizontal="center" vertical="top" wrapText="1"/>
    </xf>
    <xf numFmtId="178" fontId="5" fillId="6" borderId="23" xfId="0" applyNumberFormat="1" applyFont="1" applyFill="1" applyBorder="1" applyAlignment="1">
      <alignment horizontal="center" vertical="top" wrapText="1"/>
    </xf>
    <xf numFmtId="165" fontId="5" fillId="0" borderId="109" xfId="0" applyNumberFormat="1" applyFont="1" applyBorder="1" applyAlignment="1">
      <alignment horizontal="center" vertical="top" wrapText="1"/>
    </xf>
    <xf numFmtId="167" fontId="5" fillId="0" borderId="109" xfId="0" applyNumberFormat="1" applyFont="1" applyBorder="1" applyAlignment="1">
      <alignment horizontal="center" vertical="top" wrapText="1"/>
    </xf>
    <xf numFmtId="177" fontId="5" fillId="15" borderId="23" xfId="0" applyNumberFormat="1" applyFont="1" applyFill="1" applyBorder="1" applyAlignment="1">
      <alignment horizontal="center" vertical="top" wrapText="1"/>
    </xf>
    <xf numFmtId="165" fontId="5" fillId="15" borderId="111" xfId="0" applyNumberFormat="1" applyFont="1" applyFill="1" applyBorder="1" applyAlignment="1">
      <alignment horizontal="center" vertical="top" wrapText="1"/>
    </xf>
    <xf numFmtId="179" fontId="5" fillId="15" borderId="111" xfId="1" applyNumberFormat="1" applyFont="1" applyFill="1" applyBorder="1" applyAlignment="1" applyProtection="1">
      <alignment horizontal="center" vertical="top" wrapText="1"/>
    </xf>
    <xf numFmtId="165" fontId="5" fillId="0" borderId="123" xfId="0" applyNumberFormat="1" applyFont="1" applyBorder="1" applyAlignment="1">
      <alignment horizontal="center" vertical="top" wrapText="1"/>
    </xf>
    <xf numFmtId="179" fontId="5" fillId="0" borderId="123" xfId="1" applyNumberFormat="1" applyFont="1" applyFill="1" applyBorder="1" applyAlignment="1" applyProtection="1">
      <alignment horizontal="center" vertical="top" wrapText="1"/>
    </xf>
    <xf numFmtId="165" fontId="5" fillId="0" borderId="135" xfId="0" applyNumberFormat="1" applyFont="1" applyBorder="1" applyAlignment="1">
      <alignment horizontal="center" vertical="top" wrapText="1"/>
    </xf>
    <xf numFmtId="181" fontId="5" fillId="0" borderId="135" xfId="1" applyNumberFormat="1" applyFont="1" applyFill="1" applyBorder="1" applyAlignment="1" applyProtection="1">
      <alignment horizontal="center" vertical="top" wrapText="1"/>
    </xf>
    <xf numFmtId="181" fontId="5" fillId="15" borderId="35" xfId="1" applyNumberFormat="1" applyFont="1" applyFill="1" applyBorder="1" applyAlignment="1" applyProtection="1">
      <alignment horizontal="center" vertical="top" wrapText="1"/>
    </xf>
    <xf numFmtId="165" fontId="5" fillId="0" borderId="140" xfId="0" applyNumberFormat="1" applyFont="1" applyBorder="1" applyAlignment="1">
      <alignment horizontal="center" vertical="top" wrapText="1"/>
    </xf>
    <xf numFmtId="181" fontId="5" fillId="0" borderId="140" xfId="1" applyNumberFormat="1" applyFont="1" applyFill="1" applyBorder="1" applyAlignment="1" applyProtection="1">
      <alignment horizontal="center" vertical="top" wrapText="1"/>
    </xf>
    <xf numFmtId="165" fontId="5" fillId="15" borderId="140" xfId="0" applyNumberFormat="1" applyFont="1" applyFill="1" applyBorder="1" applyAlignment="1">
      <alignment horizontal="center" vertical="top" wrapText="1"/>
    </xf>
    <xf numFmtId="181" fontId="5" fillId="15" borderId="140" xfId="1" applyNumberFormat="1" applyFont="1" applyFill="1" applyBorder="1" applyAlignment="1" applyProtection="1">
      <alignment horizontal="center" vertical="top" wrapText="1"/>
    </xf>
    <xf numFmtId="181" fontId="14" fillId="0" borderId="23" xfId="1" applyNumberFormat="1" applyFont="1" applyFill="1" applyBorder="1" applyAlignment="1" applyProtection="1">
      <alignment horizontal="center" vertical="top" wrapText="1"/>
    </xf>
    <xf numFmtId="165" fontId="5" fillId="15" borderId="144" xfId="0" applyNumberFormat="1" applyFont="1" applyFill="1" applyBorder="1" applyAlignment="1">
      <alignment horizontal="center" vertical="top" wrapText="1"/>
    </xf>
    <xf numFmtId="181" fontId="5" fillId="15" borderId="144" xfId="1" applyNumberFormat="1" applyFont="1" applyFill="1" applyBorder="1" applyAlignment="1" applyProtection="1">
      <alignment horizontal="center" vertical="top" wrapText="1"/>
    </xf>
    <xf numFmtId="165" fontId="5" fillId="0" borderId="147" xfId="0" applyNumberFormat="1" applyFont="1" applyBorder="1" applyAlignment="1">
      <alignment horizontal="center" vertical="top" wrapText="1"/>
    </xf>
    <xf numFmtId="181" fontId="5" fillId="0" borderId="147" xfId="1" applyNumberFormat="1" applyFont="1" applyFill="1" applyBorder="1" applyAlignment="1" applyProtection="1">
      <alignment horizontal="center" vertical="top" wrapText="1"/>
    </xf>
    <xf numFmtId="165" fontId="44" fillId="15" borderId="35" xfId="0" applyNumberFormat="1" applyFont="1" applyFill="1" applyBorder="1" applyAlignment="1">
      <alignment horizontal="center" vertical="top" wrapText="1"/>
    </xf>
    <xf numFmtId="165" fontId="5" fillId="15" borderId="154" xfId="0" applyNumberFormat="1" applyFont="1" applyFill="1" applyBorder="1" applyAlignment="1">
      <alignment horizontal="center" vertical="top" wrapText="1"/>
    </xf>
    <xf numFmtId="181" fontId="5" fillId="15" borderId="154" xfId="1" applyNumberFormat="1" applyFont="1" applyFill="1" applyBorder="1" applyAlignment="1" applyProtection="1">
      <alignment horizontal="center" vertical="top" wrapText="1"/>
    </xf>
    <xf numFmtId="182" fontId="5" fillId="15" borderId="35" xfId="1" applyNumberFormat="1" applyFont="1" applyFill="1" applyBorder="1" applyAlignment="1" applyProtection="1">
      <alignment horizontal="center" vertical="top" wrapText="1"/>
    </xf>
    <xf numFmtId="165" fontId="5" fillId="15" borderId="158" xfId="0" applyNumberFormat="1" applyFont="1" applyFill="1" applyBorder="1" applyAlignment="1">
      <alignment horizontal="center" vertical="top" wrapText="1"/>
    </xf>
    <xf numFmtId="182" fontId="5" fillId="15" borderId="158" xfId="1" applyNumberFormat="1" applyFont="1" applyFill="1" applyBorder="1" applyAlignment="1" applyProtection="1">
      <alignment horizontal="center" vertical="top" wrapText="1"/>
    </xf>
    <xf numFmtId="182" fontId="5" fillId="0" borderId="163" xfId="1" applyNumberFormat="1" applyFont="1" applyFill="1" applyBorder="1" applyAlignment="1" applyProtection="1">
      <alignment horizontal="center" vertical="top" wrapText="1"/>
    </xf>
    <xf numFmtId="165" fontId="5" fillId="15" borderId="163" xfId="0" applyNumberFormat="1" applyFont="1" applyFill="1" applyBorder="1" applyAlignment="1">
      <alignment horizontal="center" vertical="top" wrapText="1"/>
    </xf>
    <xf numFmtId="182" fontId="5" fillId="15" borderId="163" xfId="1" applyNumberFormat="1" applyFont="1" applyFill="1" applyBorder="1" applyAlignment="1" applyProtection="1">
      <alignment horizontal="center" vertical="top" wrapText="1"/>
    </xf>
    <xf numFmtId="165" fontId="32" fillId="6" borderId="35" xfId="0" applyNumberFormat="1" applyFont="1" applyFill="1" applyBorder="1" applyAlignment="1">
      <alignment horizontal="center" vertical="top" wrapText="1"/>
    </xf>
    <xf numFmtId="0" fontId="32" fillId="6" borderId="35" xfId="0" applyFont="1" applyFill="1" applyBorder="1" applyAlignment="1">
      <alignment horizontal="center" vertical="top" wrapText="1"/>
    </xf>
    <xf numFmtId="165" fontId="32" fillId="6" borderId="45" xfId="0" applyNumberFormat="1" applyFont="1" applyFill="1" applyBorder="1" applyAlignment="1">
      <alignment horizontal="center" vertical="top" wrapText="1"/>
    </xf>
    <xf numFmtId="165" fontId="32" fillId="0" borderId="32" xfId="0" applyNumberFormat="1" applyFont="1" applyBorder="1" applyAlignment="1">
      <alignment horizontal="center" vertical="top" wrapText="1"/>
    </xf>
    <xf numFmtId="165" fontId="32" fillId="0" borderId="45" xfId="0" applyNumberFormat="1" applyFont="1" applyBorder="1" applyAlignment="1">
      <alignment horizontal="center" vertical="top" wrapText="1"/>
    </xf>
    <xf numFmtId="0" fontId="32" fillId="6" borderId="45" xfId="0" applyFont="1" applyFill="1" applyBorder="1" applyAlignment="1">
      <alignment horizontal="center" vertical="top" wrapText="1"/>
    </xf>
    <xf numFmtId="0" fontId="32" fillId="0" borderId="45" xfId="0" applyFont="1" applyBorder="1" applyAlignment="1">
      <alignment horizontal="center" vertical="top" wrapText="1"/>
    </xf>
    <xf numFmtId="0" fontId="32" fillId="0" borderId="35" xfId="0" applyFont="1" applyBorder="1" applyAlignment="1">
      <alignment horizontal="center" vertical="top" wrapText="1"/>
    </xf>
    <xf numFmtId="165" fontId="32" fillId="10" borderId="23" xfId="0" applyNumberFormat="1" applyFont="1" applyFill="1" applyBorder="1" applyAlignment="1">
      <alignment horizontal="center" vertical="top" wrapText="1"/>
    </xf>
    <xf numFmtId="0" fontId="32" fillId="10" borderId="23" xfId="0" applyFont="1" applyFill="1" applyBorder="1" applyAlignment="1">
      <alignment horizontal="center" vertical="top" wrapText="1"/>
    </xf>
    <xf numFmtId="165" fontId="32" fillId="0" borderId="69" xfId="0" applyNumberFormat="1" applyFont="1" applyBorder="1" applyAlignment="1">
      <alignment horizontal="center" vertical="top" wrapText="1"/>
    </xf>
    <xf numFmtId="0" fontId="32" fillId="0" borderId="69" xfId="0" applyFont="1" applyBorder="1" applyAlignment="1">
      <alignment horizontal="center" vertical="top" wrapText="1"/>
    </xf>
    <xf numFmtId="0" fontId="32" fillId="6" borderId="69" xfId="0" applyFont="1" applyFill="1" applyBorder="1" applyAlignment="1">
      <alignment horizontal="center" vertical="top" wrapText="1"/>
    </xf>
    <xf numFmtId="165" fontId="32" fillId="0" borderId="30" xfId="0" applyNumberFormat="1" applyFont="1" applyBorder="1" applyAlignment="1">
      <alignment horizontal="center" vertical="top" wrapText="1"/>
    </xf>
    <xf numFmtId="0" fontId="32" fillId="0" borderId="30" xfId="0" applyFont="1" applyBorder="1" applyAlignment="1">
      <alignment horizontal="center" vertical="top" wrapText="1"/>
    </xf>
    <xf numFmtId="167" fontId="32" fillId="15" borderId="23" xfId="0" applyNumberFormat="1" applyFont="1" applyFill="1" applyBorder="1" applyAlignment="1">
      <alignment horizontal="center" vertical="top" wrapText="1"/>
    </xf>
    <xf numFmtId="165" fontId="32" fillId="0" borderId="78" xfId="0" applyNumberFormat="1" applyFont="1" applyBorder="1" applyAlignment="1">
      <alignment horizontal="center" vertical="top" wrapText="1"/>
    </xf>
    <xf numFmtId="165" fontId="32" fillId="0" borderId="82" xfId="0" applyNumberFormat="1" applyFont="1" applyBorder="1" applyAlignment="1">
      <alignment horizontal="center" vertical="top" wrapText="1"/>
    </xf>
    <xf numFmtId="167" fontId="32" fillId="0" borderId="82" xfId="0" applyNumberFormat="1" applyFont="1" applyBorder="1" applyAlignment="1">
      <alignment horizontal="center" vertical="top" wrapText="1"/>
    </xf>
    <xf numFmtId="165" fontId="32" fillId="6" borderId="88" xfId="0" applyNumberFormat="1" applyFont="1" applyFill="1" applyBorder="1" applyAlignment="1">
      <alignment horizontal="center" vertical="top" wrapText="1"/>
    </xf>
    <xf numFmtId="165" fontId="32" fillId="0" borderId="97" xfId="0" applyNumberFormat="1" applyFont="1" applyBorder="1" applyAlignment="1">
      <alignment horizontal="center" vertical="top" wrapText="1"/>
    </xf>
    <xf numFmtId="167" fontId="32" fillId="0" borderId="97" xfId="0" applyNumberFormat="1" applyFont="1" applyBorder="1" applyAlignment="1">
      <alignment horizontal="center" vertical="top" wrapText="1"/>
    </xf>
    <xf numFmtId="165" fontId="5" fillId="11" borderId="23" xfId="0" applyNumberFormat="1" applyFont="1" applyFill="1" applyBorder="1" applyAlignment="1">
      <alignment horizontal="center" vertical="top" wrapText="1"/>
    </xf>
    <xf numFmtId="182" fontId="5" fillId="11" borderId="23" xfId="1" applyNumberFormat="1" applyFont="1" applyFill="1" applyBorder="1" applyAlignment="1" applyProtection="1">
      <alignment horizontal="center" vertical="top" wrapText="1"/>
    </xf>
    <xf numFmtId="0" fontId="5" fillId="0" borderId="199" xfId="0" applyFont="1" applyBorder="1" applyAlignment="1">
      <alignment vertical="top" wrapText="1"/>
    </xf>
    <xf numFmtId="0" fontId="29" fillId="0" borderId="199" xfId="0" applyFont="1" applyBorder="1" applyAlignment="1">
      <alignment vertical="top" wrapText="1"/>
    </xf>
    <xf numFmtId="0" fontId="29" fillId="6" borderId="199" xfId="0" applyFont="1" applyFill="1" applyBorder="1" applyAlignment="1">
      <alignment vertical="top" wrapText="1"/>
    </xf>
    <xf numFmtId="0" fontId="5" fillId="6" borderId="199" xfId="0" applyFont="1" applyFill="1" applyBorder="1" applyAlignment="1">
      <alignment vertical="top" wrapText="1"/>
    </xf>
    <xf numFmtId="0" fontId="5" fillId="10" borderId="199" xfId="0" applyFont="1" applyFill="1" applyBorder="1" applyAlignment="1">
      <alignment vertical="top" wrapText="1"/>
    </xf>
    <xf numFmtId="0" fontId="32" fillId="0" borderId="199" xfId="0" applyFont="1" applyBorder="1" applyAlignment="1">
      <alignment vertical="top" wrapText="1"/>
    </xf>
    <xf numFmtId="0" fontId="5" fillId="15" borderId="199" xfId="0" applyFont="1" applyFill="1" applyBorder="1" applyAlignment="1">
      <alignment vertical="top" wrapText="1"/>
    </xf>
    <xf numFmtId="0" fontId="33" fillId="0" borderId="199" xfId="0" applyFont="1" applyBorder="1" applyAlignment="1">
      <alignment vertical="top" wrapText="1"/>
    </xf>
    <xf numFmtId="0" fontId="32" fillId="15" borderId="199" xfId="0" applyFont="1" applyFill="1" applyBorder="1" applyAlignment="1">
      <alignment vertical="top" wrapText="1"/>
    </xf>
    <xf numFmtId="0" fontId="5" fillId="15" borderId="200" xfId="0" applyFont="1" applyFill="1" applyBorder="1" applyAlignment="1">
      <alignment vertical="top" wrapText="1"/>
    </xf>
    <xf numFmtId="0" fontId="33" fillId="15" borderId="199" xfId="0" applyFont="1" applyFill="1" applyBorder="1" applyAlignment="1">
      <alignment vertical="top" wrapText="1"/>
    </xf>
    <xf numFmtId="0" fontId="26" fillId="0" borderId="50" xfId="0" applyFont="1" applyBorder="1" applyAlignment="1">
      <alignment horizontal="center" vertical="top" wrapText="1"/>
    </xf>
    <xf numFmtId="0" fontId="25" fillId="0" borderId="54" xfId="0" applyFont="1" applyBorder="1" applyAlignment="1">
      <alignment vertical="top" wrapText="1"/>
    </xf>
    <xf numFmtId="44" fontId="26" fillId="0" borderId="54" xfId="0" applyNumberFormat="1" applyFont="1" applyBorder="1" applyAlignment="1">
      <alignment vertical="top" wrapText="1"/>
    </xf>
    <xf numFmtId="40" fontId="28" fillId="12" borderId="12" xfId="0" applyNumberFormat="1" applyFont="1" applyFill="1" applyBorder="1" applyAlignment="1">
      <alignment horizontal="center" vertical="top" wrapText="1"/>
    </xf>
    <xf numFmtId="40" fontId="33" fillId="13" borderId="57" xfId="0" applyNumberFormat="1" applyFont="1" applyFill="1" applyBorder="1" applyAlignment="1">
      <alignment vertical="top" wrapText="1"/>
    </xf>
    <xf numFmtId="40" fontId="28" fillId="0" borderId="201" xfId="0" applyNumberFormat="1" applyFont="1" applyBorder="1" applyAlignment="1">
      <alignment vertical="top" wrapText="1"/>
    </xf>
    <xf numFmtId="40" fontId="28" fillId="0" borderId="202" xfId="0" applyNumberFormat="1" applyFont="1" applyBorder="1" applyAlignment="1">
      <alignment vertical="top" wrapText="1"/>
    </xf>
    <xf numFmtId="40" fontId="28" fillId="13" borderId="57" xfId="0" applyNumberFormat="1" applyFont="1" applyFill="1" applyBorder="1" applyAlignment="1">
      <alignment vertical="top" wrapText="1"/>
    </xf>
    <xf numFmtId="172" fontId="5" fillId="13" borderId="50" xfId="0" applyNumberFormat="1" applyFont="1" applyFill="1" applyBorder="1" applyAlignment="1">
      <alignment vertical="top" wrapText="1"/>
    </xf>
    <xf numFmtId="172" fontId="71" fillId="13" borderId="50" xfId="0" applyNumberFormat="1" applyFont="1" applyFill="1" applyBorder="1" applyAlignment="1">
      <alignment vertical="top" wrapText="1"/>
    </xf>
    <xf numFmtId="0" fontId="5" fillId="13" borderId="50" xfId="0" applyFont="1" applyFill="1" applyBorder="1" applyAlignment="1">
      <alignment vertical="top" wrapText="1"/>
    </xf>
    <xf numFmtId="14" fontId="5" fillId="0" borderId="205" xfId="0" applyNumberFormat="1" applyFont="1" applyBorder="1" applyAlignment="1">
      <alignment horizontal="center" vertical="top" wrapText="1"/>
    </xf>
    <xf numFmtId="14" fontId="5" fillId="18" borderId="205" xfId="0" applyNumberFormat="1" applyFont="1" applyFill="1" applyBorder="1" applyAlignment="1">
      <alignment horizontal="center" vertical="top" wrapText="1"/>
    </xf>
    <xf numFmtId="49" fontId="6" fillId="15" borderId="50" xfId="0" applyNumberFormat="1" applyFont="1" applyFill="1" applyBorder="1" applyAlignment="1">
      <alignment horizontal="left" vertical="top" wrapText="1"/>
    </xf>
    <xf numFmtId="0" fontId="7" fillId="15" borderId="68" xfId="0" applyFont="1" applyFill="1" applyBorder="1" applyAlignment="1">
      <alignment vertical="top" wrapText="1"/>
    </xf>
    <xf numFmtId="0" fontId="7" fillId="15" borderId="68" xfId="0" applyFont="1" applyFill="1" applyBorder="1" applyAlignment="1">
      <alignment vertical="center" wrapText="1"/>
    </xf>
    <xf numFmtId="44" fontId="25" fillId="15" borderId="54" xfId="0" applyNumberFormat="1" applyFont="1" applyFill="1" applyBorder="1" applyAlignment="1">
      <alignment vertical="top" wrapText="1"/>
    </xf>
    <xf numFmtId="17" fontId="7" fillId="15" borderId="58" xfId="0" applyNumberFormat="1" applyFont="1" applyFill="1" applyBorder="1" applyAlignment="1">
      <alignment vertical="top" wrapText="1"/>
    </xf>
    <xf numFmtId="44" fontId="26" fillId="15" borderId="54" xfId="0" applyNumberFormat="1" applyFont="1" applyFill="1" applyBorder="1" applyAlignment="1">
      <alignment vertical="top" wrapText="1"/>
    </xf>
    <xf numFmtId="17" fontId="6" fillId="15" borderId="58" xfId="0" applyNumberFormat="1" applyFont="1" applyFill="1" applyBorder="1" applyAlignment="1">
      <alignment horizontal="left" vertical="top" wrapText="1"/>
    </xf>
    <xf numFmtId="44" fontId="7" fillId="15" borderId="54" xfId="0" applyNumberFormat="1" applyFont="1" applyFill="1" applyBorder="1" applyAlignment="1">
      <alignment vertical="top" wrapText="1"/>
    </xf>
    <xf numFmtId="0" fontId="7" fillId="15" borderId="58" xfId="0" applyFont="1" applyFill="1" applyBorder="1" applyAlignment="1">
      <alignment horizontal="left" vertical="top" wrapText="1"/>
    </xf>
    <xf numFmtId="166" fontId="7" fillId="15" borderId="68" xfId="0" applyNumberFormat="1" applyFont="1" applyFill="1" applyBorder="1" applyAlignment="1">
      <alignment horizontal="left" vertical="top" wrapText="1"/>
    </xf>
    <xf numFmtId="166" fontId="7" fillId="15" borderId="69" xfId="0" applyNumberFormat="1" applyFont="1" applyFill="1" applyBorder="1" applyAlignment="1">
      <alignment horizontal="center" vertical="top" wrapText="1"/>
    </xf>
    <xf numFmtId="0" fontId="26" fillId="15" borderId="55" xfId="0" applyFont="1" applyFill="1" applyBorder="1" applyAlignment="1">
      <alignment horizontal="center" vertical="top"/>
    </xf>
    <xf numFmtId="15" fontId="25" fillId="15" borderId="57" xfId="0" applyNumberFormat="1" applyFont="1" applyFill="1" applyBorder="1" applyAlignment="1">
      <alignment horizontal="center" vertical="top"/>
    </xf>
    <xf numFmtId="0" fontId="25" fillId="15" borderId="58" xfId="0" applyFont="1" applyFill="1" applyBorder="1" applyAlignment="1">
      <alignment horizontal="right" vertical="top"/>
    </xf>
    <xf numFmtId="0" fontId="25" fillId="15" borderId="58" xfId="0" applyFont="1" applyFill="1" applyBorder="1" applyAlignment="1">
      <alignment vertical="top" wrapText="1"/>
    </xf>
    <xf numFmtId="17" fontId="25" fillId="15" borderId="58" xfId="0" applyNumberFormat="1" applyFont="1" applyFill="1" applyBorder="1" applyAlignment="1">
      <alignment vertical="top"/>
    </xf>
    <xf numFmtId="182" fontId="33" fillId="11" borderId="23" xfId="1" applyNumberFormat="1" applyFont="1" applyFill="1" applyBorder="1" applyAlignment="1" applyProtection="1">
      <alignment horizontal="center" vertical="top" wrapText="1"/>
    </xf>
    <xf numFmtId="0" fontId="5" fillId="11" borderId="23" xfId="0" applyFont="1" applyFill="1" applyBorder="1" applyAlignment="1">
      <alignment vertical="top" wrapText="1"/>
    </xf>
    <xf numFmtId="0" fontId="5" fillId="11" borderId="63" xfId="0" applyFont="1" applyFill="1" applyBorder="1" applyAlignment="1">
      <alignment vertical="top" wrapText="1"/>
    </xf>
    <xf numFmtId="0" fontId="29" fillId="15" borderId="208" xfId="0" applyFont="1" applyFill="1" applyBorder="1" applyAlignment="1">
      <alignment horizontal="center" vertical="top" wrapText="1"/>
    </xf>
    <xf numFmtId="0" fontId="29" fillId="15" borderId="209" xfId="0" applyFont="1" applyFill="1" applyBorder="1" applyAlignment="1">
      <alignment horizontal="center" vertical="top" wrapText="1"/>
    </xf>
    <xf numFmtId="14" fontId="32" fillId="15" borderId="209" xfId="0" applyNumberFormat="1" applyFont="1" applyFill="1" applyBorder="1" applyAlignment="1">
      <alignment horizontal="center" vertical="top" wrapText="1"/>
    </xf>
    <xf numFmtId="165" fontId="32" fillId="15" borderId="209" xfId="0" applyNumberFormat="1" applyFont="1" applyFill="1" applyBorder="1" applyAlignment="1">
      <alignment horizontal="center" vertical="top" wrapText="1"/>
    </xf>
    <xf numFmtId="181" fontId="32" fillId="15" borderId="209" xfId="1" applyNumberFormat="1" applyFont="1" applyFill="1" applyBorder="1" applyAlignment="1" applyProtection="1">
      <alignment horizontal="center" vertical="top" wrapText="1"/>
    </xf>
    <xf numFmtId="0" fontId="32" fillId="15" borderId="207" xfId="0" applyFont="1" applyFill="1" applyBorder="1" applyAlignment="1">
      <alignment vertical="top" wrapText="1"/>
    </xf>
    <xf numFmtId="0" fontId="32" fillId="15" borderId="208" xfId="0" applyFont="1" applyFill="1" applyBorder="1" applyAlignment="1">
      <alignment vertical="top" wrapText="1"/>
    </xf>
    <xf numFmtId="0" fontId="32" fillId="15" borderId="209" xfId="0" applyFont="1" applyFill="1" applyBorder="1" applyAlignment="1">
      <alignment vertical="top" wrapText="1"/>
    </xf>
    <xf numFmtId="14" fontId="32" fillId="15" borderId="207" xfId="0" applyNumberFormat="1" applyFont="1" applyFill="1" applyBorder="1" applyAlignment="1">
      <alignment horizontal="center" vertical="top" wrapText="1"/>
    </xf>
    <xf numFmtId="4" fontId="32" fillId="15" borderId="208" xfId="0" applyNumberFormat="1" applyFont="1" applyFill="1" applyBorder="1" applyAlignment="1">
      <alignment vertical="top" wrapText="1"/>
    </xf>
    <xf numFmtId="4" fontId="32" fillId="15" borderId="209" xfId="0" applyNumberFormat="1" applyFont="1" applyFill="1" applyBorder="1" applyAlignment="1">
      <alignment vertical="top" wrapText="1"/>
    </xf>
    <xf numFmtId="4" fontId="32" fillId="15" borderId="207" xfId="0" applyNumberFormat="1" applyFont="1" applyFill="1" applyBorder="1" applyAlignment="1">
      <alignment vertical="top" wrapText="1"/>
    </xf>
    <xf numFmtId="4" fontId="32" fillId="10" borderId="208" xfId="0" applyNumberFormat="1" applyFont="1" applyFill="1" applyBorder="1" applyAlignment="1">
      <alignment vertical="top" wrapText="1"/>
    </xf>
    <xf numFmtId="4" fontId="32" fillId="10" borderId="209" xfId="0" applyNumberFormat="1" applyFont="1" applyFill="1" applyBorder="1" applyAlignment="1">
      <alignment vertical="top" wrapText="1"/>
    </xf>
    <xf numFmtId="4" fontId="32" fillId="10" borderId="207" xfId="0" applyNumberFormat="1" applyFont="1" applyFill="1" applyBorder="1" applyAlignment="1">
      <alignment vertical="top" wrapText="1"/>
    </xf>
    <xf numFmtId="4" fontId="29" fillId="15" borderId="208" xfId="0" applyNumberFormat="1" applyFont="1" applyFill="1" applyBorder="1" applyAlignment="1">
      <alignment vertical="top" wrapText="1"/>
    </xf>
    <xf numFmtId="4" fontId="29" fillId="15" borderId="207" xfId="0" applyNumberFormat="1" applyFont="1" applyFill="1" applyBorder="1" applyAlignment="1">
      <alignment vertical="top" wrapText="1"/>
    </xf>
    <xf numFmtId="40" fontId="32" fillId="15" borderId="208" xfId="0" applyNumberFormat="1" applyFont="1" applyFill="1" applyBorder="1" applyAlignment="1">
      <alignment vertical="top" wrapText="1"/>
    </xf>
    <xf numFmtId="40" fontId="32" fillId="15" borderId="209" xfId="0" applyNumberFormat="1" applyFont="1" applyFill="1" applyBorder="1" applyAlignment="1">
      <alignment vertical="top" wrapText="1"/>
    </xf>
    <xf numFmtId="40" fontId="32" fillId="10" borderId="209" xfId="0" applyNumberFormat="1" applyFont="1" applyFill="1" applyBorder="1" applyAlignment="1">
      <alignment vertical="top" wrapText="1"/>
    </xf>
    <xf numFmtId="40" fontId="29" fillId="15" borderId="206" xfId="0" applyNumberFormat="1" applyFont="1" applyFill="1" applyBorder="1" applyAlignment="1">
      <alignment vertical="top" wrapText="1"/>
    </xf>
    <xf numFmtId="0" fontId="32" fillId="15" borderId="210" xfId="0" applyFont="1" applyFill="1" applyBorder="1" applyAlignment="1">
      <alignment vertical="top" wrapText="1"/>
    </xf>
    <xf numFmtId="17" fontId="14" fillId="15" borderId="211" xfId="0" applyNumberFormat="1" applyFont="1" applyFill="1" applyBorder="1" applyAlignment="1">
      <alignment horizontal="right" vertical="top" wrapText="1"/>
    </xf>
    <xf numFmtId="8" fontId="14" fillId="15" borderId="211" xfId="2" applyNumberFormat="1" applyFont="1" applyFill="1" applyBorder="1" applyAlignment="1" applyProtection="1">
      <alignment vertical="top" wrapText="1"/>
    </xf>
    <xf numFmtId="182" fontId="33" fillId="0" borderId="23" xfId="1" applyNumberFormat="1" applyFont="1" applyFill="1" applyBorder="1" applyAlignment="1" applyProtection="1">
      <alignment horizontal="center" vertical="top" wrapText="1"/>
    </xf>
    <xf numFmtId="0" fontId="5" fillId="18" borderId="23" xfId="0" applyFont="1" applyFill="1" applyBorder="1" applyAlignment="1">
      <alignment vertical="top" wrapText="1"/>
    </xf>
    <xf numFmtId="0" fontId="5" fillId="0" borderId="151" xfId="0" applyFont="1" applyBorder="1" applyAlignment="1">
      <alignment vertical="top" wrapText="1"/>
    </xf>
    <xf numFmtId="182" fontId="28" fillId="0" borderId="213" xfId="1" applyNumberFormat="1" applyFont="1" applyFill="1" applyBorder="1" applyAlignment="1" applyProtection="1">
      <alignment horizontal="center" vertical="top" wrapText="1"/>
    </xf>
    <xf numFmtId="40" fontId="33" fillId="0" borderId="214" xfId="0" applyNumberFormat="1" applyFont="1" applyBorder="1" applyAlignment="1">
      <alignment vertical="top" wrapText="1"/>
    </xf>
    <xf numFmtId="40" fontId="33" fillId="0" borderId="212" xfId="0" applyNumberFormat="1" applyFont="1" applyBorder="1" applyAlignment="1">
      <alignment vertical="top" wrapText="1"/>
    </xf>
    <xf numFmtId="40" fontId="33" fillId="10" borderId="212" xfId="0" applyNumberFormat="1" applyFont="1" applyFill="1" applyBorder="1" applyAlignment="1">
      <alignment vertical="top" wrapText="1"/>
    </xf>
    <xf numFmtId="165" fontId="29" fillId="8" borderId="23" xfId="0" applyNumberFormat="1" applyFont="1" applyFill="1" applyBorder="1" applyAlignment="1">
      <alignment horizontal="center" vertical="top" wrapText="1"/>
    </xf>
    <xf numFmtId="182" fontId="29" fillId="8" borderId="34" xfId="1" applyNumberFormat="1" applyFont="1" applyFill="1" applyBorder="1" applyAlignment="1" applyProtection="1">
      <alignment horizontal="center" vertical="top" wrapText="1"/>
    </xf>
    <xf numFmtId="0" fontId="14" fillId="23" borderId="63" xfId="0" applyFont="1" applyFill="1" applyBorder="1" applyAlignment="1">
      <alignment horizontal="center" vertical="top" wrapText="1"/>
    </xf>
    <xf numFmtId="0" fontId="5" fillId="23" borderId="34" xfId="0" applyFont="1" applyFill="1" applyBorder="1" applyAlignment="1">
      <alignment vertical="top" wrapText="1"/>
    </xf>
    <xf numFmtId="14" fontId="5" fillId="23" borderId="34" xfId="0" applyNumberFormat="1" applyFont="1" applyFill="1" applyBorder="1" applyAlignment="1">
      <alignment horizontal="center" vertical="top" wrapText="1"/>
    </xf>
    <xf numFmtId="0" fontId="5" fillId="23" borderId="63" xfId="0" applyFont="1" applyFill="1" applyBorder="1" applyAlignment="1">
      <alignment vertical="top" wrapText="1"/>
    </xf>
    <xf numFmtId="0" fontId="33" fillId="0" borderId="34" xfId="0" applyFont="1" applyBorder="1" applyAlignment="1">
      <alignment horizontal="center" vertical="top" wrapText="1"/>
    </xf>
    <xf numFmtId="40" fontId="28" fillId="0" borderId="215" xfId="0" applyNumberFormat="1" applyFont="1" applyBorder="1" applyAlignment="1">
      <alignment vertical="top" wrapText="1"/>
    </xf>
    <xf numFmtId="165" fontId="29" fillId="0" borderId="23" xfId="0" applyNumberFormat="1" applyFont="1" applyBorder="1" applyAlignment="1">
      <alignment horizontal="center" vertical="top" wrapText="1"/>
    </xf>
    <xf numFmtId="182" fontId="29" fillId="0" borderId="34" xfId="1" applyNumberFormat="1" applyFont="1" applyFill="1" applyBorder="1" applyAlignment="1" applyProtection="1">
      <alignment horizontal="center" vertical="top" wrapText="1"/>
    </xf>
    <xf numFmtId="0" fontId="14" fillId="0" borderId="214" xfId="0" applyFont="1" applyBorder="1" applyAlignment="1">
      <alignment horizontal="center" vertical="top" wrapText="1"/>
    </xf>
    <xf numFmtId="0" fontId="14" fillId="0" borderId="212" xfId="0" applyFont="1" applyBorder="1" applyAlignment="1">
      <alignment horizontal="center" vertical="top" wrapText="1"/>
    </xf>
    <xf numFmtId="14" fontId="5" fillId="0" borderId="212" xfId="0" applyNumberFormat="1" applyFont="1" applyBorder="1" applyAlignment="1">
      <alignment horizontal="center" vertical="top" wrapText="1"/>
    </xf>
    <xf numFmtId="165" fontId="5" fillId="0" borderId="212" xfId="0" applyNumberFormat="1" applyFont="1" applyBorder="1" applyAlignment="1">
      <alignment horizontal="center" vertical="top" wrapText="1"/>
    </xf>
    <xf numFmtId="182" fontId="5" fillId="0" borderId="212" xfId="1" applyNumberFormat="1" applyFont="1" applyFill="1" applyBorder="1" applyAlignment="1" applyProtection="1">
      <alignment horizontal="center" vertical="top" wrapText="1"/>
    </xf>
    <xf numFmtId="0" fontId="5" fillId="0" borderId="213" xfId="0" applyFont="1" applyBorder="1" applyAlignment="1">
      <alignment vertical="top" wrapText="1"/>
    </xf>
    <xf numFmtId="0" fontId="5" fillId="0" borderId="214" xfId="0" applyFont="1" applyBorder="1" applyAlignment="1">
      <alignment vertical="top" wrapText="1"/>
    </xf>
    <xf numFmtId="0" fontId="5" fillId="0" borderId="212" xfId="0" applyFont="1" applyBorder="1" applyAlignment="1">
      <alignment vertical="top" wrapText="1"/>
    </xf>
    <xf numFmtId="14" fontId="5" fillId="0" borderId="213" xfId="0" applyNumberFormat="1" applyFont="1" applyBorder="1" applyAlignment="1">
      <alignment horizontal="center" vertical="top" wrapText="1"/>
    </xf>
    <xf numFmtId="0" fontId="33" fillId="0" borderId="214" xfId="0" applyFont="1" applyBorder="1" applyAlignment="1">
      <alignment vertical="top" wrapText="1"/>
    </xf>
    <xf numFmtId="0" fontId="33" fillId="0" borderId="213" xfId="0" applyFont="1" applyBorder="1" applyAlignment="1">
      <alignment vertical="top" wrapText="1"/>
    </xf>
    <xf numFmtId="4" fontId="5" fillId="0" borderId="214" xfId="0" applyNumberFormat="1" applyFont="1" applyBorder="1" applyAlignment="1">
      <alignment vertical="top" wrapText="1"/>
    </xf>
    <xf numFmtId="4" fontId="32" fillId="0" borderId="212" xfId="0" applyNumberFormat="1" applyFont="1" applyBorder="1" applyAlignment="1">
      <alignment vertical="top" wrapText="1"/>
    </xf>
    <xf numFmtId="4" fontId="33" fillId="0" borderId="213" xfId="0" applyNumberFormat="1" applyFont="1" applyBorder="1" applyAlignment="1">
      <alignment vertical="top" wrapText="1"/>
    </xf>
    <xf numFmtId="4" fontId="5" fillId="10" borderId="214" xfId="0" applyNumberFormat="1" applyFont="1" applyFill="1" applyBorder="1" applyAlignment="1">
      <alignment vertical="top" wrapText="1"/>
    </xf>
    <xf numFmtId="4" fontId="32" fillId="10" borderId="212" xfId="0" applyNumberFormat="1" applyFont="1" applyFill="1" applyBorder="1" applyAlignment="1">
      <alignment vertical="top" wrapText="1"/>
    </xf>
    <xf numFmtId="4" fontId="33" fillId="10" borderId="213" xfId="0" applyNumberFormat="1" applyFont="1" applyFill="1" applyBorder="1" applyAlignment="1">
      <alignment vertical="top" wrapText="1"/>
    </xf>
    <xf numFmtId="4" fontId="14" fillId="0" borderId="214" xfId="0" applyNumberFormat="1" applyFont="1" applyBorder="1" applyAlignment="1">
      <alignment vertical="top" wrapText="1"/>
    </xf>
    <xf numFmtId="4" fontId="28" fillId="0" borderId="213" xfId="0" applyNumberFormat="1" applyFont="1" applyBorder="1" applyAlignment="1">
      <alignment vertical="top" wrapText="1"/>
    </xf>
    <xf numFmtId="165" fontId="29" fillId="0" borderId="212" xfId="0" applyNumberFormat="1" applyFont="1" applyBorder="1" applyAlignment="1">
      <alignment horizontal="center" vertical="top" wrapText="1"/>
    </xf>
    <xf numFmtId="182" fontId="29" fillId="0" borderId="213" xfId="1" applyNumberFormat="1" applyFont="1" applyFill="1" applyBorder="1" applyAlignment="1" applyProtection="1">
      <alignment horizontal="center" vertical="top" wrapText="1"/>
    </xf>
    <xf numFmtId="40" fontId="28" fillId="0" borderId="217" xfId="0" applyNumberFormat="1" applyFont="1" applyBorder="1" applyAlignment="1">
      <alignment vertical="top" wrapText="1"/>
    </xf>
    <xf numFmtId="0" fontId="5" fillId="0" borderId="210" xfId="0" applyFont="1" applyBorder="1" applyAlignment="1">
      <alignment vertical="top" wrapText="1"/>
    </xf>
    <xf numFmtId="40" fontId="28" fillId="15" borderId="201" xfId="0" applyNumberFormat="1" applyFont="1" applyFill="1" applyBorder="1" applyAlignment="1">
      <alignment vertical="top" wrapText="1"/>
    </xf>
    <xf numFmtId="182" fontId="29" fillId="15" borderId="34" xfId="1" applyNumberFormat="1" applyFont="1" applyFill="1" applyBorder="1" applyAlignment="1" applyProtection="1">
      <alignment horizontal="center" vertical="top" wrapText="1"/>
    </xf>
    <xf numFmtId="165" fontId="89" fillId="15" borderId="23" xfId="0" applyNumberFormat="1" applyFont="1" applyFill="1" applyBorder="1" applyAlignment="1">
      <alignment horizontal="center" vertical="top" wrapText="1"/>
    </xf>
    <xf numFmtId="182" fontId="89" fillId="15" borderId="23" xfId="1" applyNumberFormat="1" applyFont="1" applyFill="1" applyBorder="1" applyAlignment="1" applyProtection="1">
      <alignment horizontal="center" vertical="top" wrapText="1"/>
    </xf>
    <xf numFmtId="165" fontId="29" fillId="15" borderId="23" xfId="0" applyNumberFormat="1" applyFont="1" applyFill="1" applyBorder="1" applyAlignment="1">
      <alignment horizontal="center" vertical="top" wrapText="1"/>
    </xf>
    <xf numFmtId="40" fontId="28" fillId="15" borderId="215" xfId="0" applyNumberFormat="1" applyFont="1" applyFill="1" applyBorder="1" applyAlignment="1">
      <alignment vertical="top" wrapText="1"/>
    </xf>
    <xf numFmtId="4" fontId="29" fillId="15" borderId="63" xfId="0" applyNumberFormat="1" applyFont="1" applyFill="1" applyBorder="1" applyAlignment="1">
      <alignment vertical="top" wrapText="1"/>
    </xf>
    <xf numFmtId="0" fontId="33" fillId="15" borderId="34" xfId="0" applyFont="1" applyFill="1" applyBorder="1" applyAlignment="1">
      <alignment horizontal="center" vertical="top" wrapText="1"/>
    </xf>
    <xf numFmtId="4" fontId="32" fillId="15" borderId="63" xfId="0" applyNumberFormat="1" applyFont="1" applyFill="1" applyBorder="1" applyAlignment="1">
      <alignment vertical="top" wrapText="1"/>
    </xf>
    <xf numFmtId="4" fontId="32" fillId="15" borderId="34" xfId="0" applyNumberFormat="1" applyFont="1" applyFill="1" applyBorder="1" applyAlignment="1">
      <alignment vertical="top" wrapText="1"/>
    </xf>
    <xf numFmtId="40" fontId="28" fillId="15" borderId="218" xfId="0" applyNumberFormat="1" applyFont="1" applyFill="1" applyBorder="1" applyAlignment="1">
      <alignment vertical="top" wrapText="1"/>
    </xf>
    <xf numFmtId="40" fontId="28" fillId="15" borderId="219" xfId="0" applyNumberFormat="1" applyFont="1" applyFill="1" applyBorder="1" applyAlignment="1">
      <alignment vertical="top" wrapText="1"/>
    </xf>
    <xf numFmtId="0" fontId="14" fillId="8" borderId="63" xfId="0" applyFont="1" applyFill="1" applyBorder="1" applyAlignment="1">
      <alignment horizontal="center" vertical="top" wrapText="1"/>
    </xf>
    <xf numFmtId="0" fontId="7" fillId="21" borderId="51" xfId="0" applyFont="1" applyFill="1" applyBorder="1" applyAlignment="1">
      <alignment vertical="top" wrapText="1"/>
    </xf>
    <xf numFmtId="49" fontId="6" fillId="21" borderId="22" xfId="0" applyNumberFormat="1" applyFont="1" applyFill="1" applyBorder="1" applyAlignment="1">
      <alignment horizontal="left" vertical="top" wrapText="1"/>
    </xf>
    <xf numFmtId="49" fontId="6" fillId="21" borderId="74" xfId="0" applyNumberFormat="1" applyFont="1" applyFill="1" applyBorder="1" applyAlignment="1">
      <alignment horizontal="left" vertical="top" wrapText="1"/>
    </xf>
    <xf numFmtId="0" fontId="7" fillId="21" borderId="7" xfId="0" applyFont="1" applyFill="1" applyBorder="1" applyAlignment="1">
      <alignment vertical="top" wrapText="1"/>
    </xf>
    <xf numFmtId="0" fontId="6" fillId="21" borderId="7" xfId="0" applyFont="1" applyFill="1" applyBorder="1" applyAlignment="1">
      <alignment horizontal="center" vertical="top" wrapText="1"/>
    </xf>
    <xf numFmtId="49" fontId="6" fillId="21" borderId="0" xfId="0" applyNumberFormat="1" applyFont="1" applyFill="1" applyAlignment="1">
      <alignment horizontal="left" vertical="top" wrapText="1"/>
    </xf>
    <xf numFmtId="0" fontId="25" fillId="21" borderId="51" xfId="0" applyFont="1" applyFill="1" applyBorder="1" applyAlignment="1">
      <alignment vertical="top" wrapText="1"/>
    </xf>
    <xf numFmtId="0" fontId="7" fillId="21" borderId="21" xfId="0" applyFont="1" applyFill="1" applyBorder="1" applyAlignment="1">
      <alignment vertical="top" wrapText="1"/>
    </xf>
    <xf numFmtId="0" fontId="7" fillId="21" borderId="34" xfId="0" applyFont="1" applyFill="1" applyBorder="1" applyAlignment="1">
      <alignment vertical="top" wrapText="1"/>
    </xf>
    <xf numFmtId="0" fontId="6" fillId="21" borderId="64" xfId="0" applyFont="1" applyFill="1" applyBorder="1" applyAlignment="1">
      <alignment vertical="top" wrapText="1"/>
    </xf>
    <xf numFmtId="0" fontId="12" fillId="21" borderId="21" xfId="0" applyFont="1" applyFill="1" applyBorder="1" applyAlignment="1">
      <alignment vertical="top" wrapText="1"/>
    </xf>
    <xf numFmtId="0" fontId="12" fillId="21" borderId="34" xfId="0" applyFont="1" applyFill="1" applyBorder="1" applyAlignment="1">
      <alignment vertical="top" wrapText="1"/>
    </xf>
    <xf numFmtId="14" fontId="5" fillId="15" borderId="34" xfId="0" applyNumberFormat="1" applyFont="1" applyFill="1" applyBorder="1" applyAlignment="1">
      <alignment vertical="top" wrapText="1"/>
    </xf>
    <xf numFmtId="0" fontId="25" fillId="0" borderId="55" xfId="0" applyFont="1" applyBorder="1" applyAlignment="1">
      <alignment horizontal="center" vertical="top" wrapText="1"/>
    </xf>
    <xf numFmtId="0" fontId="14" fillId="15" borderId="214" xfId="0" applyFont="1" applyFill="1" applyBorder="1" applyAlignment="1">
      <alignment horizontal="center" vertical="top" wrapText="1"/>
    </xf>
    <xf numFmtId="0" fontId="14" fillId="15" borderId="212" xfId="0" applyFont="1" applyFill="1" applyBorder="1" applyAlignment="1">
      <alignment horizontal="center" vertical="top" wrapText="1"/>
    </xf>
    <xf numFmtId="14" fontId="5" fillId="15" borderId="212" xfId="0" applyNumberFormat="1" applyFont="1" applyFill="1" applyBorder="1" applyAlignment="1">
      <alignment horizontal="center" vertical="top" wrapText="1"/>
    </xf>
    <xf numFmtId="165" fontId="5" fillId="15" borderId="212" xfId="0" applyNumberFormat="1" applyFont="1" applyFill="1" applyBorder="1" applyAlignment="1">
      <alignment horizontal="center" vertical="top" wrapText="1"/>
    </xf>
    <xf numFmtId="182" fontId="5" fillId="15" borderId="212" xfId="1" applyNumberFormat="1" applyFont="1" applyFill="1" applyBorder="1" applyAlignment="1" applyProtection="1">
      <alignment horizontal="center" vertical="top" wrapText="1"/>
    </xf>
    <xf numFmtId="0" fontId="5" fillId="15" borderId="216" xfId="0" applyFont="1" applyFill="1" applyBorder="1" applyAlignment="1">
      <alignment vertical="top" wrapText="1"/>
    </xf>
    <xf numFmtId="0" fontId="5" fillId="15" borderId="214" xfId="0" applyFont="1" applyFill="1" applyBorder="1" applyAlignment="1">
      <alignment vertical="top" wrapText="1"/>
    </xf>
    <xf numFmtId="0" fontId="5" fillId="15" borderId="212" xfId="0" applyFont="1" applyFill="1" applyBorder="1" applyAlignment="1">
      <alignment vertical="top" wrapText="1"/>
    </xf>
    <xf numFmtId="14" fontId="5" fillId="15" borderId="216" xfId="0" applyNumberFormat="1" applyFont="1" applyFill="1" applyBorder="1" applyAlignment="1">
      <alignment horizontal="center" vertical="top" wrapText="1"/>
    </xf>
    <xf numFmtId="0" fontId="33" fillId="15" borderId="214" xfId="0" applyFont="1" applyFill="1" applyBorder="1" applyAlignment="1">
      <alignment vertical="top" wrapText="1"/>
    </xf>
    <xf numFmtId="0" fontId="33" fillId="15" borderId="216" xfId="0" applyFont="1" applyFill="1" applyBorder="1" applyAlignment="1">
      <alignment vertical="top" wrapText="1"/>
    </xf>
    <xf numFmtId="4" fontId="5" fillId="15" borderId="214" xfId="0" applyNumberFormat="1" applyFont="1" applyFill="1" applyBorder="1" applyAlignment="1">
      <alignment vertical="top" wrapText="1"/>
    </xf>
    <xf numFmtId="4" fontId="32" fillId="15" borderId="212" xfId="0" applyNumberFormat="1" applyFont="1" applyFill="1" applyBorder="1" applyAlignment="1">
      <alignment vertical="top" wrapText="1"/>
    </xf>
    <xf numFmtId="4" fontId="33" fillId="15" borderId="216" xfId="0" applyNumberFormat="1" applyFont="1" applyFill="1" applyBorder="1" applyAlignment="1">
      <alignment vertical="top" wrapText="1"/>
    </xf>
    <xf numFmtId="4" fontId="33" fillId="10" borderId="216" xfId="0" applyNumberFormat="1" applyFont="1" applyFill="1" applyBorder="1" applyAlignment="1">
      <alignment vertical="top" wrapText="1"/>
    </xf>
    <xf numFmtId="4" fontId="14" fillId="15" borderId="214" xfId="0" applyNumberFormat="1" applyFont="1" applyFill="1" applyBorder="1" applyAlignment="1">
      <alignment vertical="top" wrapText="1"/>
    </xf>
    <xf numFmtId="4" fontId="28" fillId="15" borderId="216" xfId="0" applyNumberFormat="1" applyFont="1" applyFill="1" applyBorder="1" applyAlignment="1">
      <alignment vertical="top" wrapText="1"/>
    </xf>
    <xf numFmtId="165" fontId="28" fillId="15" borderId="212" xfId="0" applyNumberFormat="1" applyFont="1" applyFill="1" applyBorder="1" applyAlignment="1">
      <alignment horizontal="center" vertical="top" wrapText="1"/>
    </xf>
    <xf numFmtId="182" fontId="28" fillId="15" borderId="216" xfId="1" applyNumberFormat="1" applyFont="1" applyFill="1" applyBorder="1" applyAlignment="1" applyProtection="1">
      <alignment horizontal="center" vertical="top" wrapText="1"/>
    </xf>
    <xf numFmtId="40" fontId="33" fillId="15" borderId="214" xfId="0" applyNumberFormat="1" applyFont="1" applyFill="1" applyBorder="1" applyAlignment="1">
      <alignment vertical="top" wrapText="1"/>
    </xf>
    <xf numFmtId="40" fontId="33" fillId="15" borderId="212" xfId="0" applyNumberFormat="1" applyFont="1" applyFill="1" applyBorder="1" applyAlignment="1">
      <alignment vertical="top" wrapText="1"/>
    </xf>
    <xf numFmtId="40" fontId="28" fillId="15" borderId="221" xfId="0" applyNumberFormat="1" applyFont="1" applyFill="1" applyBorder="1" applyAlignment="1">
      <alignment vertical="top" wrapText="1"/>
    </xf>
    <xf numFmtId="0" fontId="5" fillId="15" borderId="210" xfId="0" applyFont="1" applyFill="1" applyBorder="1" applyAlignment="1">
      <alignment vertical="top" wrapText="1"/>
    </xf>
    <xf numFmtId="40" fontId="28" fillId="0" borderId="222" xfId="0" applyNumberFormat="1" applyFont="1" applyBorder="1" applyAlignment="1">
      <alignment vertical="top" wrapText="1"/>
    </xf>
    <xf numFmtId="14" fontId="44" fillId="0" borderId="23" xfId="0" applyNumberFormat="1" applyFont="1" applyBorder="1" applyAlignment="1">
      <alignment horizontal="center" vertical="top" wrapText="1"/>
    </xf>
    <xf numFmtId="0" fontId="5" fillId="0" borderId="224" xfId="0" applyFont="1" applyBorder="1" applyAlignment="1">
      <alignment vertical="top" wrapText="1"/>
    </xf>
    <xf numFmtId="182" fontId="33" fillId="0" borderId="223" xfId="1" applyNumberFormat="1" applyFont="1" applyFill="1" applyBorder="1" applyAlignment="1" applyProtection="1">
      <alignment horizontal="center" vertical="top" wrapText="1"/>
    </xf>
    <xf numFmtId="4" fontId="29" fillId="0" borderId="63" xfId="0" applyNumberFormat="1" applyFont="1" applyBorder="1" applyAlignment="1">
      <alignment vertical="top" wrapText="1"/>
    </xf>
    <xf numFmtId="4" fontId="29" fillId="15" borderId="34" xfId="0" applyNumberFormat="1" applyFont="1" applyFill="1" applyBorder="1" applyAlignment="1">
      <alignment vertical="top" wrapText="1"/>
    </xf>
    <xf numFmtId="0" fontId="89" fillId="0" borderId="34" xfId="0" applyFont="1" applyBorder="1" applyAlignment="1">
      <alignment vertical="top" wrapText="1"/>
    </xf>
    <xf numFmtId="0" fontId="24" fillId="0" borderId="34" xfId="0" applyFont="1" applyBorder="1" applyAlignment="1">
      <alignment vertical="top" wrapText="1"/>
    </xf>
    <xf numFmtId="0" fontId="5" fillId="21" borderId="34" xfId="0" applyFont="1" applyFill="1" applyBorder="1" applyAlignment="1">
      <alignment vertical="top" wrapText="1"/>
    </xf>
    <xf numFmtId="0" fontId="5" fillId="21" borderId="63" xfId="0" applyFont="1" applyFill="1" applyBorder="1" applyAlignment="1">
      <alignment vertical="top" wrapText="1"/>
    </xf>
    <xf numFmtId="0" fontId="14" fillId="21" borderId="63" xfId="0" applyFont="1" applyFill="1" applyBorder="1" applyAlignment="1">
      <alignment horizontal="center" vertical="top" wrapText="1"/>
    </xf>
    <xf numFmtId="0" fontId="14" fillId="21" borderId="23" xfId="0" applyFont="1" applyFill="1" applyBorder="1" applyAlignment="1">
      <alignment horizontal="center" vertical="top" wrapText="1"/>
    </xf>
    <xf numFmtId="14" fontId="5" fillId="21" borderId="23" xfId="0" applyNumberFormat="1" applyFont="1" applyFill="1" applyBorder="1" applyAlignment="1">
      <alignment horizontal="center" vertical="top" wrapText="1"/>
    </xf>
    <xf numFmtId="165" fontId="5" fillId="21" borderId="23" xfId="0" applyNumberFormat="1" applyFont="1" applyFill="1" applyBorder="1" applyAlignment="1">
      <alignment horizontal="center" vertical="top" wrapText="1"/>
    </xf>
    <xf numFmtId="182" fontId="5" fillId="21" borderId="23" xfId="1" applyNumberFormat="1" applyFont="1" applyFill="1" applyBorder="1" applyAlignment="1" applyProtection="1">
      <alignment horizontal="center" vertical="top" wrapText="1"/>
    </xf>
    <xf numFmtId="165" fontId="5" fillId="10" borderId="23" xfId="0" applyNumberFormat="1" applyFont="1" applyFill="1" applyBorder="1" applyAlignment="1">
      <alignment horizontal="center" vertical="top" wrapText="1"/>
    </xf>
    <xf numFmtId="182" fontId="5" fillId="10" borderId="23" xfId="1" applyNumberFormat="1" applyFont="1" applyFill="1" applyBorder="1" applyAlignment="1" applyProtection="1">
      <alignment horizontal="center" vertical="top" wrapText="1"/>
    </xf>
    <xf numFmtId="182" fontId="29" fillId="0" borderId="23" xfId="1" applyNumberFormat="1" applyFont="1" applyFill="1" applyBorder="1" applyAlignment="1" applyProtection="1">
      <alignment horizontal="center" vertical="top" wrapText="1"/>
    </xf>
    <xf numFmtId="0" fontId="25" fillId="0" borderId="63" xfId="0" applyFont="1" applyBorder="1" applyAlignment="1">
      <alignment vertical="top" wrapText="1"/>
    </xf>
    <xf numFmtId="0" fontId="14" fillId="0" borderId="227" xfId="0" applyFont="1" applyBorder="1" applyAlignment="1">
      <alignment horizontal="center" vertical="top" wrapText="1"/>
    </xf>
    <xf numFmtId="14" fontId="5" fillId="0" borderId="227" xfId="0" applyNumberFormat="1" applyFont="1" applyBorder="1" applyAlignment="1">
      <alignment horizontal="center" vertical="top" wrapText="1"/>
    </xf>
    <xf numFmtId="165" fontId="5" fillId="0" borderId="227" xfId="0" applyNumberFormat="1" applyFont="1" applyBorder="1" applyAlignment="1">
      <alignment horizontal="center" vertical="top" wrapText="1"/>
    </xf>
    <xf numFmtId="182" fontId="5" fillId="0" borderId="227" xfId="1" applyNumberFormat="1" applyFont="1" applyFill="1" applyBorder="1" applyAlignment="1" applyProtection="1">
      <alignment horizontal="center" vertical="top" wrapText="1"/>
    </xf>
    <xf numFmtId="0" fontId="5" fillId="0" borderId="226" xfId="0" applyFont="1" applyBorder="1" applyAlignment="1">
      <alignment vertical="top" wrapText="1"/>
    </xf>
    <xf numFmtId="0" fontId="5" fillId="0" borderId="227" xfId="0" applyFont="1" applyBorder="1" applyAlignment="1">
      <alignment vertical="top" wrapText="1"/>
    </xf>
    <xf numFmtId="14" fontId="5" fillId="0" borderId="226" xfId="0" applyNumberFormat="1" applyFont="1" applyBorder="1" applyAlignment="1">
      <alignment horizontal="center" vertical="top" wrapText="1"/>
    </xf>
    <xf numFmtId="0" fontId="33" fillId="0" borderId="226" xfId="0" applyFont="1" applyBorder="1" applyAlignment="1">
      <alignment vertical="top" wrapText="1"/>
    </xf>
    <xf numFmtId="4" fontId="32" fillId="0" borderId="227" xfId="0" applyNumberFormat="1" applyFont="1" applyBorder="1" applyAlignment="1">
      <alignment vertical="top" wrapText="1"/>
    </xf>
    <xf numFmtId="4" fontId="33" fillId="0" borderId="226" xfId="0" applyNumberFormat="1" applyFont="1" applyBorder="1" applyAlignment="1">
      <alignment vertical="top" wrapText="1"/>
    </xf>
    <xf numFmtId="4" fontId="32" fillId="10" borderId="227" xfId="0" applyNumberFormat="1" applyFont="1" applyFill="1" applyBorder="1" applyAlignment="1">
      <alignment vertical="top" wrapText="1"/>
    </xf>
    <xf numFmtId="4" fontId="33" fillId="10" borderId="226" xfId="0" applyNumberFormat="1" applyFont="1" applyFill="1" applyBorder="1" applyAlignment="1">
      <alignment vertical="top" wrapText="1"/>
    </xf>
    <xf numFmtId="4" fontId="28" fillId="0" borderId="226" xfId="0" applyNumberFormat="1" applyFont="1" applyBorder="1" applyAlignment="1">
      <alignment vertical="top" wrapText="1"/>
    </xf>
    <xf numFmtId="165" fontId="28" fillId="0" borderId="227" xfId="0" applyNumberFormat="1" applyFont="1" applyBorder="1" applyAlignment="1">
      <alignment horizontal="center" vertical="top" wrapText="1"/>
    </xf>
    <xf numFmtId="182" fontId="28" fillId="0" borderId="226" xfId="1" applyNumberFormat="1" applyFont="1" applyFill="1" applyBorder="1" applyAlignment="1" applyProtection="1">
      <alignment horizontal="center" vertical="top" wrapText="1"/>
    </xf>
    <xf numFmtId="40" fontId="33" fillId="0" borderId="227" xfId="0" applyNumberFormat="1" applyFont="1" applyBorder="1" applyAlignment="1">
      <alignment vertical="top" wrapText="1"/>
    </xf>
    <xf numFmtId="40" fontId="33" fillId="10" borderId="227" xfId="0" applyNumberFormat="1" applyFont="1" applyFill="1" applyBorder="1" applyAlignment="1">
      <alignment vertical="top" wrapText="1"/>
    </xf>
    <xf numFmtId="40" fontId="28" fillId="0" borderId="228" xfId="0" applyNumberFormat="1" applyFont="1" applyBorder="1" applyAlignment="1">
      <alignment vertical="top" wrapText="1"/>
    </xf>
    <xf numFmtId="0" fontId="5" fillId="15" borderId="225" xfId="0" applyFont="1" applyFill="1" applyBorder="1" applyAlignment="1">
      <alignment vertical="top" wrapText="1"/>
    </xf>
    <xf numFmtId="0" fontId="33" fillId="10" borderId="63" xfId="0" applyFont="1" applyFill="1" applyBorder="1" applyAlignment="1">
      <alignment vertical="top" wrapText="1"/>
    </xf>
    <xf numFmtId="0" fontId="5" fillId="10" borderId="63" xfId="0" applyFont="1" applyFill="1" applyBorder="1" applyAlignment="1">
      <alignment vertical="top" wrapText="1"/>
    </xf>
    <xf numFmtId="177" fontId="35" fillId="12" borderId="46" xfId="1" applyNumberFormat="1" applyFont="1" applyFill="1" applyBorder="1" applyAlignment="1" applyProtection="1">
      <alignment horizontal="center" vertical="top" wrapText="1"/>
    </xf>
    <xf numFmtId="0" fontId="6" fillId="0" borderId="3" xfId="0" applyFont="1" applyBorder="1" applyAlignment="1">
      <alignment horizontal="center" vertical="top" wrapText="1"/>
    </xf>
    <xf numFmtId="0" fontId="26" fillId="0" borderId="3" xfId="0" applyFont="1" applyBorder="1" applyAlignment="1">
      <alignment horizontal="center" vertical="top" wrapText="1"/>
    </xf>
    <xf numFmtId="4" fontId="28" fillId="6" borderId="67" xfId="0" applyNumberFormat="1" applyFont="1" applyFill="1" applyBorder="1" applyAlignment="1">
      <alignment horizontal="center" vertical="top" wrapText="1"/>
    </xf>
    <xf numFmtId="4" fontId="28" fillId="6" borderId="66" xfId="0" applyNumberFormat="1" applyFont="1" applyFill="1" applyBorder="1" applyAlignment="1">
      <alignment horizontal="center" vertical="top" wrapText="1"/>
    </xf>
    <xf numFmtId="173" fontId="28" fillId="6" borderId="45" xfId="0" applyNumberFormat="1" applyFont="1" applyFill="1" applyBorder="1" applyAlignment="1">
      <alignment horizontal="center" vertical="top" wrapText="1"/>
    </xf>
    <xf numFmtId="0" fontId="28" fillId="6" borderId="45" xfId="0" applyFont="1" applyFill="1" applyBorder="1" applyAlignment="1">
      <alignment horizontal="center" vertical="top" wrapText="1"/>
    </xf>
    <xf numFmtId="165" fontId="28" fillId="6" borderId="45" xfId="0" applyNumberFormat="1" applyFont="1" applyFill="1" applyBorder="1" applyAlignment="1">
      <alignment horizontal="center" vertical="top" wrapText="1"/>
    </xf>
    <xf numFmtId="168" fontId="28" fillId="6" borderId="46" xfId="1" applyNumberFormat="1" applyFont="1" applyFill="1" applyBorder="1" applyAlignment="1" applyProtection="1">
      <alignment horizontal="center" vertical="top" wrapText="1"/>
    </xf>
    <xf numFmtId="173" fontId="28" fillId="0" borderId="32" xfId="0" applyNumberFormat="1" applyFont="1" applyBorder="1" applyAlignment="1">
      <alignment horizontal="center" vertical="top" wrapText="1"/>
    </xf>
    <xf numFmtId="0" fontId="28" fillId="0" borderId="32" xfId="0" applyFont="1" applyBorder="1" applyAlignment="1">
      <alignment horizontal="center" vertical="top" wrapText="1"/>
    </xf>
    <xf numFmtId="165" fontId="28" fillId="0" borderId="32" xfId="0" applyNumberFormat="1" applyFont="1" applyBorder="1" applyAlignment="1">
      <alignment horizontal="center" vertical="top" wrapText="1"/>
    </xf>
    <xf numFmtId="168" fontId="28" fillId="0" borderId="31" xfId="1" applyNumberFormat="1" applyFont="1" applyFill="1" applyBorder="1" applyAlignment="1" applyProtection="1">
      <alignment horizontal="center" vertical="top" wrapText="1"/>
    </xf>
    <xf numFmtId="4" fontId="28" fillId="0" borderId="66" xfId="0" applyNumberFormat="1" applyFont="1" applyBorder="1" applyAlignment="1">
      <alignment horizontal="center" vertical="top" wrapText="1"/>
    </xf>
    <xf numFmtId="173" fontId="28" fillId="0" borderId="45" xfId="0" applyNumberFormat="1" applyFont="1" applyBorder="1" applyAlignment="1">
      <alignment horizontal="center" vertical="top" wrapText="1"/>
    </xf>
    <xf numFmtId="0" fontId="28" fillId="0" borderId="45" xfId="0" applyFont="1" applyBorder="1" applyAlignment="1">
      <alignment horizontal="center" vertical="top" wrapText="1"/>
    </xf>
    <xf numFmtId="165" fontId="28" fillId="0" borderId="45" xfId="0" applyNumberFormat="1" applyFont="1" applyBorder="1" applyAlignment="1">
      <alignment horizontal="center" vertical="top" wrapText="1"/>
    </xf>
    <xf numFmtId="168" fontId="28" fillId="0" borderId="46" xfId="1" applyNumberFormat="1" applyFont="1" applyFill="1" applyBorder="1" applyAlignment="1" applyProtection="1">
      <alignment horizontal="center" vertical="top" wrapText="1"/>
    </xf>
    <xf numFmtId="173" fontId="33" fillId="6" borderId="35" xfId="0" applyNumberFormat="1" applyFont="1" applyFill="1" applyBorder="1" applyAlignment="1">
      <alignment horizontal="center" vertical="top" wrapText="1"/>
    </xf>
    <xf numFmtId="4" fontId="28" fillId="0" borderId="63" xfId="0" applyNumberFormat="1" applyFont="1" applyBorder="1" applyAlignment="1">
      <alignment horizontal="center" vertical="top" wrapText="1"/>
    </xf>
    <xf numFmtId="173" fontId="28" fillId="0" borderId="23" xfId="0" applyNumberFormat="1" applyFont="1" applyBorder="1" applyAlignment="1">
      <alignment horizontal="center" vertical="top" wrapText="1"/>
    </xf>
    <xf numFmtId="168" fontId="28" fillId="0" borderId="34" xfId="1" applyNumberFormat="1" applyFont="1" applyFill="1" applyBorder="1" applyAlignment="1" applyProtection="1">
      <alignment horizontal="center" vertical="top" wrapText="1"/>
    </xf>
    <xf numFmtId="4" fontId="28" fillId="0" borderId="67" xfId="0" applyNumberFormat="1" applyFont="1" applyBorder="1" applyAlignment="1">
      <alignment horizontal="center" vertical="top" wrapText="1"/>
    </xf>
    <xf numFmtId="173" fontId="28" fillId="0" borderId="35" xfId="0" applyNumberFormat="1" applyFont="1" applyBorder="1" applyAlignment="1">
      <alignment horizontal="center" vertical="top" wrapText="1"/>
    </xf>
    <xf numFmtId="0" fontId="28" fillId="0" borderId="35" xfId="0" applyFont="1" applyBorder="1" applyAlignment="1">
      <alignment horizontal="center" vertical="top" wrapText="1"/>
    </xf>
    <xf numFmtId="165" fontId="28" fillId="0" borderId="35" xfId="0" applyNumberFormat="1" applyFont="1" applyBorder="1" applyAlignment="1">
      <alignment horizontal="center" vertical="top" wrapText="1"/>
    </xf>
    <xf numFmtId="168" fontId="28" fillId="0" borderId="27" xfId="1" applyNumberFormat="1" applyFont="1" applyFill="1" applyBorder="1" applyAlignment="1" applyProtection="1">
      <alignment horizontal="center" vertical="top" wrapText="1"/>
    </xf>
    <xf numFmtId="173" fontId="28" fillId="6" borderId="23" xfId="0" applyNumberFormat="1" applyFont="1" applyFill="1" applyBorder="1" applyAlignment="1">
      <alignment horizontal="center" vertical="top" wrapText="1"/>
    </xf>
    <xf numFmtId="0" fontId="28" fillId="6" borderId="23" xfId="0" applyFont="1" applyFill="1" applyBorder="1" applyAlignment="1">
      <alignment horizontal="center" vertical="top" wrapText="1"/>
    </xf>
    <xf numFmtId="165" fontId="28" fillId="6" borderId="23" xfId="0" applyNumberFormat="1" applyFont="1" applyFill="1" applyBorder="1" applyAlignment="1">
      <alignment horizontal="center" vertical="top" wrapText="1"/>
    </xf>
    <xf numFmtId="168" fontId="28" fillId="6" borderId="34" xfId="1" applyNumberFormat="1" applyFont="1" applyFill="1" applyBorder="1" applyAlignment="1" applyProtection="1">
      <alignment horizontal="center" vertical="top" wrapText="1"/>
    </xf>
    <xf numFmtId="4" fontId="28" fillId="6" borderId="63" xfId="0" applyNumberFormat="1" applyFont="1" applyFill="1" applyBorder="1" applyAlignment="1">
      <alignment horizontal="center" vertical="top" wrapText="1"/>
    </xf>
    <xf numFmtId="0" fontId="28" fillId="0" borderId="67" xfId="0" applyFont="1" applyBorder="1" applyAlignment="1">
      <alignment horizontal="center" vertical="top" wrapText="1"/>
    </xf>
    <xf numFmtId="0" fontId="33" fillId="6" borderId="35" xfId="0" applyFont="1" applyFill="1" applyBorder="1" applyAlignment="1">
      <alignment horizontal="center" vertical="top" wrapText="1"/>
    </xf>
    <xf numFmtId="165" fontId="33" fillId="6" borderId="35" xfId="0" applyNumberFormat="1" applyFont="1" applyFill="1" applyBorder="1" applyAlignment="1">
      <alignment horizontal="center" vertical="top" wrapText="1"/>
    </xf>
    <xf numFmtId="168" fontId="33" fillId="6" borderId="27" xfId="1" applyNumberFormat="1" applyFont="1" applyFill="1" applyBorder="1" applyAlignment="1" applyProtection="1">
      <alignment horizontal="center" vertical="top" wrapText="1"/>
    </xf>
    <xf numFmtId="4" fontId="28" fillId="0" borderId="68" xfId="0" applyNumberFormat="1" applyFont="1" applyBorder="1" applyAlignment="1">
      <alignment horizontal="center" vertical="top" wrapText="1"/>
    </xf>
    <xf numFmtId="173" fontId="28" fillId="0" borderId="69" xfId="0" applyNumberFormat="1" applyFont="1" applyBorder="1" applyAlignment="1">
      <alignment horizontal="center" vertical="top" wrapText="1"/>
    </xf>
    <xf numFmtId="0" fontId="28" fillId="0" borderId="69" xfId="0" applyFont="1" applyBorder="1" applyAlignment="1">
      <alignment horizontal="center" vertical="top" wrapText="1"/>
    </xf>
    <xf numFmtId="165" fontId="28" fillId="0" borderId="69" xfId="0" applyNumberFormat="1" applyFont="1" applyBorder="1" applyAlignment="1">
      <alignment horizontal="center" vertical="top" wrapText="1"/>
    </xf>
    <xf numFmtId="168" fontId="28" fillId="0" borderId="58" xfId="1" applyNumberFormat="1" applyFont="1" applyFill="1" applyBorder="1" applyAlignment="1" applyProtection="1">
      <alignment horizontal="center" vertical="top" wrapText="1"/>
    </xf>
    <xf numFmtId="0" fontId="28" fillId="6" borderId="68" xfId="0" applyFont="1" applyFill="1" applyBorder="1" applyAlignment="1">
      <alignment horizontal="center" vertical="top" wrapText="1"/>
    </xf>
    <xf numFmtId="173" fontId="28" fillId="6" borderId="69" xfId="0" applyNumberFormat="1" applyFont="1" applyFill="1" applyBorder="1" applyAlignment="1">
      <alignment horizontal="center" vertical="top" wrapText="1"/>
    </xf>
    <xf numFmtId="0" fontId="28" fillId="6" borderId="69" xfId="0" applyFont="1" applyFill="1" applyBorder="1" applyAlignment="1">
      <alignment horizontal="center" vertical="top" wrapText="1"/>
    </xf>
    <xf numFmtId="165" fontId="28" fillId="6" borderId="69" xfId="0" applyNumberFormat="1" applyFont="1" applyFill="1" applyBorder="1" applyAlignment="1">
      <alignment horizontal="center" vertical="top" wrapText="1"/>
    </xf>
    <xf numFmtId="168" fontId="28" fillId="6" borderId="58" xfId="1" applyNumberFormat="1" applyFont="1" applyFill="1" applyBorder="1" applyAlignment="1" applyProtection="1">
      <alignment horizontal="center" vertical="top" wrapText="1"/>
    </xf>
    <xf numFmtId="168" fontId="28" fillId="0" borderId="73" xfId="1" applyNumberFormat="1" applyFont="1" applyFill="1" applyBorder="1" applyAlignment="1" applyProtection="1">
      <alignment horizontal="center" vertical="top" wrapText="1"/>
    </xf>
    <xf numFmtId="4" fontId="28" fillId="0" borderId="49" xfId="0" applyNumberFormat="1" applyFont="1" applyBorder="1" applyAlignment="1">
      <alignment horizontal="center" vertical="top" wrapText="1"/>
    </xf>
    <xf numFmtId="173" fontId="28" fillId="0" borderId="33" xfId="0" applyNumberFormat="1" applyFont="1" applyBorder="1" applyAlignment="1">
      <alignment horizontal="center" vertical="top" wrapText="1"/>
    </xf>
    <xf numFmtId="0" fontId="28" fillId="0" borderId="33" xfId="0" applyFont="1" applyBorder="1" applyAlignment="1">
      <alignment horizontal="center" vertical="top" wrapText="1"/>
    </xf>
    <xf numFmtId="165" fontId="28" fillId="0" borderId="33" xfId="0" applyNumberFormat="1" applyFont="1" applyBorder="1" applyAlignment="1">
      <alignment horizontal="center" vertical="top" wrapText="1"/>
    </xf>
    <xf numFmtId="168" fontId="28" fillId="0" borderId="2" xfId="1" applyNumberFormat="1" applyFont="1" applyFill="1" applyBorder="1" applyAlignment="1" applyProtection="1">
      <alignment horizontal="center" vertical="top" wrapText="1"/>
    </xf>
    <xf numFmtId="0" fontId="28" fillId="0" borderId="70" xfId="0" applyFont="1" applyBorder="1" applyAlignment="1">
      <alignment horizontal="center" vertical="top" wrapText="1"/>
    </xf>
    <xf numFmtId="0" fontId="28" fillId="0" borderId="61" xfId="0" applyFont="1" applyBorder="1" applyAlignment="1">
      <alignment horizontal="center" vertical="top" wrapText="1"/>
    </xf>
    <xf numFmtId="0" fontId="29" fillId="6" borderId="67" xfId="0" applyFont="1" applyFill="1" applyBorder="1" applyAlignment="1">
      <alignment horizontal="center" vertical="top" wrapText="1"/>
    </xf>
    <xf numFmtId="173" fontId="29" fillId="6" borderId="35" xfId="0" applyNumberFormat="1" applyFont="1" applyFill="1" applyBorder="1" applyAlignment="1">
      <alignment horizontal="center" vertical="top" wrapText="1"/>
    </xf>
    <xf numFmtId="0" fontId="29" fillId="6" borderId="35" xfId="0" applyFont="1" applyFill="1" applyBorder="1" applyAlignment="1">
      <alignment horizontal="center" vertical="top" wrapText="1"/>
    </xf>
    <xf numFmtId="165" fontId="29" fillId="6" borderId="35" xfId="0" applyNumberFormat="1" applyFont="1" applyFill="1" applyBorder="1" applyAlignment="1">
      <alignment horizontal="center" vertical="top" wrapText="1"/>
    </xf>
    <xf numFmtId="168" fontId="29" fillId="6" borderId="27" xfId="1" applyNumberFormat="1" applyFont="1" applyFill="1" applyBorder="1" applyAlignment="1" applyProtection="1">
      <alignment horizontal="center" vertical="top" wrapText="1"/>
    </xf>
    <xf numFmtId="0" fontId="28" fillId="15" borderId="66" xfId="0" applyFont="1" applyFill="1" applyBorder="1" applyAlignment="1">
      <alignment horizontal="center" vertical="top" wrapText="1"/>
    </xf>
    <xf numFmtId="173" fontId="28" fillId="15" borderId="45" xfId="0" applyNumberFormat="1" applyFont="1" applyFill="1" applyBorder="1" applyAlignment="1">
      <alignment horizontal="center" vertical="top" wrapText="1"/>
    </xf>
    <xf numFmtId="0" fontId="28" fillId="15" borderId="45" xfId="0" applyFont="1" applyFill="1" applyBorder="1" applyAlignment="1">
      <alignment horizontal="center" vertical="top" wrapText="1"/>
    </xf>
    <xf numFmtId="165" fontId="28" fillId="15" borderId="45" xfId="0" applyNumberFormat="1" applyFont="1" applyFill="1" applyBorder="1" applyAlignment="1">
      <alignment horizontal="center" vertical="top" wrapText="1"/>
    </xf>
    <xf numFmtId="168" fontId="28" fillId="15" borderId="46" xfId="1" applyNumberFormat="1" applyFont="1" applyFill="1" applyBorder="1" applyAlignment="1" applyProtection="1">
      <alignment horizontal="center" vertical="top" wrapText="1"/>
    </xf>
    <xf numFmtId="173" fontId="28" fillId="15" borderId="23" xfId="0" applyNumberFormat="1" applyFont="1" applyFill="1" applyBorder="1" applyAlignment="1">
      <alignment horizontal="center" vertical="top" wrapText="1"/>
    </xf>
    <xf numFmtId="0" fontId="28" fillId="15" borderId="23" xfId="0" applyFont="1" applyFill="1" applyBorder="1" applyAlignment="1">
      <alignment horizontal="center" vertical="top" wrapText="1"/>
    </xf>
    <xf numFmtId="168" fontId="28" fillId="15" borderId="34" xfId="1" applyNumberFormat="1" applyFont="1" applyFill="1" applyBorder="1" applyAlignment="1" applyProtection="1">
      <alignment horizontal="center" vertical="top" wrapText="1"/>
    </xf>
    <xf numFmtId="0" fontId="28" fillId="0" borderId="62" xfId="0" applyFont="1" applyBorder="1" applyAlignment="1">
      <alignment horizontal="center" vertical="top" wrapText="1"/>
    </xf>
    <xf numFmtId="0" fontId="28" fillId="0" borderId="80" xfId="0" applyFont="1" applyBorder="1" applyAlignment="1">
      <alignment horizontal="center" vertical="top" wrapText="1"/>
    </xf>
    <xf numFmtId="173" fontId="28" fillId="0" borderId="78" xfId="0" applyNumberFormat="1" applyFont="1" applyBorder="1" applyAlignment="1">
      <alignment horizontal="center" vertical="top" wrapText="1"/>
    </xf>
    <xf numFmtId="0" fontId="28" fillId="0" borderId="78" xfId="0" applyFont="1" applyBorder="1" applyAlignment="1">
      <alignment horizontal="center" vertical="top" wrapText="1"/>
    </xf>
    <xf numFmtId="165" fontId="28" fillId="0" borderId="78" xfId="0" applyNumberFormat="1" applyFont="1" applyBorder="1" applyAlignment="1">
      <alignment horizontal="center" vertical="top" wrapText="1"/>
    </xf>
    <xf numFmtId="168" fontId="28" fillId="0" borderId="79" xfId="1" applyNumberFormat="1" applyFont="1" applyFill="1" applyBorder="1" applyAlignment="1" applyProtection="1">
      <alignment horizontal="center" vertical="top" wrapText="1"/>
    </xf>
    <xf numFmtId="0" fontId="28" fillId="0" borderId="81" xfId="0" applyFont="1" applyBorder="1" applyAlignment="1">
      <alignment horizontal="center" vertical="top" wrapText="1"/>
    </xf>
    <xf numFmtId="173" fontId="28" fillId="0" borderId="82" xfId="0" applyNumberFormat="1" applyFont="1" applyBorder="1" applyAlignment="1">
      <alignment horizontal="center" vertical="top" wrapText="1"/>
    </xf>
    <xf numFmtId="0" fontId="28" fillId="0" borderId="82" xfId="0" applyFont="1" applyBorder="1" applyAlignment="1">
      <alignment horizontal="center" vertical="top" wrapText="1"/>
    </xf>
    <xf numFmtId="165" fontId="28" fillId="0" borderId="82" xfId="0" applyNumberFormat="1" applyFont="1" applyBorder="1" applyAlignment="1">
      <alignment horizontal="center" vertical="top" wrapText="1"/>
    </xf>
    <xf numFmtId="168" fontId="28" fillId="0" borderId="83" xfId="1" applyNumberFormat="1" applyFont="1" applyFill="1" applyBorder="1" applyAlignment="1" applyProtection="1">
      <alignment horizontal="center" vertical="top" wrapText="1"/>
    </xf>
    <xf numFmtId="0" fontId="28" fillId="6" borderId="85" xfId="0" applyFont="1" applyFill="1" applyBorder="1" applyAlignment="1">
      <alignment horizontal="center" vertical="top" wrapText="1"/>
    </xf>
    <xf numFmtId="173" fontId="28" fillId="6" borderId="86" xfId="0" applyNumberFormat="1" applyFont="1" applyFill="1" applyBorder="1" applyAlignment="1">
      <alignment horizontal="center" vertical="top" wrapText="1"/>
    </xf>
    <xf numFmtId="0" fontId="28" fillId="6" borderId="86" xfId="0" applyFont="1" applyFill="1" applyBorder="1" applyAlignment="1">
      <alignment horizontal="center" vertical="top" wrapText="1"/>
    </xf>
    <xf numFmtId="165" fontId="28" fillId="6" borderId="86" xfId="0" applyNumberFormat="1" applyFont="1" applyFill="1" applyBorder="1" applyAlignment="1">
      <alignment horizontal="center" vertical="top" wrapText="1"/>
    </xf>
    <xf numFmtId="168" fontId="28" fillId="6" borderId="84" xfId="1" applyNumberFormat="1" applyFont="1" applyFill="1" applyBorder="1" applyAlignment="1" applyProtection="1">
      <alignment horizontal="center" vertical="top" wrapText="1"/>
    </xf>
    <xf numFmtId="0" fontId="28" fillId="0" borderId="68" xfId="0" applyFont="1" applyBorder="1" applyAlignment="1">
      <alignment horizontal="center" vertical="top" wrapText="1"/>
    </xf>
    <xf numFmtId="168" fontId="28" fillId="6" borderId="89" xfId="1" applyNumberFormat="1" applyFont="1" applyFill="1" applyBorder="1" applyAlignment="1" applyProtection="1">
      <alignment horizontal="center" vertical="top" wrapText="1"/>
    </xf>
    <xf numFmtId="173" fontId="28" fillId="6" borderId="95" xfId="0" applyNumberFormat="1" applyFont="1" applyFill="1" applyBorder="1" applyAlignment="1">
      <alignment horizontal="center" vertical="top" wrapText="1"/>
    </xf>
    <xf numFmtId="0" fontId="28" fillId="6" borderId="95" xfId="0" applyFont="1" applyFill="1" applyBorder="1" applyAlignment="1">
      <alignment horizontal="center" vertical="top" wrapText="1"/>
    </xf>
    <xf numFmtId="165" fontId="28" fillId="6" borderId="95" xfId="0" applyNumberFormat="1" applyFont="1" applyFill="1" applyBorder="1" applyAlignment="1">
      <alignment horizontal="center" vertical="top" wrapText="1"/>
    </xf>
    <xf numFmtId="168" fontId="28" fillId="6" borderId="94" xfId="1" applyNumberFormat="1" applyFont="1" applyFill="1" applyBorder="1" applyAlignment="1" applyProtection="1">
      <alignment horizontal="center" vertical="top" wrapText="1"/>
    </xf>
    <xf numFmtId="173" fontId="28" fillId="0" borderId="97" xfId="0" applyNumberFormat="1" applyFont="1" applyBorder="1" applyAlignment="1">
      <alignment horizontal="center" vertical="top" wrapText="1"/>
    </xf>
    <xf numFmtId="0" fontId="28" fillId="0" borderId="97" xfId="0" applyFont="1" applyBorder="1" applyAlignment="1">
      <alignment horizontal="center" vertical="top" wrapText="1"/>
    </xf>
    <xf numFmtId="165" fontId="28" fillId="0" borderId="97" xfId="0" applyNumberFormat="1" applyFont="1" applyBorder="1" applyAlignment="1">
      <alignment horizontal="center" vertical="top" wrapText="1"/>
    </xf>
    <xf numFmtId="168" fontId="28" fillId="0" borderId="96" xfId="1" applyNumberFormat="1" applyFont="1" applyFill="1" applyBorder="1" applyAlignment="1" applyProtection="1">
      <alignment horizontal="center" vertical="top" wrapText="1"/>
    </xf>
    <xf numFmtId="14" fontId="28" fillId="6" borderId="63" xfId="0" applyNumberFormat="1" applyFont="1" applyFill="1" applyBorder="1" applyAlignment="1">
      <alignment horizontal="center" vertical="top" wrapText="1"/>
    </xf>
    <xf numFmtId="173" fontId="28" fillId="6" borderId="97" xfId="0" applyNumberFormat="1" applyFont="1" applyFill="1" applyBorder="1" applyAlignment="1">
      <alignment horizontal="center" vertical="top" wrapText="1"/>
    </xf>
    <xf numFmtId="0" fontId="28" fillId="6" borderId="97" xfId="0" applyFont="1" applyFill="1" applyBorder="1" applyAlignment="1">
      <alignment horizontal="center" vertical="top" wrapText="1"/>
    </xf>
    <xf numFmtId="165" fontId="28" fillId="6" borderId="97" xfId="0" applyNumberFormat="1" applyFont="1" applyFill="1" applyBorder="1" applyAlignment="1">
      <alignment horizontal="center" vertical="top" wrapText="1"/>
    </xf>
    <xf numFmtId="0" fontId="28" fillId="6" borderId="67" xfId="0" applyFont="1" applyFill="1" applyBorder="1" applyAlignment="1">
      <alignment horizontal="center" vertical="top" wrapText="1"/>
    </xf>
    <xf numFmtId="178" fontId="28" fillId="6" borderId="34" xfId="1" applyNumberFormat="1" applyFont="1" applyFill="1" applyBorder="1" applyAlignment="1" applyProtection="1">
      <alignment horizontal="center" vertical="top" wrapText="1"/>
    </xf>
    <xf numFmtId="178" fontId="28" fillId="6" borderId="96" xfId="1" applyNumberFormat="1" applyFont="1" applyFill="1" applyBorder="1" applyAlignment="1" applyProtection="1">
      <alignment horizontal="center" vertical="top" wrapText="1"/>
    </xf>
    <xf numFmtId="178" fontId="28" fillId="0" borderId="27" xfId="1" applyNumberFormat="1" applyFont="1" applyFill="1" applyBorder="1" applyAlignment="1" applyProtection="1">
      <alignment horizontal="center" vertical="top" wrapText="1"/>
    </xf>
    <xf numFmtId="178" fontId="28" fillId="0" borderId="34" xfId="1" applyNumberFormat="1" applyFont="1" applyFill="1" applyBorder="1" applyAlignment="1" applyProtection="1">
      <alignment horizontal="center" vertical="top" wrapText="1"/>
    </xf>
    <xf numFmtId="173" fontId="28" fillId="0" borderId="101" xfId="0" applyNumberFormat="1" applyFont="1" applyBorder="1" applyAlignment="1">
      <alignment horizontal="center" vertical="top" wrapText="1"/>
    </xf>
    <xf numFmtId="0" fontId="28" fillId="0" borderId="101" xfId="0" applyFont="1" applyBorder="1" applyAlignment="1">
      <alignment horizontal="center" vertical="top" wrapText="1"/>
    </xf>
    <xf numFmtId="165" fontId="28" fillId="0" borderId="101" xfId="0" applyNumberFormat="1" applyFont="1" applyBorder="1" applyAlignment="1">
      <alignment horizontal="center" vertical="top" wrapText="1"/>
    </xf>
    <xf numFmtId="178" fontId="28" fillId="0" borderId="100" xfId="1" applyNumberFormat="1" applyFont="1" applyFill="1" applyBorder="1" applyAlignment="1" applyProtection="1">
      <alignment horizontal="center" vertical="top" wrapText="1"/>
    </xf>
    <xf numFmtId="173" fontId="28" fillId="6" borderId="101" xfId="0" applyNumberFormat="1" applyFont="1" applyFill="1" applyBorder="1" applyAlignment="1">
      <alignment horizontal="center" vertical="top" wrapText="1"/>
    </xf>
    <xf numFmtId="0" fontId="28" fillId="6" borderId="101" xfId="0" applyFont="1" applyFill="1" applyBorder="1" applyAlignment="1">
      <alignment horizontal="center" vertical="top" wrapText="1"/>
    </xf>
    <xf numFmtId="165" fontId="28" fillId="6" borderId="101" xfId="0" applyNumberFormat="1" applyFont="1" applyFill="1" applyBorder="1" applyAlignment="1">
      <alignment horizontal="center" vertical="top" wrapText="1"/>
    </xf>
    <xf numFmtId="178" fontId="28" fillId="6" borderId="100" xfId="1" applyNumberFormat="1" applyFont="1" applyFill="1" applyBorder="1" applyAlignment="1" applyProtection="1">
      <alignment horizontal="center" vertical="top" wrapText="1"/>
    </xf>
    <xf numFmtId="167" fontId="28" fillId="0" borderId="34" xfId="1" applyNumberFormat="1" applyFont="1" applyFill="1" applyBorder="1" applyAlignment="1" applyProtection="1">
      <alignment horizontal="center" vertical="top" wrapText="1"/>
    </xf>
    <xf numFmtId="0" fontId="28" fillId="0" borderId="103" xfId="0" applyFont="1" applyBorder="1" applyAlignment="1">
      <alignment horizontal="center" vertical="top" wrapText="1"/>
    </xf>
    <xf numFmtId="173" fontId="28" fillId="0" borderId="104" xfId="0" applyNumberFormat="1" applyFont="1" applyBorder="1" applyAlignment="1">
      <alignment horizontal="center" vertical="top" wrapText="1"/>
    </xf>
    <xf numFmtId="0" fontId="28" fillId="0" borderId="104" xfId="0" applyFont="1" applyBorder="1" applyAlignment="1">
      <alignment horizontal="center" vertical="top" wrapText="1"/>
    </xf>
    <xf numFmtId="165" fontId="28" fillId="0" borderId="104" xfId="0" applyNumberFormat="1" applyFont="1" applyBorder="1" applyAlignment="1">
      <alignment horizontal="center" vertical="top" wrapText="1"/>
    </xf>
    <xf numFmtId="178" fontId="28" fillId="0" borderId="102" xfId="1" applyNumberFormat="1" applyFont="1" applyFill="1" applyBorder="1" applyAlignment="1" applyProtection="1">
      <alignment horizontal="center" vertical="top" wrapText="1"/>
    </xf>
    <xf numFmtId="0" fontId="28" fillId="6" borderId="103" xfId="0" applyFont="1" applyFill="1" applyBorder="1" applyAlignment="1">
      <alignment horizontal="center" vertical="top" wrapText="1"/>
    </xf>
    <xf numFmtId="173" fontId="28" fillId="6" borderId="109" xfId="0" applyNumberFormat="1" applyFont="1" applyFill="1" applyBorder="1" applyAlignment="1">
      <alignment horizontal="center" vertical="top" wrapText="1"/>
    </xf>
    <xf numFmtId="165" fontId="29" fillId="6" borderId="109" xfId="0" applyNumberFormat="1" applyFont="1" applyFill="1" applyBorder="1" applyAlignment="1">
      <alignment horizontal="center" vertical="top" wrapText="1"/>
    </xf>
    <xf numFmtId="178" fontId="29" fillId="6" borderId="108" xfId="1" applyNumberFormat="1" applyFont="1" applyFill="1" applyBorder="1" applyAlignment="1" applyProtection="1">
      <alignment horizontal="center" vertical="top" wrapText="1"/>
    </xf>
    <xf numFmtId="4" fontId="28" fillId="0" borderId="103" xfId="0" applyNumberFormat="1" applyFont="1" applyBorder="1" applyAlignment="1">
      <alignment horizontal="center" vertical="top" wrapText="1"/>
    </xf>
    <xf numFmtId="173" fontId="28" fillId="0" borderId="109" xfId="0" applyNumberFormat="1" applyFont="1" applyBorder="1" applyAlignment="1">
      <alignment horizontal="center" vertical="top" wrapText="1"/>
    </xf>
    <xf numFmtId="0" fontId="28" fillId="0" borderId="109" xfId="0" applyFont="1" applyBorder="1" applyAlignment="1">
      <alignment horizontal="center" vertical="top" wrapText="1"/>
    </xf>
    <xf numFmtId="165" fontId="28" fillId="0" borderId="109" xfId="0" applyNumberFormat="1" applyFont="1" applyBorder="1" applyAlignment="1">
      <alignment horizontal="center" vertical="top" wrapText="1"/>
    </xf>
    <xf numFmtId="178" fontId="28" fillId="0" borderId="108" xfId="1" applyNumberFormat="1" applyFont="1" applyFill="1" applyBorder="1" applyAlignment="1" applyProtection="1">
      <alignment horizontal="center" vertical="top" wrapText="1"/>
    </xf>
    <xf numFmtId="178" fontId="28" fillId="15" borderId="34" xfId="1" applyNumberFormat="1" applyFont="1" applyFill="1" applyBorder="1" applyAlignment="1" applyProtection="1">
      <alignment horizontal="center" vertical="top" wrapText="1"/>
    </xf>
    <xf numFmtId="178" fontId="29" fillId="15" borderId="34" xfId="1" applyNumberFormat="1" applyFont="1" applyFill="1" applyBorder="1" applyAlignment="1" applyProtection="1">
      <alignment horizontal="center" vertical="top" wrapText="1"/>
    </xf>
    <xf numFmtId="0" fontId="28" fillId="15" borderId="114" xfId="0" applyFont="1" applyFill="1" applyBorder="1" applyAlignment="1">
      <alignment horizontal="center" vertical="top" wrapText="1"/>
    </xf>
    <xf numFmtId="173" fontId="28" fillId="15" borderId="115" xfId="0" applyNumberFormat="1" applyFont="1" applyFill="1" applyBorder="1" applyAlignment="1">
      <alignment horizontal="center" vertical="top" wrapText="1"/>
    </xf>
    <xf numFmtId="0" fontId="28" fillId="15" borderId="115" xfId="0" applyFont="1" applyFill="1" applyBorder="1" applyAlignment="1">
      <alignment horizontal="center" vertical="top" wrapText="1"/>
    </xf>
    <xf numFmtId="165" fontId="28" fillId="15" borderId="115" xfId="0" applyNumberFormat="1" applyFont="1" applyFill="1" applyBorder="1" applyAlignment="1">
      <alignment horizontal="center" vertical="top" wrapText="1"/>
    </xf>
    <xf numFmtId="178" fontId="28" fillId="15" borderId="113" xfId="1" applyNumberFormat="1" applyFont="1" applyFill="1" applyBorder="1" applyAlignment="1" applyProtection="1">
      <alignment horizontal="center" vertical="top" wrapText="1"/>
    </xf>
    <xf numFmtId="0" fontId="28" fillId="0" borderId="114" xfId="0" applyFont="1" applyBorder="1" applyAlignment="1">
      <alignment horizontal="center" vertical="top" wrapText="1"/>
    </xf>
    <xf numFmtId="173" fontId="28" fillId="0" borderId="115" xfId="0" applyNumberFormat="1" applyFont="1" applyBorder="1" applyAlignment="1">
      <alignment horizontal="center" vertical="top" wrapText="1"/>
    </xf>
    <xf numFmtId="0" fontId="28" fillId="0" borderId="115" xfId="0" applyFont="1" applyBorder="1" applyAlignment="1">
      <alignment horizontal="center" vertical="top" wrapText="1"/>
    </xf>
    <xf numFmtId="165" fontId="28" fillId="0" borderId="115" xfId="0" applyNumberFormat="1" applyFont="1" applyBorder="1" applyAlignment="1">
      <alignment horizontal="center" vertical="top" wrapText="1"/>
    </xf>
    <xf numFmtId="178" fontId="28" fillId="0" borderId="113" xfId="1" applyNumberFormat="1" applyFont="1" applyFill="1" applyBorder="1" applyAlignment="1" applyProtection="1">
      <alignment horizontal="center" vertical="top" wrapText="1"/>
    </xf>
    <xf numFmtId="0" fontId="28" fillId="15" borderId="62" xfId="0" applyFont="1" applyFill="1" applyBorder="1" applyAlignment="1">
      <alignment horizontal="center" vertical="top" wrapText="1"/>
    </xf>
    <xf numFmtId="173" fontId="28" fillId="15" borderId="32" xfId="0" applyNumberFormat="1" applyFont="1" applyFill="1" applyBorder="1" applyAlignment="1">
      <alignment horizontal="center" vertical="top" wrapText="1"/>
    </xf>
    <xf numFmtId="0" fontId="28" fillId="15" borderId="32" xfId="0" applyFont="1" applyFill="1" applyBorder="1" applyAlignment="1">
      <alignment horizontal="center" vertical="top" wrapText="1"/>
    </xf>
    <xf numFmtId="165" fontId="29" fillId="15" borderId="32" xfId="0" applyNumberFormat="1" applyFont="1" applyFill="1" applyBorder="1" applyAlignment="1">
      <alignment horizontal="center" vertical="top" wrapText="1"/>
    </xf>
    <xf numFmtId="178" fontId="29" fillId="15" borderId="31" xfId="1" applyNumberFormat="1" applyFont="1" applyFill="1" applyBorder="1" applyAlignment="1" applyProtection="1">
      <alignment horizontal="center" vertical="top" wrapText="1"/>
    </xf>
    <xf numFmtId="0" fontId="28" fillId="15" borderId="121" xfId="0" applyFont="1" applyFill="1" applyBorder="1" applyAlignment="1">
      <alignment horizontal="center" vertical="top" wrapText="1"/>
    </xf>
    <xf numFmtId="173" fontId="28" fillId="15" borderId="122" xfId="0" applyNumberFormat="1" applyFont="1" applyFill="1" applyBorder="1" applyAlignment="1">
      <alignment horizontal="center" vertical="top" wrapText="1"/>
    </xf>
    <xf numFmtId="0" fontId="28" fillId="15" borderId="122" xfId="0" applyFont="1" applyFill="1" applyBorder="1" applyAlignment="1">
      <alignment horizontal="center" vertical="top" wrapText="1"/>
    </xf>
    <xf numFmtId="165" fontId="28" fillId="15" borderId="122" xfId="0" applyNumberFormat="1" applyFont="1" applyFill="1" applyBorder="1" applyAlignment="1">
      <alignment horizontal="center" vertical="top" wrapText="1"/>
    </xf>
    <xf numFmtId="178" fontId="28" fillId="15" borderId="120" xfId="1" applyNumberFormat="1" applyFont="1" applyFill="1" applyBorder="1" applyAlignment="1" applyProtection="1">
      <alignment horizontal="center" vertical="top" wrapText="1"/>
    </xf>
    <xf numFmtId="0" fontId="28" fillId="0" borderId="121" xfId="0" applyFont="1" applyBorder="1" applyAlignment="1">
      <alignment horizontal="center" vertical="top" wrapText="1"/>
    </xf>
    <xf numFmtId="173" fontId="28" fillId="0" borderId="123" xfId="0" applyNumberFormat="1" applyFont="1" applyBorder="1" applyAlignment="1">
      <alignment horizontal="center" vertical="top" wrapText="1"/>
    </xf>
    <xf numFmtId="0" fontId="28" fillId="0" borderId="123" xfId="0" applyFont="1" applyBorder="1" applyAlignment="1">
      <alignment horizontal="center" vertical="top" wrapText="1"/>
    </xf>
    <xf numFmtId="165" fontId="28" fillId="0" borderId="123" xfId="0" applyNumberFormat="1" applyFont="1" applyBorder="1" applyAlignment="1">
      <alignment horizontal="center" vertical="top" wrapText="1"/>
    </xf>
    <xf numFmtId="178" fontId="28" fillId="0" borderId="120" xfId="1" applyNumberFormat="1" applyFont="1" applyFill="1" applyBorder="1" applyAlignment="1" applyProtection="1">
      <alignment horizontal="center" vertical="top" wrapText="1"/>
    </xf>
    <xf numFmtId="14" fontId="28" fillId="0" borderId="63" xfId="0" applyNumberFormat="1" applyFont="1" applyBorder="1" applyAlignment="1">
      <alignment horizontal="center" vertical="top" wrapText="1"/>
    </xf>
    <xf numFmtId="178" fontId="28" fillId="0" borderId="124" xfId="1" applyNumberFormat="1" applyFont="1" applyFill="1" applyBorder="1" applyAlignment="1" applyProtection="1">
      <alignment horizontal="center" vertical="top" wrapText="1"/>
    </xf>
    <xf numFmtId="0" fontId="28" fillId="15" borderId="67" xfId="0" applyFont="1" applyFill="1" applyBorder="1" applyAlignment="1">
      <alignment horizontal="center" vertical="top" wrapText="1"/>
    </xf>
    <xf numFmtId="173" fontId="28" fillId="15" borderId="35" xfId="0" applyNumberFormat="1" applyFont="1" applyFill="1" applyBorder="1" applyAlignment="1">
      <alignment horizontal="center" vertical="top" wrapText="1"/>
    </xf>
    <xf numFmtId="178" fontId="28" fillId="15" borderId="27" xfId="1" applyNumberFormat="1" applyFont="1" applyFill="1" applyBorder="1" applyAlignment="1" applyProtection="1">
      <alignment horizontal="center" vertical="top" wrapText="1"/>
    </xf>
    <xf numFmtId="4" fontId="28" fillId="15" borderId="63" xfId="0" applyNumberFormat="1" applyFont="1" applyFill="1" applyBorder="1" applyAlignment="1">
      <alignment horizontal="center" vertical="top" wrapText="1"/>
    </xf>
    <xf numFmtId="180" fontId="28" fillId="15" borderId="34" xfId="1" applyNumberFormat="1" applyFont="1" applyFill="1" applyBorder="1" applyAlignment="1" applyProtection="1">
      <alignment horizontal="center" vertical="top" wrapText="1"/>
    </xf>
    <xf numFmtId="0" fontId="28" fillId="15" borderId="128" xfId="0" applyFont="1" applyFill="1" applyBorder="1" applyAlignment="1">
      <alignment horizontal="center" vertical="top" wrapText="1"/>
    </xf>
    <xf numFmtId="173" fontId="28" fillId="15" borderId="129" xfId="0" applyNumberFormat="1" applyFont="1" applyFill="1" applyBorder="1" applyAlignment="1">
      <alignment horizontal="center" vertical="top" wrapText="1"/>
    </xf>
    <xf numFmtId="0" fontId="28" fillId="15" borderId="129" xfId="0" applyFont="1" applyFill="1" applyBorder="1" applyAlignment="1">
      <alignment horizontal="center" vertical="top" wrapText="1"/>
    </xf>
    <xf numFmtId="180" fontId="28" fillId="15" borderId="127" xfId="1" applyNumberFormat="1" applyFont="1" applyFill="1" applyBorder="1" applyAlignment="1" applyProtection="1">
      <alignment horizontal="center" vertical="top" wrapText="1"/>
    </xf>
    <xf numFmtId="180" fontId="28" fillId="0" borderId="27" xfId="1" applyNumberFormat="1" applyFont="1" applyFill="1" applyBorder="1" applyAlignment="1" applyProtection="1">
      <alignment horizontal="center" vertical="top" wrapText="1"/>
    </xf>
    <xf numFmtId="180" fontId="28" fillId="0" borderId="34" xfId="1" applyNumberFormat="1" applyFont="1" applyFill="1" applyBorder="1" applyAlignment="1" applyProtection="1">
      <alignment horizontal="center" vertical="top" wrapText="1"/>
    </xf>
    <xf numFmtId="0" fontId="28" fillId="0" borderId="128" xfId="0" applyFont="1" applyBorder="1" applyAlignment="1">
      <alignment horizontal="center" vertical="top" wrapText="1"/>
    </xf>
    <xf numFmtId="173" fontId="28" fillId="0" borderId="135" xfId="0" applyNumberFormat="1" applyFont="1" applyBorder="1" applyAlignment="1">
      <alignment horizontal="center" vertical="top" wrapText="1"/>
    </xf>
    <xf numFmtId="0" fontId="28" fillId="0" borderId="135" xfId="0" applyFont="1" applyBorder="1" applyAlignment="1">
      <alignment horizontal="center" vertical="top" wrapText="1"/>
    </xf>
    <xf numFmtId="165" fontId="28" fillId="0" borderId="135" xfId="0" applyNumberFormat="1" applyFont="1" applyBorder="1" applyAlignment="1">
      <alignment horizontal="center" vertical="top" wrapText="1"/>
    </xf>
    <xf numFmtId="180" fontId="28" fillId="0" borderId="134" xfId="1" applyNumberFormat="1" applyFont="1" applyFill="1" applyBorder="1" applyAlignment="1" applyProtection="1">
      <alignment horizontal="center" vertical="top" wrapText="1"/>
    </xf>
    <xf numFmtId="4" fontId="28" fillId="15" borderId="67" xfId="0" applyNumberFormat="1" applyFont="1" applyFill="1" applyBorder="1" applyAlignment="1">
      <alignment horizontal="center" vertical="top" wrapText="1"/>
    </xf>
    <xf numFmtId="180" fontId="28" fillId="15" borderId="27" xfId="1" applyNumberFormat="1" applyFont="1" applyFill="1" applyBorder="1" applyAlignment="1" applyProtection="1">
      <alignment horizontal="center" vertical="top" wrapText="1"/>
    </xf>
    <xf numFmtId="173" fontId="28" fillId="15" borderId="137" xfId="0" applyNumberFormat="1" applyFont="1" applyFill="1" applyBorder="1" applyAlignment="1">
      <alignment horizontal="center" vertical="top" wrapText="1"/>
    </xf>
    <xf numFmtId="0" fontId="28" fillId="15" borderId="137" xfId="0" applyFont="1" applyFill="1" applyBorder="1" applyAlignment="1">
      <alignment horizontal="center" vertical="top" wrapText="1"/>
    </xf>
    <xf numFmtId="165" fontId="28" fillId="15" borderId="137" xfId="0" applyNumberFormat="1" applyFont="1" applyFill="1" applyBorder="1" applyAlignment="1">
      <alignment horizontal="center" vertical="top" wrapText="1"/>
    </xf>
    <xf numFmtId="180" fontId="28" fillId="15" borderId="136" xfId="1" applyNumberFormat="1" applyFont="1" applyFill="1" applyBorder="1" applyAlignment="1" applyProtection="1">
      <alignment horizontal="center" vertical="top" wrapText="1"/>
    </xf>
    <xf numFmtId="178" fontId="29" fillId="0" borderId="34" xfId="1" applyNumberFormat="1" applyFont="1" applyFill="1" applyBorder="1" applyAlignment="1" applyProtection="1">
      <alignment horizontal="center" vertical="top" wrapText="1"/>
    </xf>
    <xf numFmtId="4" fontId="28" fillId="0" borderId="128" xfId="0" applyNumberFormat="1" applyFont="1" applyBorder="1" applyAlignment="1">
      <alignment horizontal="center" vertical="top" wrapText="1"/>
    </xf>
    <xf numFmtId="173" fontId="28" fillId="0" borderId="140" xfId="0" applyNumberFormat="1" applyFont="1" applyBorder="1" applyAlignment="1">
      <alignment horizontal="center" vertical="top" wrapText="1"/>
    </xf>
    <xf numFmtId="0" fontId="28" fillId="0" borderId="140" xfId="0" applyFont="1" applyBorder="1" applyAlignment="1">
      <alignment horizontal="center" vertical="top" wrapText="1"/>
    </xf>
    <xf numFmtId="165" fontId="28" fillId="0" borderId="140" xfId="0" applyNumberFormat="1" applyFont="1" applyBorder="1" applyAlignment="1">
      <alignment horizontal="center" vertical="top" wrapText="1"/>
    </xf>
    <xf numFmtId="180" fontId="28" fillId="0" borderId="139" xfId="1" applyNumberFormat="1" applyFont="1" applyFill="1" applyBorder="1" applyAlignment="1" applyProtection="1">
      <alignment horizontal="center" vertical="top" wrapText="1"/>
    </xf>
    <xf numFmtId="173" fontId="28" fillId="15" borderId="140" xfId="0" applyNumberFormat="1" applyFont="1" applyFill="1" applyBorder="1" applyAlignment="1">
      <alignment horizontal="center" vertical="top" wrapText="1"/>
    </xf>
    <xf numFmtId="0" fontId="28" fillId="15" borderId="140" xfId="0" applyFont="1" applyFill="1" applyBorder="1" applyAlignment="1">
      <alignment horizontal="center" vertical="top" wrapText="1"/>
    </xf>
    <xf numFmtId="165" fontId="28" fillId="15" borderId="140" xfId="0" applyNumberFormat="1" applyFont="1" applyFill="1" applyBorder="1" applyAlignment="1">
      <alignment horizontal="center" vertical="top" wrapText="1"/>
    </xf>
    <xf numFmtId="180" fontId="28" fillId="15" borderId="139" xfId="1" applyNumberFormat="1" applyFont="1" applyFill="1" applyBorder="1" applyAlignment="1" applyProtection="1">
      <alignment horizontal="center" vertical="top" wrapText="1"/>
    </xf>
    <xf numFmtId="0" fontId="28" fillId="15" borderId="143" xfId="0" applyFont="1" applyFill="1" applyBorder="1" applyAlignment="1">
      <alignment horizontal="center" vertical="top" wrapText="1"/>
    </xf>
    <xf numFmtId="173" fontId="28" fillId="15" borderId="144" xfId="0" applyNumberFormat="1" applyFont="1" applyFill="1" applyBorder="1" applyAlignment="1">
      <alignment horizontal="center" vertical="top" wrapText="1"/>
    </xf>
    <xf numFmtId="0" fontId="28" fillId="15" borderId="144" xfId="0" applyFont="1" applyFill="1" applyBorder="1" applyAlignment="1">
      <alignment horizontal="center" vertical="top" wrapText="1"/>
    </xf>
    <xf numFmtId="165" fontId="33" fillId="15" borderId="144" xfId="0" applyNumberFormat="1" applyFont="1" applyFill="1" applyBorder="1" applyAlignment="1">
      <alignment horizontal="center" vertical="top" wrapText="1"/>
    </xf>
    <xf numFmtId="180" fontId="28" fillId="15" borderId="142" xfId="1" applyNumberFormat="1" applyFont="1" applyFill="1" applyBorder="1" applyAlignment="1" applyProtection="1">
      <alignment horizontal="center" vertical="top" wrapText="1"/>
    </xf>
    <xf numFmtId="0" fontId="28" fillId="0" borderId="116" xfId="0" applyFont="1" applyBorder="1" applyAlignment="1">
      <alignment horizontal="center" vertical="top" wrapText="1"/>
    </xf>
    <xf numFmtId="173" fontId="29" fillId="0" borderId="23" xfId="0" applyNumberFormat="1" applyFont="1" applyBorder="1" applyAlignment="1">
      <alignment horizontal="center" vertical="top" wrapText="1"/>
    </xf>
    <xf numFmtId="0" fontId="29" fillId="0" borderId="23" xfId="0" applyFont="1" applyBorder="1" applyAlignment="1">
      <alignment horizontal="center" vertical="top" wrapText="1"/>
    </xf>
    <xf numFmtId="0" fontId="28" fillId="0" borderId="146" xfId="0" applyFont="1" applyBorder="1" applyAlignment="1">
      <alignment horizontal="center" vertical="top" wrapText="1"/>
    </xf>
    <xf numFmtId="173" fontId="28" fillId="0" borderId="147" xfId="0" applyNumberFormat="1" applyFont="1" applyBorder="1" applyAlignment="1">
      <alignment horizontal="center" vertical="top" wrapText="1"/>
    </xf>
    <xf numFmtId="0" fontId="28" fillId="0" borderId="147" xfId="0" applyFont="1" applyBorder="1" applyAlignment="1">
      <alignment horizontal="center" vertical="top" wrapText="1"/>
    </xf>
    <xf numFmtId="165" fontId="28" fillId="0" borderId="147" xfId="0" applyNumberFormat="1" applyFont="1" applyBorder="1" applyAlignment="1">
      <alignment horizontal="center" vertical="top" wrapText="1"/>
    </xf>
    <xf numFmtId="180" fontId="28" fillId="0" borderId="145" xfId="1" applyNumberFormat="1" applyFont="1" applyFill="1" applyBorder="1" applyAlignment="1" applyProtection="1">
      <alignment horizontal="center" vertical="top" wrapText="1"/>
    </xf>
    <xf numFmtId="0" fontId="29" fillId="15" borderId="67" xfId="0" applyFont="1" applyFill="1" applyBorder="1" applyAlignment="1">
      <alignment horizontal="center" vertical="top" wrapText="1"/>
    </xf>
    <xf numFmtId="173" fontId="29" fillId="15" borderId="35" xfId="0" applyNumberFormat="1" applyFont="1" applyFill="1" applyBorder="1" applyAlignment="1">
      <alignment horizontal="center" vertical="top" wrapText="1"/>
    </xf>
    <xf numFmtId="0" fontId="29" fillId="15" borderId="35" xfId="0" applyFont="1" applyFill="1" applyBorder="1" applyAlignment="1">
      <alignment horizontal="center" vertical="top" wrapText="1"/>
    </xf>
    <xf numFmtId="165" fontId="29" fillId="15" borderId="35" xfId="0" applyNumberFormat="1" applyFont="1" applyFill="1" applyBorder="1" applyAlignment="1">
      <alignment horizontal="center" vertical="top" wrapText="1"/>
    </xf>
    <xf numFmtId="180" fontId="29" fillId="15" borderId="27" xfId="1" applyNumberFormat="1" applyFont="1" applyFill="1" applyBorder="1" applyAlignment="1" applyProtection="1">
      <alignment horizontal="center" vertical="top" wrapText="1"/>
    </xf>
    <xf numFmtId="0" fontId="28" fillId="15" borderId="153" xfId="0" applyFont="1" applyFill="1" applyBorder="1" applyAlignment="1">
      <alignment horizontal="center" vertical="top" wrapText="1"/>
    </xf>
    <xf numFmtId="173" fontId="28" fillId="15" borderId="154" xfId="0" applyNumberFormat="1" applyFont="1" applyFill="1" applyBorder="1" applyAlignment="1">
      <alignment horizontal="center" vertical="top" wrapText="1"/>
    </xf>
    <xf numFmtId="0" fontId="28" fillId="15" borderId="154" xfId="0" applyFont="1" applyFill="1" applyBorder="1" applyAlignment="1">
      <alignment horizontal="center" vertical="top" wrapText="1"/>
    </xf>
    <xf numFmtId="165" fontId="28" fillId="15" borderId="30" xfId="0" applyNumberFormat="1" applyFont="1" applyFill="1" applyBorder="1" applyAlignment="1">
      <alignment horizontal="center" vertical="top" wrapText="1"/>
    </xf>
    <xf numFmtId="180" fontId="28" fillId="15" borderId="8" xfId="1" applyNumberFormat="1" applyFont="1" applyFill="1" applyBorder="1" applyAlignment="1" applyProtection="1">
      <alignment horizontal="center" vertical="top" wrapText="1"/>
    </xf>
    <xf numFmtId="0" fontId="28" fillId="0" borderId="149" xfId="0" applyFont="1" applyBorder="1" applyAlignment="1">
      <alignment horizontal="center" vertical="top" wrapText="1"/>
    </xf>
    <xf numFmtId="173" fontId="28" fillId="0" borderId="150" xfId="0" applyNumberFormat="1" applyFont="1" applyBorder="1" applyAlignment="1">
      <alignment horizontal="center" vertical="top" wrapText="1"/>
    </xf>
    <xf numFmtId="0" fontId="28" fillId="0" borderId="150" xfId="0" applyFont="1" applyBorder="1" applyAlignment="1">
      <alignment horizontal="center" vertical="top" wrapText="1"/>
    </xf>
    <xf numFmtId="165" fontId="28" fillId="0" borderId="150" xfId="0" applyNumberFormat="1" applyFont="1" applyBorder="1" applyAlignment="1">
      <alignment horizontal="center" vertical="top" wrapText="1"/>
    </xf>
    <xf numFmtId="182" fontId="28" fillId="0" borderId="148" xfId="1" applyNumberFormat="1" applyFont="1" applyFill="1" applyBorder="1" applyAlignment="1" applyProtection="1">
      <alignment horizontal="center" vertical="top" wrapText="1"/>
    </xf>
    <xf numFmtId="0" fontId="28" fillId="15" borderId="156" xfId="0" applyFont="1" applyFill="1" applyBorder="1" applyAlignment="1">
      <alignment horizontal="center" vertical="top" wrapText="1"/>
    </xf>
    <xf numFmtId="173" fontId="28" fillId="15" borderId="158" xfId="0" applyNumberFormat="1" applyFont="1" applyFill="1" applyBorder="1" applyAlignment="1">
      <alignment horizontal="center" vertical="top" wrapText="1"/>
    </xf>
    <xf numFmtId="0" fontId="28" fillId="15" borderId="158" xfId="0" applyFont="1" applyFill="1" applyBorder="1" applyAlignment="1">
      <alignment horizontal="center" vertical="top" wrapText="1"/>
    </xf>
    <xf numFmtId="165" fontId="28" fillId="15" borderId="158" xfId="0" applyNumberFormat="1" applyFont="1" applyFill="1" applyBorder="1" applyAlignment="1">
      <alignment horizontal="center" vertical="top" wrapText="1"/>
    </xf>
    <xf numFmtId="182" fontId="28" fillId="0" borderId="27" xfId="1" applyNumberFormat="1" applyFont="1" applyFill="1" applyBorder="1" applyAlignment="1" applyProtection="1">
      <alignment horizontal="center" vertical="top" wrapText="1"/>
    </xf>
    <xf numFmtId="0" fontId="28" fillId="0" borderId="156" xfId="0" applyFont="1" applyBorder="1" applyAlignment="1">
      <alignment horizontal="center" vertical="top" wrapText="1"/>
    </xf>
    <xf numFmtId="173" fontId="28" fillId="0" borderId="163" xfId="0" applyNumberFormat="1" applyFont="1" applyBorder="1" applyAlignment="1">
      <alignment horizontal="center" vertical="top" wrapText="1"/>
    </xf>
    <xf numFmtId="0" fontId="28" fillId="0" borderId="163" xfId="0" applyFont="1" applyBorder="1" applyAlignment="1">
      <alignment horizontal="center" vertical="top" wrapText="1"/>
    </xf>
    <xf numFmtId="173" fontId="28" fillId="15" borderId="163" xfId="0" applyNumberFormat="1" applyFont="1" applyFill="1" applyBorder="1" applyAlignment="1">
      <alignment horizontal="center" vertical="top" wrapText="1"/>
    </xf>
    <xf numFmtId="0" fontId="28" fillId="15" borderId="163" xfId="0" applyFont="1" applyFill="1" applyBorder="1" applyAlignment="1">
      <alignment horizontal="center" vertical="top" wrapText="1"/>
    </xf>
    <xf numFmtId="165" fontId="28" fillId="15" borderId="163" xfId="0" applyNumberFormat="1" applyFont="1" applyFill="1" applyBorder="1" applyAlignment="1">
      <alignment horizontal="center" vertical="top" wrapText="1"/>
    </xf>
    <xf numFmtId="182" fontId="28" fillId="15" borderId="162" xfId="1" applyNumberFormat="1" applyFont="1" applyFill="1" applyBorder="1" applyAlignment="1" applyProtection="1">
      <alignment horizontal="center" vertical="top" wrapText="1"/>
    </xf>
    <xf numFmtId="0" fontId="5" fillId="0" borderId="159" xfId="0" applyFont="1" applyBorder="1" applyAlignment="1">
      <alignment vertical="top" wrapText="1"/>
    </xf>
    <xf numFmtId="0" fontId="28" fillId="15" borderId="186" xfId="0" applyFont="1" applyFill="1" applyBorder="1" applyAlignment="1">
      <alignment horizontal="center" vertical="top" wrapText="1"/>
    </xf>
    <xf numFmtId="173" fontId="28" fillId="15" borderId="187" xfId="0" applyNumberFormat="1" applyFont="1" applyFill="1" applyBorder="1" applyAlignment="1">
      <alignment horizontal="center" vertical="top" wrapText="1"/>
    </xf>
    <xf numFmtId="0" fontId="28" fillId="15" borderId="187" xfId="0" applyFont="1" applyFill="1" applyBorder="1" applyAlignment="1">
      <alignment horizontal="center" vertical="top" wrapText="1"/>
    </xf>
    <xf numFmtId="165" fontId="28" fillId="15" borderId="187" xfId="0" applyNumberFormat="1" applyFont="1" applyFill="1" applyBorder="1" applyAlignment="1">
      <alignment horizontal="center" vertical="top" wrapText="1"/>
    </xf>
    <xf numFmtId="182" fontId="28" fillId="15" borderId="185" xfId="1" applyNumberFormat="1" applyFont="1" applyFill="1" applyBorder="1" applyAlignment="1" applyProtection="1">
      <alignment horizontal="center" vertical="top" wrapText="1"/>
    </xf>
    <xf numFmtId="4" fontId="28" fillId="15" borderId="189" xfId="0" applyNumberFormat="1" applyFont="1" applyFill="1" applyBorder="1" applyAlignment="1">
      <alignment horizontal="center" vertical="top" wrapText="1"/>
    </xf>
    <xf numFmtId="173" fontId="28" fillId="15" borderId="190" xfId="0" applyNumberFormat="1" applyFont="1" applyFill="1" applyBorder="1" applyAlignment="1">
      <alignment horizontal="center" vertical="top" wrapText="1"/>
    </xf>
    <xf numFmtId="0" fontId="28" fillId="15" borderId="190" xfId="0" applyFont="1" applyFill="1" applyBorder="1" applyAlignment="1">
      <alignment horizontal="center" vertical="top" wrapText="1"/>
    </xf>
    <xf numFmtId="165" fontId="28" fillId="15" borderId="190" xfId="0" applyNumberFormat="1" applyFont="1" applyFill="1" applyBorder="1" applyAlignment="1">
      <alignment horizontal="center" vertical="top" wrapText="1"/>
    </xf>
    <xf numFmtId="182" fontId="28" fillId="15" borderId="188" xfId="1" applyNumberFormat="1" applyFont="1" applyFill="1" applyBorder="1" applyAlignment="1" applyProtection="1">
      <alignment horizontal="center" vertical="top" wrapText="1"/>
    </xf>
    <xf numFmtId="0" fontId="28" fillId="15" borderId="182" xfId="0" applyFont="1" applyFill="1" applyBorder="1" applyAlignment="1">
      <alignment horizontal="center" vertical="top" wrapText="1"/>
    </xf>
    <xf numFmtId="173" fontId="28" fillId="15" borderId="183" xfId="0" applyNumberFormat="1" applyFont="1" applyFill="1" applyBorder="1" applyAlignment="1">
      <alignment horizontal="center" vertical="top" wrapText="1"/>
    </xf>
    <xf numFmtId="0" fontId="28" fillId="15" borderId="183" xfId="0" applyFont="1" applyFill="1" applyBorder="1" applyAlignment="1">
      <alignment horizontal="center" vertical="top" wrapText="1"/>
    </xf>
    <xf numFmtId="0" fontId="28" fillId="0" borderId="192" xfId="0" applyFont="1" applyBorder="1" applyAlignment="1">
      <alignment horizontal="center" vertical="top" wrapText="1"/>
    </xf>
    <xf numFmtId="173" fontId="28" fillId="0" borderId="193" xfId="0" applyNumberFormat="1" applyFont="1" applyBorder="1" applyAlignment="1">
      <alignment horizontal="center" vertical="top" wrapText="1"/>
    </xf>
    <xf numFmtId="0" fontId="28" fillId="0" borderId="193" xfId="0" applyFont="1" applyBorder="1" applyAlignment="1">
      <alignment horizontal="center" vertical="top" wrapText="1"/>
    </xf>
    <xf numFmtId="173" fontId="29" fillId="15" borderId="209" xfId="0" applyNumberFormat="1" applyFont="1" applyFill="1" applyBorder="1" applyAlignment="1">
      <alignment horizontal="center" vertical="top" wrapText="1"/>
    </xf>
    <xf numFmtId="165" fontId="29" fillId="15" borderId="209" xfId="0" applyNumberFormat="1" applyFont="1" applyFill="1" applyBorder="1" applyAlignment="1">
      <alignment horizontal="center" vertical="top" wrapText="1"/>
    </xf>
    <xf numFmtId="180" fontId="29" fillId="15" borderId="207" xfId="1" applyNumberFormat="1" applyFont="1" applyFill="1" applyBorder="1" applyAlignment="1" applyProtection="1">
      <alignment horizontal="center" vertical="top" wrapText="1"/>
    </xf>
    <xf numFmtId="0" fontId="28" fillId="0" borderId="214" xfId="0" applyFont="1" applyBorder="1" applyAlignment="1">
      <alignment horizontal="center" vertical="top" wrapText="1"/>
    </xf>
    <xf numFmtId="173" fontId="28" fillId="0" borderId="212" xfId="0" applyNumberFormat="1" applyFont="1" applyBorder="1" applyAlignment="1">
      <alignment horizontal="center" vertical="top" wrapText="1"/>
    </xf>
    <xf numFmtId="0" fontId="28" fillId="0" borderId="212" xfId="0" applyFont="1" applyBorder="1" applyAlignment="1">
      <alignment horizontal="center" vertical="top" wrapText="1"/>
    </xf>
    <xf numFmtId="0" fontId="29" fillId="15" borderId="63" xfId="0" applyFont="1" applyFill="1" applyBorder="1" applyAlignment="1">
      <alignment horizontal="center" vertical="top" wrapText="1"/>
    </xf>
    <xf numFmtId="173" fontId="29" fillId="15" borderId="23" xfId="0" applyNumberFormat="1" applyFont="1" applyFill="1" applyBorder="1" applyAlignment="1">
      <alignment horizontal="center" vertical="top" wrapText="1"/>
    </xf>
    <xf numFmtId="0" fontId="29" fillId="15" borderId="23" xfId="0" applyFont="1" applyFill="1" applyBorder="1" applyAlignment="1">
      <alignment horizontal="center" vertical="top" wrapText="1"/>
    </xf>
    <xf numFmtId="0" fontId="28" fillId="15" borderId="214" xfId="0" applyFont="1" applyFill="1" applyBorder="1" applyAlignment="1">
      <alignment horizontal="center" vertical="top" wrapText="1"/>
    </xf>
    <xf numFmtId="173" fontId="28" fillId="15" borderId="212" xfId="0" applyNumberFormat="1" applyFont="1" applyFill="1" applyBorder="1" applyAlignment="1">
      <alignment horizontal="center" vertical="top" wrapText="1"/>
    </xf>
    <xf numFmtId="0" fontId="28" fillId="15" borderId="212" xfId="0" applyFont="1" applyFill="1" applyBorder="1" applyAlignment="1">
      <alignment horizontal="center" vertical="top" wrapText="1"/>
    </xf>
    <xf numFmtId="0" fontId="32" fillId="0" borderId="63" xfId="0" applyFont="1" applyBorder="1" applyAlignment="1">
      <alignment horizontal="center" vertical="top" wrapText="1"/>
    </xf>
    <xf numFmtId="173" fontId="28" fillId="0" borderId="227" xfId="0" applyNumberFormat="1" applyFont="1" applyBorder="1" applyAlignment="1">
      <alignment horizontal="center" vertical="top" wrapText="1"/>
    </xf>
    <xf numFmtId="0" fontId="28" fillId="0" borderId="227" xfId="0" applyFont="1" applyBorder="1" applyAlignment="1">
      <alignment horizontal="center" vertical="top" wrapText="1"/>
    </xf>
    <xf numFmtId="4" fontId="5" fillId="0" borderId="11" xfId="0" applyNumberFormat="1" applyFont="1" applyBorder="1" applyAlignment="1">
      <alignment vertical="top" wrapText="1"/>
    </xf>
    <xf numFmtId="0" fontId="35" fillId="12" borderId="128" xfId="0" applyFont="1" applyFill="1" applyBorder="1" applyAlignment="1">
      <alignment horizontal="center" vertical="top" wrapText="1"/>
    </xf>
    <xf numFmtId="173" fontId="35" fillId="12" borderId="129" xfId="0" applyNumberFormat="1" applyFont="1" applyFill="1" applyBorder="1" applyAlignment="1">
      <alignment horizontal="center" vertical="top"/>
    </xf>
    <xf numFmtId="0" fontId="35" fillId="12" borderId="129" xfId="0" applyFont="1" applyFill="1" applyBorder="1" applyAlignment="1">
      <alignment horizontal="center" vertical="top" wrapText="1"/>
    </xf>
    <xf numFmtId="0" fontId="28" fillId="13" borderId="68" xfId="0" applyFont="1" applyFill="1" applyBorder="1" applyAlignment="1">
      <alignment horizontal="center" vertical="top" wrapText="1"/>
    </xf>
    <xf numFmtId="173" fontId="28" fillId="13" borderId="69" xfId="0" applyNumberFormat="1" applyFont="1" applyFill="1" applyBorder="1" applyAlignment="1">
      <alignment horizontal="center" vertical="top" wrapText="1"/>
    </xf>
    <xf numFmtId="0" fontId="28" fillId="13" borderId="69" xfId="0" applyFont="1" applyFill="1" applyBorder="1" applyAlignment="1">
      <alignment horizontal="center" vertical="top" wrapText="1"/>
    </xf>
    <xf numFmtId="0" fontId="68" fillId="13" borderId="68" xfId="0" applyFont="1" applyFill="1" applyBorder="1" applyAlignment="1">
      <alignment horizontal="center" vertical="top" wrapText="1"/>
    </xf>
    <xf numFmtId="173" fontId="68" fillId="13" borderId="69" xfId="0" applyNumberFormat="1" applyFont="1" applyFill="1" applyBorder="1" applyAlignment="1">
      <alignment horizontal="center" vertical="top" wrapText="1"/>
    </xf>
    <xf numFmtId="0" fontId="68" fillId="13" borderId="69" xfId="0" applyFont="1" applyFill="1" applyBorder="1" applyAlignment="1">
      <alignment horizontal="center" vertical="top" wrapText="1"/>
    </xf>
    <xf numFmtId="0" fontId="33" fillId="0" borderId="67" xfId="0" applyFont="1" applyBorder="1" applyAlignment="1">
      <alignment horizontal="center" vertical="top" wrapText="1"/>
    </xf>
    <xf numFmtId="173" fontId="33" fillId="0" borderId="35" xfId="0" applyNumberFormat="1" applyFont="1" applyBorder="1" applyAlignment="1">
      <alignment horizontal="center" vertical="top" wrapText="1"/>
    </xf>
    <xf numFmtId="0" fontId="33" fillId="0" borderId="35" xfId="0" applyFont="1" applyBorder="1" applyAlignment="1">
      <alignment horizontal="center" vertical="top" wrapText="1"/>
    </xf>
    <xf numFmtId="0" fontId="29" fillId="0" borderId="67" xfId="0" applyFont="1" applyBorder="1" applyAlignment="1">
      <alignment horizontal="center" vertical="top" wrapText="1"/>
    </xf>
    <xf numFmtId="173" fontId="29" fillId="0" borderId="35" xfId="0" applyNumberFormat="1" applyFont="1" applyBorder="1" applyAlignment="1">
      <alignment horizontal="center" vertical="top" wrapText="1"/>
    </xf>
    <xf numFmtId="0" fontId="29" fillId="0" borderId="35" xfId="0" applyFont="1" applyBorder="1" applyAlignment="1">
      <alignment horizontal="center" vertical="top" wrapText="1"/>
    </xf>
    <xf numFmtId="0" fontId="7" fillId="0" borderId="201" xfId="0" applyFont="1" applyBorder="1" applyAlignment="1">
      <alignment vertical="top" wrapText="1"/>
    </xf>
    <xf numFmtId="0" fontId="25" fillId="0" borderId="199" xfId="0" applyFont="1" applyBorder="1" applyAlignment="1">
      <alignment vertical="top" wrapText="1"/>
    </xf>
    <xf numFmtId="0" fontId="26" fillId="0" borderId="199" xfId="0" applyFont="1" applyBorder="1" applyAlignment="1">
      <alignment horizontal="center" vertical="top" wrapText="1"/>
    </xf>
    <xf numFmtId="49" fontId="6" fillId="0" borderId="168" xfId="0" applyNumberFormat="1" applyFont="1" applyBorder="1" applyAlignment="1">
      <alignment horizontal="left" vertical="top"/>
    </xf>
    <xf numFmtId="0" fontId="7" fillId="0" borderId="199" xfId="0" applyFont="1" applyBorder="1" applyAlignment="1">
      <alignment vertical="top"/>
    </xf>
    <xf numFmtId="0" fontId="7" fillId="0" borderId="222" xfId="0" applyFont="1" applyBorder="1" applyAlignment="1">
      <alignment vertical="top" wrapText="1"/>
    </xf>
    <xf numFmtId="44" fontId="7" fillId="0" borderId="170" xfId="0" applyNumberFormat="1" applyFont="1" applyBorder="1" applyAlignment="1">
      <alignment vertical="top"/>
    </xf>
    <xf numFmtId="0" fontId="7" fillId="0" borderId="222" xfId="0" applyFont="1" applyBorder="1" applyAlignment="1">
      <alignment vertical="top"/>
    </xf>
    <xf numFmtId="44" fontId="6" fillId="0" borderId="170" xfId="0" applyNumberFormat="1" applyFont="1" applyBorder="1" applyAlignment="1">
      <alignment vertical="top"/>
    </xf>
    <xf numFmtId="0" fontId="6" fillId="0" borderId="222" xfId="0" applyFont="1" applyBorder="1" applyAlignment="1">
      <alignment horizontal="left" vertical="top"/>
    </xf>
    <xf numFmtId="0" fontId="7" fillId="0" borderId="222" xfId="0" applyFont="1" applyBorder="1" applyAlignment="1">
      <alignment horizontal="left" vertical="top"/>
    </xf>
    <xf numFmtId="0" fontId="7" fillId="0" borderId="201" xfId="0" applyFont="1" applyBorder="1" applyAlignment="1">
      <alignment vertical="top"/>
    </xf>
    <xf numFmtId="0" fontId="26" fillId="0" borderId="168" xfId="0" applyFont="1" applyBorder="1" applyAlignment="1">
      <alignment horizontal="center" vertical="top"/>
    </xf>
    <xf numFmtId="15" fontId="25" fillId="0" borderId="201" xfId="0" applyNumberFormat="1" applyFont="1" applyBorder="1" applyAlignment="1">
      <alignment horizontal="center" vertical="top"/>
    </xf>
    <xf numFmtId="0" fontId="25" fillId="0" borderId="222" xfId="0" applyFont="1" applyBorder="1" applyAlignment="1">
      <alignment horizontal="right" vertical="top"/>
    </xf>
    <xf numFmtId="44" fontId="25" fillId="0" borderId="170" xfId="2" applyFont="1" applyFill="1" applyBorder="1" applyAlignment="1" applyProtection="1">
      <alignment vertical="top"/>
    </xf>
    <xf numFmtId="0" fontId="25" fillId="0" borderId="222" xfId="0" applyFont="1" applyBorder="1" applyAlignment="1">
      <alignment vertical="top"/>
    </xf>
    <xf numFmtId="44" fontId="25" fillId="0" borderId="168" xfId="0" applyNumberFormat="1" applyFont="1" applyBorder="1" applyAlignment="1">
      <alignment vertical="top"/>
    </xf>
    <xf numFmtId="44" fontId="25" fillId="0" borderId="170" xfId="0" applyNumberFormat="1" applyFont="1" applyBorder="1" applyAlignment="1">
      <alignment vertical="top"/>
    </xf>
    <xf numFmtId="0" fontId="25" fillId="0" borderId="201" xfId="0" applyFont="1" applyBorder="1" applyAlignment="1">
      <alignment vertical="top"/>
    </xf>
    <xf numFmtId="166" fontId="7" fillId="10" borderId="222" xfId="0" applyNumberFormat="1" applyFont="1" applyFill="1" applyBorder="1" applyAlignment="1">
      <alignment horizontal="center" vertical="top"/>
    </xf>
    <xf numFmtId="0" fontId="7" fillId="10" borderId="222" xfId="0" applyFont="1" applyFill="1" applyBorder="1" applyAlignment="1">
      <alignment horizontal="right" vertical="top"/>
    </xf>
    <xf numFmtId="44" fontId="7" fillId="10" borderId="170" xfId="0" applyNumberFormat="1" applyFont="1" applyFill="1" applyBorder="1" applyAlignment="1">
      <alignment vertical="top"/>
    </xf>
    <xf numFmtId="0" fontId="7" fillId="10" borderId="222" xfId="0" applyFont="1" applyFill="1" applyBorder="1" applyAlignment="1">
      <alignment horizontal="left" vertical="top"/>
    </xf>
    <xf numFmtId="17" fontId="14" fillId="0" borderId="4" xfId="0" applyNumberFormat="1" applyFont="1" applyBorder="1" applyAlignment="1">
      <alignment horizontal="right" vertical="top" wrapText="1"/>
    </xf>
    <xf numFmtId="0" fontId="25" fillId="15" borderId="50" xfId="0" applyFont="1" applyFill="1" applyBorder="1" applyAlignment="1">
      <alignment vertical="top" wrapText="1"/>
    </xf>
    <xf numFmtId="0" fontId="25" fillId="15" borderId="69" xfId="0" applyFont="1" applyFill="1" applyBorder="1" applyAlignment="1">
      <alignment vertical="top" wrapText="1"/>
    </xf>
    <xf numFmtId="0" fontId="7" fillId="15" borderId="69" xfId="0" applyFont="1" applyFill="1" applyBorder="1" applyAlignment="1">
      <alignment vertical="top" wrapText="1"/>
    </xf>
    <xf numFmtId="17" fontId="25" fillId="10" borderId="58" xfId="0" applyNumberFormat="1" applyFont="1" applyFill="1" applyBorder="1" applyAlignment="1">
      <alignment vertical="top" wrapText="1"/>
    </xf>
    <xf numFmtId="166" fontId="7" fillId="15" borderId="55" xfId="0" applyNumberFormat="1" applyFont="1" applyFill="1" applyBorder="1" applyAlignment="1">
      <alignment horizontal="left" vertical="top" wrapText="1"/>
    </xf>
    <xf numFmtId="0" fontId="26" fillId="15" borderId="55" xfId="0" applyFont="1" applyFill="1" applyBorder="1" applyAlignment="1">
      <alignment horizontal="center" vertical="top" wrapText="1"/>
    </xf>
    <xf numFmtId="44" fontId="25" fillId="15" borderId="54" xfId="2" applyFont="1" applyFill="1" applyBorder="1" applyAlignment="1" applyProtection="1">
      <alignment vertical="top" wrapText="1"/>
    </xf>
    <xf numFmtId="44" fontId="25" fillId="15" borderId="55" xfId="0" applyNumberFormat="1" applyFont="1" applyFill="1" applyBorder="1" applyAlignment="1">
      <alignment vertical="top" wrapText="1"/>
    </xf>
    <xf numFmtId="0" fontId="25" fillId="15" borderId="57" xfId="0" applyFont="1" applyFill="1" applyBorder="1" applyAlignment="1">
      <alignment vertical="top" wrapText="1"/>
    </xf>
    <xf numFmtId="0" fontId="14" fillId="0" borderId="230" xfId="0" applyFont="1" applyBorder="1" applyAlignment="1">
      <alignment horizontal="center" vertical="top" wrapText="1"/>
    </xf>
    <xf numFmtId="0" fontId="14" fillId="0" borderId="231" xfId="0" applyFont="1" applyBorder="1" applyAlignment="1">
      <alignment horizontal="center" vertical="top" wrapText="1"/>
    </xf>
    <xf numFmtId="14" fontId="5" fillId="0" borderId="231" xfId="0" applyNumberFormat="1" applyFont="1" applyBorder="1" applyAlignment="1">
      <alignment horizontal="center" vertical="top" wrapText="1"/>
    </xf>
    <xf numFmtId="165" fontId="5" fillId="0" borderId="231" xfId="0" applyNumberFormat="1" applyFont="1" applyBorder="1" applyAlignment="1">
      <alignment horizontal="center" vertical="top" wrapText="1"/>
    </xf>
    <xf numFmtId="182" fontId="5" fillId="0" borderId="231" xfId="1" applyNumberFormat="1" applyFont="1" applyFill="1" applyBorder="1" applyAlignment="1" applyProtection="1">
      <alignment horizontal="center" vertical="top" wrapText="1"/>
    </xf>
    <xf numFmtId="0" fontId="5" fillId="0" borderId="229" xfId="0" applyFont="1" applyBorder="1" applyAlignment="1">
      <alignment vertical="top" wrapText="1"/>
    </xf>
    <xf numFmtId="0" fontId="5" fillId="0" borderId="230" xfId="0" applyFont="1" applyBorder="1" applyAlignment="1">
      <alignment vertical="top" wrapText="1"/>
    </xf>
    <xf numFmtId="0" fontId="5" fillId="0" borderId="231" xfId="0" applyFont="1" applyBorder="1" applyAlignment="1">
      <alignment vertical="top" wrapText="1"/>
    </xf>
    <xf numFmtId="14" fontId="5" fillId="0" borderId="229" xfId="0" applyNumberFormat="1" applyFont="1" applyBorder="1" applyAlignment="1">
      <alignment horizontal="center" vertical="top" wrapText="1"/>
    </xf>
    <xf numFmtId="0" fontId="33" fillId="0" borderId="230" xfId="0" applyFont="1" applyBorder="1" applyAlignment="1">
      <alignment vertical="top" wrapText="1"/>
    </xf>
    <xf numFmtId="0" fontId="33" fillId="0" borderId="229" xfId="0" applyFont="1" applyBorder="1" applyAlignment="1">
      <alignment vertical="top" wrapText="1"/>
    </xf>
    <xf numFmtId="4" fontId="5" fillId="0" borderId="230" xfId="0" applyNumberFormat="1" applyFont="1" applyBorder="1" applyAlignment="1">
      <alignment vertical="top" wrapText="1"/>
    </xf>
    <xf numFmtId="4" fontId="32" fillId="0" borderId="231" xfId="0" applyNumberFormat="1" applyFont="1" applyBorder="1" applyAlignment="1">
      <alignment vertical="top" wrapText="1"/>
    </xf>
    <xf numFmtId="4" fontId="33" fillId="0" borderId="229" xfId="0" applyNumberFormat="1" applyFont="1" applyBorder="1" applyAlignment="1">
      <alignment vertical="top" wrapText="1"/>
    </xf>
    <xf numFmtId="4" fontId="5" fillId="10" borderId="230" xfId="0" applyNumberFormat="1" applyFont="1" applyFill="1" applyBorder="1" applyAlignment="1">
      <alignment vertical="top" wrapText="1"/>
    </xf>
    <xf numFmtId="4" fontId="32" fillId="10" borderId="231" xfId="0" applyNumberFormat="1" applyFont="1" applyFill="1" applyBorder="1" applyAlignment="1">
      <alignment vertical="top" wrapText="1"/>
    </xf>
    <xf numFmtId="4" fontId="33" fillId="10" borderId="229" xfId="0" applyNumberFormat="1" applyFont="1" applyFill="1" applyBorder="1" applyAlignment="1">
      <alignment vertical="top" wrapText="1"/>
    </xf>
    <xf numFmtId="4" fontId="14" fillId="0" borderId="230" xfId="0" applyNumberFormat="1" applyFont="1" applyBorder="1" applyAlignment="1">
      <alignment vertical="top" wrapText="1"/>
    </xf>
    <xf numFmtId="0" fontId="28" fillId="0" borderId="230" xfId="0" applyFont="1" applyBorder="1" applyAlignment="1">
      <alignment horizontal="center" vertical="top" wrapText="1"/>
    </xf>
    <xf numFmtId="173" fontId="28" fillId="0" borderId="231" xfId="0" applyNumberFormat="1" applyFont="1" applyBorder="1" applyAlignment="1">
      <alignment horizontal="center" vertical="top" wrapText="1"/>
    </xf>
    <xf numFmtId="0" fontId="28" fillId="0" borderId="231" xfId="0" applyFont="1" applyBorder="1" applyAlignment="1">
      <alignment horizontal="center" vertical="top" wrapText="1"/>
    </xf>
    <xf numFmtId="165" fontId="28" fillId="0" borderId="231" xfId="0" applyNumberFormat="1" applyFont="1" applyBorder="1" applyAlignment="1">
      <alignment horizontal="center" vertical="top" wrapText="1"/>
    </xf>
    <xf numFmtId="182" fontId="28" fillId="0" borderId="229" xfId="1" applyNumberFormat="1" applyFont="1" applyFill="1" applyBorder="1" applyAlignment="1" applyProtection="1">
      <alignment horizontal="center" vertical="top" wrapText="1"/>
    </xf>
    <xf numFmtId="40" fontId="33" fillId="0" borderId="230" xfId="0" applyNumberFormat="1" applyFont="1" applyBorder="1" applyAlignment="1">
      <alignment vertical="top" wrapText="1"/>
    </xf>
    <xf numFmtId="40" fontId="33" fillId="0" borderId="231" xfId="0" applyNumberFormat="1" applyFont="1" applyBorder="1" applyAlignment="1">
      <alignment vertical="top" wrapText="1"/>
    </xf>
    <xf numFmtId="40" fontId="33" fillId="10" borderId="231" xfId="0" applyNumberFormat="1" applyFont="1" applyFill="1" applyBorder="1" applyAlignment="1">
      <alignment vertical="top" wrapText="1"/>
    </xf>
    <xf numFmtId="40" fontId="28" fillId="0" borderId="232" xfId="0" applyNumberFormat="1" applyFont="1" applyBorder="1" applyAlignment="1">
      <alignment vertical="top" wrapText="1"/>
    </xf>
    <xf numFmtId="0" fontId="5" fillId="0" borderId="233" xfId="0" applyFont="1" applyBorder="1" applyAlignment="1">
      <alignment vertical="top" wrapText="1"/>
    </xf>
    <xf numFmtId="0" fontId="5" fillId="20" borderId="68" xfId="0" applyFont="1" applyFill="1" applyBorder="1" applyAlignment="1">
      <alignment vertical="top" wrapText="1"/>
    </xf>
    <xf numFmtId="0" fontId="5" fillId="20" borderId="69" xfId="0" applyFont="1" applyFill="1" applyBorder="1" applyAlignment="1">
      <alignment vertical="top" wrapText="1"/>
    </xf>
    <xf numFmtId="14" fontId="5" fillId="20" borderId="58" xfId="0" applyNumberFormat="1" applyFont="1" applyFill="1" applyBorder="1" applyAlignment="1">
      <alignment horizontal="center" vertical="top" wrapText="1"/>
    </xf>
    <xf numFmtId="0" fontId="5" fillId="20" borderId="57" xfId="0" applyFont="1" applyFill="1" applyBorder="1" applyAlignment="1">
      <alignment vertical="top" wrapText="1"/>
    </xf>
    <xf numFmtId="0" fontId="33" fillId="20" borderId="68" xfId="0" applyFont="1" applyFill="1" applyBorder="1" applyAlignment="1">
      <alignment vertical="top" wrapText="1"/>
    </xf>
    <xf numFmtId="0" fontId="33" fillId="20" borderId="58" xfId="0" applyFont="1" applyFill="1" applyBorder="1" applyAlignment="1">
      <alignment vertical="top" wrapText="1"/>
    </xf>
    <xf numFmtId="4" fontId="5" fillId="20" borderId="68" xfId="0" applyNumberFormat="1" applyFont="1" applyFill="1" applyBorder="1" applyAlignment="1">
      <alignment vertical="top" wrapText="1"/>
    </xf>
    <xf numFmtId="4" fontId="32" fillId="20" borderId="69" xfId="0" applyNumberFormat="1" applyFont="1" applyFill="1" applyBorder="1" applyAlignment="1">
      <alignment vertical="top" wrapText="1"/>
    </xf>
    <xf numFmtId="4" fontId="33" fillId="20" borderId="58" xfId="0" applyNumberFormat="1" applyFont="1" applyFill="1" applyBorder="1" applyAlignment="1">
      <alignment vertical="top" wrapText="1"/>
    </xf>
    <xf numFmtId="4" fontId="14" fillId="20" borderId="68" xfId="0" applyNumberFormat="1" applyFont="1" applyFill="1" applyBorder="1" applyAlignment="1">
      <alignment vertical="top" wrapText="1"/>
    </xf>
    <xf numFmtId="0" fontId="28" fillId="20" borderId="68" xfId="0" applyFont="1" applyFill="1" applyBorder="1" applyAlignment="1">
      <alignment horizontal="center" vertical="top" wrapText="1"/>
    </xf>
    <xf numFmtId="173" fontId="28" fillId="20" borderId="69" xfId="0" applyNumberFormat="1" applyFont="1" applyFill="1" applyBorder="1" applyAlignment="1">
      <alignment horizontal="center" vertical="top" wrapText="1"/>
    </xf>
    <xf numFmtId="0" fontId="28" fillId="20" borderId="69" xfId="0" applyFont="1" applyFill="1" applyBorder="1" applyAlignment="1">
      <alignment horizontal="center" vertical="top" wrapText="1"/>
    </xf>
    <xf numFmtId="165" fontId="28" fillId="20" borderId="69" xfId="0" applyNumberFormat="1" applyFont="1" applyFill="1" applyBorder="1" applyAlignment="1">
      <alignment horizontal="center" vertical="top" wrapText="1"/>
    </xf>
    <xf numFmtId="182" fontId="28" fillId="20" borderId="58" xfId="1" applyNumberFormat="1" applyFont="1" applyFill="1" applyBorder="1" applyAlignment="1" applyProtection="1">
      <alignment horizontal="center" vertical="top" wrapText="1"/>
    </xf>
    <xf numFmtId="40" fontId="33" fillId="20" borderId="68" xfId="0" applyNumberFormat="1" applyFont="1" applyFill="1" applyBorder="1" applyAlignment="1">
      <alignment vertical="top" wrapText="1"/>
    </xf>
    <xf numFmtId="40" fontId="33" fillId="20" borderId="69" xfId="0" applyNumberFormat="1" applyFont="1" applyFill="1" applyBorder="1" applyAlignment="1">
      <alignment vertical="top" wrapText="1"/>
    </xf>
    <xf numFmtId="40" fontId="28" fillId="20" borderId="57" xfId="0" applyNumberFormat="1" applyFont="1" applyFill="1" applyBorder="1" applyAlignment="1">
      <alignment vertical="top" wrapText="1"/>
    </xf>
    <xf numFmtId="0" fontId="5" fillId="20" borderId="50" xfId="0" applyFont="1" applyFill="1" applyBorder="1" applyAlignment="1">
      <alignment vertical="top" wrapText="1"/>
    </xf>
    <xf numFmtId="0" fontId="71" fillId="0" borderId="0" xfId="0" applyFont="1" applyAlignment="1">
      <alignment vertical="top" wrapText="1"/>
    </xf>
    <xf numFmtId="4" fontId="28" fillId="0" borderId="230" xfId="0" applyNumberFormat="1" applyFont="1" applyBorder="1" applyAlignment="1">
      <alignment horizontal="center" vertical="top" wrapText="1"/>
    </xf>
    <xf numFmtId="165" fontId="89" fillId="0" borderId="35" xfId="0" applyNumberFormat="1" applyFont="1" applyBorder="1" applyAlignment="1">
      <alignment horizontal="center" vertical="top" wrapText="1"/>
    </xf>
    <xf numFmtId="182" fontId="89" fillId="0" borderId="35" xfId="1" applyNumberFormat="1" applyFont="1" applyFill="1" applyBorder="1" applyAlignment="1" applyProtection="1">
      <alignment horizontal="center" vertical="top" wrapText="1"/>
    </xf>
    <xf numFmtId="165" fontId="29" fillId="0" borderId="35" xfId="0" applyNumberFormat="1" applyFont="1" applyBorder="1" applyAlignment="1">
      <alignment horizontal="center" vertical="top" wrapText="1"/>
    </xf>
    <xf numFmtId="182" fontId="29" fillId="0" borderId="27" xfId="1" applyNumberFormat="1" applyFont="1" applyFill="1" applyBorder="1" applyAlignment="1" applyProtection="1">
      <alignment horizontal="center" vertical="top" wrapText="1"/>
    </xf>
    <xf numFmtId="0" fontId="91" fillId="0" borderId="26" xfId="0" applyFont="1" applyBorder="1" applyAlignment="1">
      <alignment vertical="top" wrapText="1"/>
    </xf>
    <xf numFmtId="0" fontId="14" fillId="0" borderId="235" xfId="0" applyFont="1" applyBorder="1" applyAlignment="1">
      <alignment horizontal="center" vertical="top" wrapText="1"/>
    </xf>
    <xf numFmtId="0" fontId="14" fillId="0" borderId="236" xfId="0" applyFont="1" applyBorder="1" applyAlignment="1">
      <alignment horizontal="center" vertical="top" wrapText="1"/>
    </xf>
    <xf numFmtId="14" fontId="5" fillId="0" borderId="236" xfId="0" applyNumberFormat="1" applyFont="1" applyBorder="1" applyAlignment="1">
      <alignment horizontal="center" vertical="top" wrapText="1"/>
    </xf>
    <xf numFmtId="165" fontId="32" fillId="0" borderId="236" xfId="0" applyNumberFormat="1" applyFont="1" applyBorder="1" applyAlignment="1">
      <alignment horizontal="center" vertical="top" wrapText="1"/>
    </xf>
    <xf numFmtId="182" fontId="32" fillId="0" borderId="236" xfId="1" applyNumberFormat="1" applyFont="1" applyFill="1" applyBorder="1" applyAlignment="1" applyProtection="1">
      <alignment horizontal="center" vertical="top" wrapText="1"/>
    </xf>
    <xf numFmtId="0" fontId="5" fillId="0" borderId="234" xfId="0" applyFont="1" applyBorder="1" applyAlignment="1">
      <alignment vertical="top" wrapText="1"/>
    </xf>
    <xf numFmtId="0" fontId="5" fillId="0" borderId="235" xfId="0" applyFont="1" applyBorder="1" applyAlignment="1">
      <alignment vertical="top" wrapText="1"/>
    </xf>
    <xf numFmtId="0" fontId="5" fillId="0" borderId="236" xfId="0" applyFont="1" applyBorder="1" applyAlignment="1">
      <alignment vertical="top" wrapText="1"/>
    </xf>
    <xf numFmtId="14" fontId="5" fillId="0" borderId="234" xfId="0" applyNumberFormat="1" applyFont="1" applyBorder="1" applyAlignment="1">
      <alignment horizontal="center" vertical="top" wrapText="1"/>
    </xf>
    <xf numFmtId="0" fontId="33" fillId="0" borderId="235" xfId="0" applyFont="1" applyBorder="1" applyAlignment="1">
      <alignment vertical="top" wrapText="1"/>
    </xf>
    <xf numFmtId="0" fontId="28" fillId="0" borderId="234" xfId="0" applyFont="1" applyBorder="1" applyAlignment="1">
      <alignment vertical="center" wrapText="1"/>
    </xf>
    <xf numFmtId="4" fontId="5" fillId="0" borderId="235" xfId="0" applyNumberFormat="1" applyFont="1" applyBorder="1" applyAlignment="1">
      <alignment vertical="top" wrapText="1"/>
    </xf>
    <xf numFmtId="4" fontId="32" fillId="0" borderId="236" xfId="0" applyNumberFormat="1" applyFont="1" applyBorder="1" applyAlignment="1">
      <alignment vertical="top" wrapText="1"/>
    </xf>
    <xf numFmtId="4" fontId="33" fillId="0" borderId="234" xfId="0" applyNumberFormat="1" applyFont="1" applyBorder="1" applyAlignment="1">
      <alignment vertical="top" wrapText="1"/>
    </xf>
    <xf numFmtId="4" fontId="14" fillId="0" borderId="235" xfId="0" applyNumberFormat="1" applyFont="1" applyBorder="1" applyAlignment="1">
      <alignment vertical="top" wrapText="1"/>
    </xf>
    <xf numFmtId="4" fontId="28" fillId="0" borderId="234" xfId="0" applyNumberFormat="1" applyFont="1" applyBorder="1" applyAlignment="1">
      <alignment vertical="top" wrapText="1"/>
    </xf>
    <xf numFmtId="0" fontId="28" fillId="0" borderId="235" xfId="0" applyFont="1" applyBorder="1" applyAlignment="1">
      <alignment horizontal="center" vertical="top" wrapText="1"/>
    </xf>
    <xf numFmtId="173" fontId="28" fillId="0" borderId="236" xfId="0" applyNumberFormat="1" applyFont="1" applyBorder="1" applyAlignment="1">
      <alignment horizontal="center" vertical="top" wrapText="1"/>
    </xf>
    <xf numFmtId="0" fontId="28" fillId="0" borderId="236" xfId="0" applyFont="1" applyBorder="1" applyAlignment="1">
      <alignment horizontal="center" vertical="top" wrapText="1"/>
    </xf>
    <xf numFmtId="165" fontId="29" fillId="0" borderId="236" xfId="0" applyNumberFormat="1" applyFont="1" applyBorder="1" applyAlignment="1">
      <alignment horizontal="center" vertical="top" wrapText="1"/>
    </xf>
    <xf numFmtId="182" fontId="29" fillId="0" borderId="234" xfId="1" applyNumberFormat="1" applyFont="1" applyFill="1" applyBorder="1" applyAlignment="1" applyProtection="1">
      <alignment horizontal="center" vertical="top" wrapText="1"/>
    </xf>
    <xf numFmtId="40" fontId="33" fillId="0" borderId="235" xfId="0" applyNumberFormat="1" applyFont="1" applyBorder="1" applyAlignment="1">
      <alignment vertical="top" wrapText="1"/>
    </xf>
    <xf numFmtId="40" fontId="33" fillId="0" borderId="236" xfId="0" applyNumberFormat="1" applyFont="1" applyBorder="1" applyAlignment="1">
      <alignment vertical="top" wrapText="1"/>
    </xf>
    <xf numFmtId="0" fontId="5" fillId="0" borderId="237" xfId="0" applyFont="1" applyBorder="1" applyAlignment="1">
      <alignment vertical="top" wrapText="1"/>
    </xf>
    <xf numFmtId="0" fontId="14" fillId="15" borderId="239" xfId="0" applyFont="1" applyFill="1" applyBorder="1" applyAlignment="1">
      <alignment horizontal="center" vertical="top" wrapText="1"/>
    </xf>
    <xf numFmtId="0" fontId="14" fillId="15" borderId="240" xfId="0" applyFont="1" applyFill="1" applyBorder="1" applyAlignment="1">
      <alignment horizontal="center" vertical="top" wrapText="1"/>
    </xf>
    <xf numFmtId="14" fontId="5" fillId="15" borderId="240" xfId="0" applyNumberFormat="1" applyFont="1" applyFill="1" applyBorder="1" applyAlignment="1">
      <alignment horizontal="center" vertical="top" wrapText="1"/>
    </xf>
    <xf numFmtId="182" fontId="32" fillId="15" borderId="240" xfId="1" applyNumberFormat="1" applyFont="1" applyFill="1" applyBorder="1" applyAlignment="1" applyProtection="1">
      <alignment horizontal="center" vertical="top" wrapText="1"/>
    </xf>
    <xf numFmtId="0" fontId="5" fillId="15" borderId="238" xfId="0" applyFont="1" applyFill="1" applyBorder="1" applyAlignment="1">
      <alignment vertical="top" wrapText="1"/>
    </xf>
    <xf numFmtId="0" fontId="5" fillId="15" borderId="239" xfId="0" applyFont="1" applyFill="1" applyBorder="1" applyAlignment="1">
      <alignment vertical="top" wrapText="1"/>
    </xf>
    <xf numFmtId="0" fontId="5" fillId="15" borderId="240" xfId="0" applyFont="1" applyFill="1" applyBorder="1" applyAlignment="1">
      <alignment vertical="top" wrapText="1"/>
    </xf>
    <xf numFmtId="14" fontId="5" fillId="15" borderId="238" xfId="0" applyNumberFormat="1" applyFont="1" applyFill="1" applyBorder="1" applyAlignment="1">
      <alignment horizontal="center" vertical="top" wrapText="1"/>
    </xf>
    <xf numFmtId="0" fontId="33" fillId="15" borderId="239" xfId="0" applyFont="1" applyFill="1" applyBorder="1" applyAlignment="1">
      <alignment vertical="top" wrapText="1"/>
    </xf>
    <xf numFmtId="0" fontId="33" fillId="15" borderId="238" xfId="0" applyFont="1" applyFill="1" applyBorder="1" applyAlignment="1">
      <alignment vertical="top" wrapText="1"/>
    </xf>
    <xf numFmtId="4" fontId="5" fillId="15" borderId="239" xfId="0" applyNumberFormat="1" applyFont="1" applyFill="1" applyBorder="1" applyAlignment="1">
      <alignment vertical="top" wrapText="1"/>
    </xf>
    <xf numFmtId="4" fontId="32" fillId="15" borderId="240" xfId="0" applyNumberFormat="1" applyFont="1" applyFill="1" applyBorder="1" applyAlignment="1">
      <alignment vertical="top" wrapText="1"/>
    </xf>
    <xf numFmtId="4" fontId="33" fillId="15" borderId="238" xfId="0" applyNumberFormat="1" applyFont="1" applyFill="1" applyBorder="1" applyAlignment="1">
      <alignment vertical="top" wrapText="1"/>
    </xf>
    <xf numFmtId="4" fontId="5" fillId="10" borderId="239" xfId="0" applyNumberFormat="1" applyFont="1" applyFill="1" applyBorder="1" applyAlignment="1">
      <alignment vertical="top" wrapText="1"/>
    </xf>
    <xf numFmtId="4" fontId="32" fillId="10" borderId="240" xfId="0" applyNumberFormat="1" applyFont="1" applyFill="1" applyBorder="1" applyAlignment="1">
      <alignment vertical="top" wrapText="1"/>
    </xf>
    <xf numFmtId="4" fontId="33" fillId="10" borderId="238" xfId="0" applyNumberFormat="1" applyFont="1" applyFill="1" applyBorder="1" applyAlignment="1">
      <alignment vertical="top" wrapText="1"/>
    </xf>
    <xf numFmtId="4" fontId="14" fillId="15" borderId="239" xfId="0" applyNumberFormat="1" applyFont="1" applyFill="1" applyBorder="1" applyAlignment="1">
      <alignment vertical="top" wrapText="1"/>
    </xf>
    <xf numFmtId="4" fontId="28" fillId="15" borderId="238" xfId="0" applyNumberFormat="1" applyFont="1" applyFill="1" applyBorder="1" applyAlignment="1">
      <alignment vertical="top" wrapText="1"/>
    </xf>
    <xf numFmtId="0" fontId="28" fillId="15" borderId="239" xfId="0" applyFont="1" applyFill="1" applyBorder="1" applyAlignment="1">
      <alignment horizontal="center" vertical="top" wrapText="1"/>
    </xf>
    <xf numFmtId="173" fontId="28" fillId="15" borderId="240" xfId="0" applyNumberFormat="1" applyFont="1" applyFill="1" applyBorder="1" applyAlignment="1">
      <alignment horizontal="center" vertical="top" wrapText="1"/>
    </xf>
    <xf numFmtId="0" fontId="28" fillId="15" borderId="240" xfId="0" applyFont="1" applyFill="1" applyBorder="1" applyAlignment="1">
      <alignment horizontal="center" vertical="top" wrapText="1"/>
    </xf>
    <xf numFmtId="40" fontId="33" fillId="15" borderId="239" xfId="0" applyNumberFormat="1" applyFont="1" applyFill="1" applyBorder="1" applyAlignment="1">
      <alignment vertical="top" wrapText="1"/>
    </xf>
    <xf numFmtId="40" fontId="33" fillId="15" borderId="240" xfId="0" applyNumberFormat="1" applyFont="1" applyFill="1" applyBorder="1" applyAlignment="1">
      <alignment vertical="top" wrapText="1"/>
    </xf>
    <xf numFmtId="40" fontId="33" fillId="10" borderId="240" xfId="0" applyNumberFormat="1" applyFont="1" applyFill="1" applyBorder="1" applyAlignment="1">
      <alignment vertical="top" wrapText="1"/>
    </xf>
    <xf numFmtId="0" fontId="5" fillId="15" borderId="242" xfId="0" applyFont="1" applyFill="1" applyBorder="1" applyAlignment="1">
      <alignment vertical="top" wrapText="1"/>
    </xf>
    <xf numFmtId="0" fontId="14" fillId="0" borderId="239" xfId="0" applyFont="1" applyBorder="1" applyAlignment="1">
      <alignment horizontal="center" vertical="top" wrapText="1"/>
    </xf>
    <xf numFmtId="0" fontId="14" fillId="0" borderId="240" xfId="0" applyFont="1" applyBorder="1" applyAlignment="1">
      <alignment horizontal="center" vertical="top" wrapText="1"/>
    </xf>
    <xf numFmtId="14" fontId="5" fillId="0" borderId="240" xfId="0" applyNumberFormat="1" applyFont="1" applyBorder="1" applyAlignment="1">
      <alignment horizontal="center" vertical="top" wrapText="1"/>
    </xf>
    <xf numFmtId="182" fontId="5" fillId="0" borderId="240" xfId="1" applyNumberFormat="1" applyFont="1" applyFill="1" applyBorder="1" applyAlignment="1" applyProtection="1">
      <alignment horizontal="center" vertical="top" wrapText="1"/>
    </xf>
    <xf numFmtId="0" fontId="5" fillId="0" borderId="238" xfId="0" applyFont="1" applyBorder="1" applyAlignment="1">
      <alignment vertical="top" wrapText="1"/>
    </xf>
    <xf numFmtId="0" fontId="5" fillId="0" borderId="239" xfId="0" applyFont="1" applyBorder="1" applyAlignment="1">
      <alignment vertical="top" wrapText="1"/>
    </xf>
    <xf numFmtId="0" fontId="5" fillId="0" borderId="240" xfId="0" applyFont="1" applyBorder="1" applyAlignment="1">
      <alignment vertical="top" wrapText="1"/>
    </xf>
    <xf numFmtId="14" fontId="5" fillId="0" borderId="238" xfId="0" applyNumberFormat="1" applyFont="1" applyBorder="1" applyAlignment="1">
      <alignment horizontal="center" vertical="top" wrapText="1"/>
    </xf>
    <xf numFmtId="0" fontId="33" fillId="0" borderId="239" xfId="0" applyFont="1" applyBorder="1" applyAlignment="1">
      <alignment vertical="top" wrapText="1"/>
    </xf>
    <xf numFmtId="0" fontId="33" fillId="0" borderId="238" xfId="0" applyFont="1" applyBorder="1" applyAlignment="1">
      <alignment vertical="top" wrapText="1"/>
    </xf>
    <xf numFmtId="4" fontId="5" fillId="0" borderId="239" xfId="0" applyNumberFormat="1" applyFont="1" applyBorder="1" applyAlignment="1">
      <alignment vertical="top" wrapText="1"/>
    </xf>
    <xf numFmtId="4" fontId="32" fillId="0" borderId="240" xfId="0" applyNumberFormat="1" applyFont="1" applyBorder="1" applyAlignment="1">
      <alignment vertical="top" wrapText="1"/>
    </xf>
    <xf numFmtId="4" fontId="33" fillId="0" borderId="238" xfId="0" applyNumberFormat="1" applyFont="1" applyBorder="1" applyAlignment="1">
      <alignment vertical="top" wrapText="1"/>
    </xf>
    <xf numFmtId="4" fontId="14" fillId="0" borderId="239" xfId="0" applyNumberFormat="1" applyFont="1" applyBorder="1" applyAlignment="1">
      <alignment vertical="top" wrapText="1"/>
    </xf>
    <xf numFmtId="4" fontId="28" fillId="0" borderId="238" xfId="0" applyNumberFormat="1" applyFont="1" applyBorder="1" applyAlignment="1">
      <alignment vertical="top" wrapText="1"/>
    </xf>
    <xf numFmtId="0" fontId="28" fillId="0" borderId="239" xfId="0" applyFont="1" applyBorder="1" applyAlignment="1">
      <alignment horizontal="center" vertical="top" wrapText="1"/>
    </xf>
    <xf numFmtId="173" fontId="28" fillId="0" borderId="240" xfId="0" applyNumberFormat="1" applyFont="1" applyBorder="1" applyAlignment="1">
      <alignment horizontal="center" vertical="top" wrapText="1"/>
    </xf>
    <xf numFmtId="0" fontId="28" fillId="0" borderId="240" xfId="0" applyFont="1" applyBorder="1" applyAlignment="1">
      <alignment horizontal="center" vertical="top" wrapText="1"/>
    </xf>
    <xf numFmtId="165" fontId="28" fillId="0" borderId="240" xfId="0" applyNumberFormat="1" applyFont="1" applyBorder="1" applyAlignment="1">
      <alignment horizontal="center" vertical="top" wrapText="1"/>
    </xf>
    <xf numFmtId="182" fontId="28" fillId="0" borderId="238" xfId="1" applyNumberFormat="1" applyFont="1" applyFill="1" applyBorder="1" applyAlignment="1" applyProtection="1">
      <alignment horizontal="center" vertical="top" wrapText="1"/>
    </xf>
    <xf numFmtId="40" fontId="33" fillId="0" borderId="239" xfId="0" applyNumberFormat="1" applyFont="1" applyBorder="1" applyAlignment="1">
      <alignment vertical="top" wrapText="1"/>
    </xf>
    <xf numFmtId="40" fontId="33" fillId="0" borderId="240" xfId="0" applyNumberFormat="1" applyFont="1" applyBorder="1" applyAlignment="1">
      <alignment vertical="top" wrapText="1"/>
    </xf>
    <xf numFmtId="40" fontId="28" fillId="0" borderId="241" xfId="0" applyNumberFormat="1" applyFont="1" applyBorder="1" applyAlignment="1">
      <alignment vertical="top" wrapText="1"/>
    </xf>
    <xf numFmtId="0" fontId="5" fillId="0" borderId="242" xfId="0" applyFont="1" applyBorder="1" applyAlignment="1">
      <alignment vertical="top" wrapText="1"/>
    </xf>
    <xf numFmtId="43" fontId="5" fillId="0" borderId="0" xfId="0" applyNumberFormat="1" applyFont="1" applyAlignment="1">
      <alignment vertical="top" wrapText="1"/>
    </xf>
    <xf numFmtId="183" fontId="5" fillId="0" borderId="0" xfId="11" applyNumberFormat="1" applyFont="1" applyFill="1" applyAlignment="1" applyProtection="1">
      <alignment vertical="top" wrapText="1"/>
    </xf>
    <xf numFmtId="165" fontId="14" fillId="0" borderId="35" xfId="0" applyNumberFormat="1" applyFont="1" applyBorder="1" applyAlignment="1">
      <alignment horizontal="center" vertical="top" wrapText="1"/>
    </xf>
    <xf numFmtId="0" fontId="32" fillId="0" borderId="26" xfId="0" applyFont="1" applyBorder="1" applyAlignment="1">
      <alignment vertical="top" wrapText="1"/>
    </xf>
    <xf numFmtId="0" fontId="33" fillId="0" borderId="234" xfId="0" applyFont="1" applyBorder="1" applyAlignment="1">
      <alignment vertical="top" wrapText="1"/>
    </xf>
    <xf numFmtId="4" fontId="5" fillId="10" borderId="235" xfId="0" applyNumberFormat="1" applyFont="1" applyFill="1" applyBorder="1" applyAlignment="1">
      <alignment vertical="top" wrapText="1"/>
    </xf>
    <xf numFmtId="4" fontId="32" fillId="10" borderId="236" xfId="0" applyNumberFormat="1" applyFont="1" applyFill="1" applyBorder="1" applyAlignment="1">
      <alignment vertical="top" wrapText="1"/>
    </xf>
    <xf numFmtId="4" fontId="33" fillId="10" borderId="234" xfId="0" applyNumberFormat="1" applyFont="1" applyFill="1" applyBorder="1" applyAlignment="1">
      <alignment vertical="top" wrapText="1"/>
    </xf>
    <xf numFmtId="0" fontId="5" fillId="0" borderId="243" xfId="0" applyFont="1" applyBorder="1" applyAlignment="1">
      <alignment vertical="top" wrapText="1"/>
    </xf>
    <xf numFmtId="165" fontId="29" fillId="8" borderId="35" xfId="0" applyNumberFormat="1" applyFont="1" applyFill="1" applyBorder="1" applyAlignment="1">
      <alignment horizontal="center" vertical="top" wrapText="1"/>
    </xf>
    <xf numFmtId="182" fontId="28" fillId="8" borderId="27" xfId="1" applyNumberFormat="1" applyFont="1" applyFill="1" applyBorder="1" applyAlignment="1" applyProtection="1">
      <alignment horizontal="center" vertical="top" wrapText="1"/>
    </xf>
    <xf numFmtId="0" fontId="14" fillId="21" borderId="236" xfId="0" applyFont="1" applyFill="1" applyBorder="1" applyAlignment="1">
      <alignment horizontal="center" vertical="top" wrapText="1"/>
    </xf>
    <xf numFmtId="14" fontId="5" fillId="21" borderId="236" xfId="0" applyNumberFormat="1" applyFont="1" applyFill="1" applyBorder="1" applyAlignment="1">
      <alignment horizontal="center" vertical="top" wrapText="1"/>
    </xf>
    <xf numFmtId="14" fontId="5" fillId="21" borderId="35" xfId="0" applyNumberFormat="1" applyFont="1" applyFill="1" applyBorder="1" applyAlignment="1">
      <alignment horizontal="center" vertical="top" wrapText="1"/>
    </xf>
    <xf numFmtId="0" fontId="5" fillId="21" borderId="234" xfId="0" applyFont="1" applyFill="1" applyBorder="1" applyAlignment="1">
      <alignment vertical="top" wrapText="1"/>
    </xf>
    <xf numFmtId="0" fontId="5" fillId="21" borderId="235" xfId="0" applyFont="1" applyFill="1" applyBorder="1" applyAlignment="1">
      <alignment vertical="top" wrapText="1"/>
    </xf>
    <xf numFmtId="0" fontId="7" fillId="0" borderId="69" xfId="0" applyFont="1" applyBorder="1" applyAlignment="1">
      <alignment vertical="top" wrapText="1"/>
    </xf>
    <xf numFmtId="0" fontId="25" fillId="0" borderId="50" xfId="0" applyFont="1" applyBorder="1" applyAlignment="1">
      <alignment vertical="top" wrapText="1"/>
    </xf>
    <xf numFmtId="182" fontId="33" fillId="15" borderId="35" xfId="1" applyNumberFormat="1" applyFont="1" applyFill="1" applyBorder="1" applyAlignment="1" applyProtection="1">
      <alignment horizontal="center" vertical="top" wrapText="1"/>
    </xf>
    <xf numFmtId="0" fontId="28" fillId="15" borderId="67" xfId="0" applyFont="1" applyFill="1" applyBorder="1" applyAlignment="1">
      <alignment vertical="top" wrapText="1"/>
    </xf>
    <xf numFmtId="14" fontId="5" fillId="0" borderId="33" xfId="0" applyNumberFormat="1" applyFont="1" applyBorder="1" applyAlignment="1">
      <alignment horizontal="center" vertical="top" wrapText="1"/>
    </xf>
    <xf numFmtId="165" fontId="5" fillId="0" borderId="33" xfId="0" applyNumberFormat="1" applyFont="1" applyBorder="1" applyAlignment="1">
      <alignment horizontal="center" vertical="top" wrapText="1"/>
    </xf>
    <xf numFmtId="0" fontId="33" fillId="0" borderId="240" xfId="0" applyFont="1" applyBorder="1" applyAlignment="1">
      <alignment vertical="top" wrapText="1"/>
    </xf>
    <xf numFmtId="0" fontId="5" fillId="0" borderId="248" xfId="0" applyFont="1" applyBorder="1" applyAlignment="1">
      <alignment vertical="top" wrapText="1"/>
    </xf>
    <xf numFmtId="14" fontId="5" fillId="18" borderId="35" xfId="0" applyNumberFormat="1" applyFont="1" applyFill="1" applyBorder="1" applyAlignment="1">
      <alignment horizontal="center" vertical="top" wrapText="1"/>
    </xf>
    <xf numFmtId="182" fontId="5" fillId="18" borderId="35" xfId="1" applyNumberFormat="1" applyFont="1" applyFill="1" applyBorder="1" applyAlignment="1" applyProtection="1">
      <alignment horizontal="center" vertical="top" wrapText="1"/>
    </xf>
    <xf numFmtId="165" fontId="14" fillId="15" borderId="35" xfId="0" applyNumberFormat="1" applyFont="1" applyFill="1" applyBorder="1" applyAlignment="1">
      <alignment horizontal="center" vertical="top" wrapText="1"/>
    </xf>
    <xf numFmtId="0" fontId="5" fillId="15" borderId="34" xfId="0" applyFont="1" applyFill="1" applyBorder="1" applyAlignment="1">
      <alignment horizontal="center" vertical="top" wrapText="1"/>
    </xf>
    <xf numFmtId="0" fontId="5" fillId="21" borderId="23" xfId="0" applyFont="1" applyFill="1" applyBorder="1" applyAlignment="1">
      <alignment vertical="top" wrapText="1"/>
    </xf>
    <xf numFmtId="0" fontId="14" fillId="21" borderId="63" xfId="0" applyFont="1" applyFill="1" applyBorder="1" applyAlignment="1">
      <alignment vertical="top" wrapText="1"/>
    </xf>
    <xf numFmtId="0" fontId="14" fillId="21" borderId="34" xfId="0" applyFont="1" applyFill="1" applyBorder="1" applyAlignment="1">
      <alignment vertical="top" wrapText="1"/>
    </xf>
    <xf numFmtId="0" fontId="33" fillId="21" borderId="63" xfId="0" applyFont="1" applyFill="1" applyBorder="1" applyAlignment="1">
      <alignment vertical="top" wrapText="1"/>
    </xf>
    <xf numFmtId="165" fontId="28" fillId="10" borderId="23" xfId="0" applyNumberFormat="1" applyFont="1" applyFill="1" applyBorder="1" applyAlignment="1">
      <alignment horizontal="center" vertical="top" wrapText="1"/>
    </xf>
    <xf numFmtId="40" fontId="33" fillId="8" borderId="63" xfId="0" applyNumberFormat="1" applyFont="1" applyFill="1" applyBorder="1" applyAlignment="1">
      <alignment vertical="top" wrapText="1"/>
    </xf>
    <xf numFmtId="40" fontId="33" fillId="8" borderId="23" xfId="0" applyNumberFormat="1" applyFont="1" applyFill="1" applyBorder="1" applyAlignment="1">
      <alignment vertical="top" wrapText="1"/>
    </xf>
    <xf numFmtId="0" fontId="5" fillId="15" borderId="250" xfId="0" applyFont="1" applyFill="1" applyBorder="1" applyAlignment="1">
      <alignment horizontal="center" vertical="top" wrapText="1"/>
    </xf>
    <xf numFmtId="0" fontId="14" fillId="15" borderId="251" xfId="0" applyFont="1" applyFill="1" applyBorder="1" applyAlignment="1">
      <alignment horizontal="center" vertical="top" wrapText="1"/>
    </xf>
    <xf numFmtId="14" fontId="5" fillId="15" borderId="251" xfId="0" applyNumberFormat="1" applyFont="1" applyFill="1" applyBorder="1" applyAlignment="1">
      <alignment horizontal="center" vertical="top" wrapText="1"/>
    </xf>
    <xf numFmtId="165" fontId="5" fillId="15" borderId="251" xfId="0" applyNumberFormat="1" applyFont="1" applyFill="1" applyBorder="1" applyAlignment="1">
      <alignment horizontal="center" vertical="top" wrapText="1"/>
    </xf>
    <xf numFmtId="182" fontId="5" fillId="15" borderId="251" xfId="1" applyNumberFormat="1" applyFont="1" applyFill="1" applyBorder="1" applyAlignment="1" applyProtection="1">
      <alignment horizontal="center" vertical="top" wrapText="1"/>
    </xf>
    <xf numFmtId="0" fontId="5" fillId="15" borderId="249" xfId="0" applyFont="1" applyFill="1" applyBorder="1" applyAlignment="1">
      <alignment vertical="top" wrapText="1"/>
    </xf>
    <xf numFmtId="0" fontId="5" fillId="15" borderId="250" xfId="0" applyFont="1" applyFill="1" applyBorder="1" applyAlignment="1">
      <alignment vertical="top" wrapText="1"/>
    </xf>
    <xf numFmtId="0" fontId="5" fillId="15" borderId="251" xfId="0" applyFont="1" applyFill="1" applyBorder="1" applyAlignment="1">
      <alignment vertical="top" wrapText="1"/>
    </xf>
    <xf numFmtId="14" fontId="5" fillId="15" borderId="249" xfId="0" applyNumberFormat="1" applyFont="1" applyFill="1" applyBorder="1" applyAlignment="1">
      <alignment horizontal="center" vertical="top" wrapText="1"/>
    </xf>
    <xf numFmtId="0" fontId="33" fillId="15" borderId="250" xfId="0" applyFont="1" applyFill="1" applyBorder="1" applyAlignment="1">
      <alignment vertical="top" wrapText="1"/>
    </xf>
    <xf numFmtId="0" fontId="33" fillId="15" borderId="249" xfId="0" applyFont="1" applyFill="1" applyBorder="1" applyAlignment="1">
      <alignment vertical="top" wrapText="1"/>
    </xf>
    <xf numFmtId="4" fontId="5" fillId="15" borderId="250" xfId="0" applyNumberFormat="1" applyFont="1" applyFill="1" applyBorder="1" applyAlignment="1">
      <alignment vertical="top" wrapText="1"/>
    </xf>
    <xf numFmtId="4" fontId="32" fillId="15" borderId="251" xfId="0" applyNumberFormat="1" applyFont="1" applyFill="1" applyBorder="1" applyAlignment="1">
      <alignment vertical="top" wrapText="1"/>
    </xf>
    <xf numFmtId="4" fontId="33" fillId="15" borderId="249" xfId="0" applyNumberFormat="1" applyFont="1" applyFill="1" applyBorder="1" applyAlignment="1">
      <alignment vertical="top" wrapText="1"/>
    </xf>
    <xf numFmtId="4" fontId="14" fillId="15" borderId="250" xfId="0" applyNumberFormat="1" applyFont="1" applyFill="1" applyBorder="1" applyAlignment="1">
      <alignment vertical="top" wrapText="1"/>
    </xf>
    <xf numFmtId="4" fontId="28" fillId="15" borderId="249" xfId="0" applyNumberFormat="1" applyFont="1" applyFill="1" applyBorder="1" applyAlignment="1">
      <alignment vertical="top" wrapText="1"/>
    </xf>
    <xf numFmtId="0" fontId="28" fillId="15" borderId="250" xfId="0" applyFont="1" applyFill="1" applyBorder="1" applyAlignment="1">
      <alignment horizontal="center" vertical="top" wrapText="1"/>
    </xf>
    <xf numFmtId="173" fontId="28" fillId="15" borderId="251" xfId="0" applyNumberFormat="1" applyFont="1" applyFill="1" applyBorder="1" applyAlignment="1">
      <alignment horizontal="center" vertical="top" wrapText="1"/>
    </xf>
    <xf numFmtId="0" fontId="28" fillId="15" borderId="251" xfId="0" applyFont="1" applyFill="1" applyBorder="1" applyAlignment="1">
      <alignment horizontal="center" vertical="top" wrapText="1"/>
    </xf>
    <xf numFmtId="165" fontId="28" fillId="15" borderId="251" xfId="0" applyNumberFormat="1" applyFont="1" applyFill="1" applyBorder="1" applyAlignment="1">
      <alignment horizontal="center" vertical="top" wrapText="1"/>
    </xf>
    <xf numFmtId="182" fontId="28" fillId="15" borderId="249" xfId="1" applyNumberFormat="1" applyFont="1" applyFill="1" applyBorder="1" applyAlignment="1" applyProtection="1">
      <alignment horizontal="center" vertical="top" wrapText="1"/>
    </xf>
    <xf numFmtId="40" fontId="33" fillId="15" borderId="250" xfId="0" applyNumberFormat="1" applyFont="1" applyFill="1" applyBorder="1" applyAlignment="1">
      <alignment vertical="top" wrapText="1"/>
    </xf>
    <xf numFmtId="40" fontId="33" fillId="15" borderId="251" xfId="0" applyNumberFormat="1" applyFont="1" applyFill="1" applyBorder="1" applyAlignment="1">
      <alignment vertical="top" wrapText="1"/>
    </xf>
    <xf numFmtId="40" fontId="28" fillId="15" borderId="252" xfId="0" applyNumberFormat="1" applyFont="1" applyFill="1" applyBorder="1" applyAlignment="1">
      <alignment vertical="top" wrapText="1"/>
    </xf>
    <xf numFmtId="0" fontId="5" fillId="15" borderId="253" xfId="0" applyFont="1" applyFill="1" applyBorder="1" applyAlignment="1">
      <alignment vertical="top" wrapText="1"/>
    </xf>
    <xf numFmtId="0" fontId="14" fillId="15" borderId="49" xfId="0" applyFont="1" applyFill="1" applyBorder="1" applyAlignment="1">
      <alignment horizontal="center" vertical="top" wrapText="1"/>
    </xf>
    <xf numFmtId="0" fontId="14" fillId="15" borderId="33" xfId="0" applyFont="1" applyFill="1" applyBorder="1" applyAlignment="1">
      <alignment horizontal="center" vertical="top" wrapText="1"/>
    </xf>
    <xf numFmtId="14" fontId="5" fillId="15" borderId="33" xfId="0" applyNumberFormat="1" applyFont="1" applyFill="1" applyBorder="1" applyAlignment="1">
      <alignment horizontal="center" vertical="top" wrapText="1"/>
    </xf>
    <xf numFmtId="165" fontId="5" fillId="15" borderId="33" xfId="0" applyNumberFormat="1" applyFont="1" applyFill="1" applyBorder="1" applyAlignment="1">
      <alignment horizontal="center" vertical="top" wrapText="1"/>
    </xf>
    <xf numFmtId="182" fontId="5" fillId="15" borderId="33" xfId="1" applyNumberFormat="1" applyFont="1" applyFill="1" applyBorder="1" applyAlignment="1" applyProtection="1">
      <alignment horizontal="center" vertical="top" wrapText="1"/>
    </xf>
    <xf numFmtId="0" fontId="5" fillId="15" borderId="2" xfId="0" applyFont="1" applyFill="1" applyBorder="1" applyAlignment="1">
      <alignment vertical="top" wrapText="1"/>
    </xf>
    <xf numFmtId="0" fontId="5" fillId="15" borderId="49" xfId="0" applyFont="1" applyFill="1" applyBorder="1" applyAlignment="1">
      <alignment vertical="top" wrapText="1"/>
    </xf>
    <xf numFmtId="0" fontId="5" fillId="15" borderId="33" xfId="0" applyFont="1" applyFill="1" applyBorder="1" applyAlignment="1">
      <alignment vertical="top" wrapText="1"/>
    </xf>
    <xf numFmtId="14" fontId="5" fillId="15" borderId="2" xfId="0" applyNumberFormat="1" applyFont="1" applyFill="1" applyBorder="1" applyAlignment="1">
      <alignment horizontal="center" vertical="top" wrapText="1"/>
    </xf>
    <xf numFmtId="0" fontId="33" fillId="15" borderId="49" xfId="0" applyFont="1" applyFill="1" applyBorder="1" applyAlignment="1">
      <alignment vertical="top" wrapText="1"/>
    </xf>
    <xf numFmtId="0" fontId="33" fillId="15" borderId="2" xfId="0" applyFont="1" applyFill="1" applyBorder="1" applyAlignment="1">
      <alignment vertical="top" wrapText="1"/>
    </xf>
    <xf numFmtId="4" fontId="5" fillId="15" borderId="49" xfId="0" applyNumberFormat="1" applyFont="1" applyFill="1" applyBorder="1" applyAlignment="1">
      <alignment vertical="top" wrapText="1"/>
    </xf>
    <xf numFmtId="4" fontId="32" fillId="15" borderId="33" xfId="0" applyNumberFormat="1" applyFont="1" applyFill="1" applyBorder="1" applyAlignment="1">
      <alignment vertical="top" wrapText="1"/>
    </xf>
    <xf numFmtId="4" fontId="33" fillId="15" borderId="2" xfId="0" applyNumberFormat="1" applyFont="1" applyFill="1" applyBorder="1" applyAlignment="1">
      <alignment vertical="top" wrapText="1"/>
    </xf>
    <xf numFmtId="4" fontId="14" fillId="15" borderId="49" xfId="0" applyNumberFormat="1" applyFont="1" applyFill="1" applyBorder="1" applyAlignment="1">
      <alignment vertical="top" wrapText="1"/>
    </xf>
    <xf numFmtId="4" fontId="28" fillId="15" borderId="2" xfId="0" applyNumberFormat="1" applyFont="1" applyFill="1" applyBorder="1" applyAlignment="1">
      <alignment vertical="top" wrapText="1"/>
    </xf>
    <xf numFmtId="0" fontId="29" fillId="15" borderId="49" xfId="0" applyFont="1" applyFill="1" applyBorder="1" applyAlignment="1">
      <alignment horizontal="center" vertical="top" wrapText="1"/>
    </xf>
    <xf numFmtId="173" fontId="32" fillId="15" borderId="33" xfId="0" applyNumberFormat="1" applyFont="1" applyFill="1" applyBorder="1" applyAlignment="1">
      <alignment horizontal="center" vertical="top" wrapText="1"/>
    </xf>
    <xf numFmtId="0" fontId="29" fillId="15" borderId="33" xfId="0" applyFont="1" applyFill="1" applyBorder="1" applyAlignment="1">
      <alignment horizontal="center" vertical="top" wrapText="1"/>
    </xf>
    <xf numFmtId="165" fontId="28" fillId="15" borderId="33" xfId="0" applyNumberFormat="1" applyFont="1" applyFill="1" applyBorder="1" applyAlignment="1">
      <alignment horizontal="center" vertical="top" wrapText="1"/>
    </xf>
    <xf numFmtId="182" fontId="28" fillId="15" borderId="2" xfId="1" applyNumberFormat="1" applyFont="1" applyFill="1" applyBorder="1" applyAlignment="1" applyProtection="1">
      <alignment horizontal="center" vertical="top" wrapText="1"/>
    </xf>
    <xf numFmtId="40" fontId="33" fillId="15" borderId="49" xfId="0" applyNumberFormat="1" applyFont="1" applyFill="1" applyBorder="1" applyAlignment="1">
      <alignment vertical="top" wrapText="1"/>
    </xf>
    <xf numFmtId="40" fontId="33" fillId="15" borderId="33" xfId="0" applyNumberFormat="1" applyFont="1" applyFill="1" applyBorder="1" applyAlignment="1">
      <alignment vertical="top" wrapText="1"/>
    </xf>
    <xf numFmtId="0" fontId="5" fillId="15" borderId="18" xfId="0" applyFont="1" applyFill="1" applyBorder="1" applyAlignment="1">
      <alignment vertical="top" wrapText="1"/>
    </xf>
    <xf numFmtId="182" fontId="14" fillId="0" borderId="23" xfId="1" applyNumberFormat="1" applyFont="1" applyFill="1" applyBorder="1" applyAlignment="1" applyProtection="1">
      <alignment horizontal="center" vertical="top" wrapText="1"/>
    </xf>
    <xf numFmtId="40" fontId="14" fillId="8" borderId="3" xfId="0" applyNumberFormat="1" applyFont="1" applyFill="1" applyBorder="1" applyAlignment="1">
      <alignment vertical="top" wrapText="1"/>
    </xf>
    <xf numFmtId="0" fontId="5" fillId="0" borderId="250" xfId="0" applyFont="1" applyBorder="1" applyAlignment="1">
      <alignment horizontal="center" vertical="top" wrapText="1"/>
    </xf>
    <xf numFmtId="0" fontId="14" fillId="0" borderId="251" xfId="0" applyFont="1" applyBorder="1" applyAlignment="1">
      <alignment horizontal="center" vertical="top" wrapText="1"/>
    </xf>
    <xf numFmtId="14" fontId="5" fillId="0" borderId="251" xfId="0" applyNumberFormat="1" applyFont="1" applyBorder="1" applyAlignment="1">
      <alignment horizontal="center" vertical="top" wrapText="1"/>
    </xf>
    <xf numFmtId="165" fontId="5" fillId="0" borderId="251" xfId="0" applyNumberFormat="1" applyFont="1" applyBorder="1" applyAlignment="1">
      <alignment horizontal="center" vertical="top" wrapText="1"/>
    </xf>
    <xf numFmtId="182" fontId="5" fillId="0" borderId="251" xfId="1" applyNumberFormat="1" applyFont="1" applyFill="1" applyBorder="1" applyAlignment="1" applyProtection="1">
      <alignment horizontal="center" vertical="top" wrapText="1"/>
    </xf>
    <xf numFmtId="0" fontId="5" fillId="0" borderId="249" xfId="0" applyFont="1" applyBorder="1" applyAlignment="1">
      <alignment vertical="top" wrapText="1"/>
    </xf>
    <xf numFmtId="0" fontId="5" fillId="0" borderId="250" xfId="0" applyFont="1" applyBorder="1" applyAlignment="1">
      <alignment vertical="top" wrapText="1"/>
    </xf>
    <xf numFmtId="0" fontId="5" fillId="0" borderId="251" xfId="0" applyFont="1" applyBorder="1" applyAlignment="1">
      <alignment vertical="top" wrapText="1"/>
    </xf>
    <xf numFmtId="14" fontId="5" fillId="0" borderId="249" xfId="0" applyNumberFormat="1" applyFont="1" applyBorder="1" applyAlignment="1">
      <alignment horizontal="center" vertical="top" wrapText="1"/>
    </xf>
    <xf numFmtId="0" fontId="33" fillId="0" borderId="250" xfId="0" applyFont="1" applyBorder="1" applyAlignment="1">
      <alignment vertical="top" wrapText="1"/>
    </xf>
    <xf numFmtId="0" fontId="33" fillId="0" borderId="249" xfId="0" applyFont="1" applyBorder="1" applyAlignment="1">
      <alignment vertical="top" wrapText="1"/>
    </xf>
    <xf numFmtId="4" fontId="5" fillId="0" borderId="250" xfId="0" applyNumberFormat="1" applyFont="1" applyBorder="1" applyAlignment="1">
      <alignment vertical="top" wrapText="1"/>
    </xf>
    <xf numFmtId="4" fontId="32" fillId="0" borderId="251" xfId="0" applyNumberFormat="1" applyFont="1" applyBorder="1" applyAlignment="1">
      <alignment vertical="top" wrapText="1"/>
    </xf>
    <xf numFmtId="4" fontId="33" fillId="0" borderId="249" xfId="0" applyNumberFormat="1" applyFont="1" applyBorder="1" applyAlignment="1">
      <alignment vertical="top" wrapText="1"/>
    </xf>
    <xf numFmtId="4" fontId="14" fillId="0" borderId="250" xfId="0" applyNumberFormat="1" applyFont="1" applyBorder="1" applyAlignment="1">
      <alignment vertical="top" wrapText="1"/>
    </xf>
    <xf numFmtId="4" fontId="28" fillId="0" borderId="249" xfId="0" applyNumberFormat="1" applyFont="1" applyBorder="1" applyAlignment="1">
      <alignment vertical="top" wrapText="1"/>
    </xf>
    <xf numFmtId="0" fontId="28" fillId="0" borderId="250" xfId="0" applyFont="1" applyBorder="1" applyAlignment="1">
      <alignment horizontal="center" vertical="top" wrapText="1"/>
    </xf>
    <xf numFmtId="173" fontId="28" fillId="0" borderId="251" xfId="0" applyNumberFormat="1" applyFont="1" applyBorder="1" applyAlignment="1">
      <alignment horizontal="center" vertical="top" wrapText="1"/>
    </xf>
    <xf numFmtId="0" fontId="28" fillId="0" borderId="251" xfId="0" applyFont="1" applyBorder="1" applyAlignment="1">
      <alignment horizontal="center" vertical="top" wrapText="1"/>
    </xf>
    <xf numFmtId="165" fontId="28" fillId="0" borderId="251" xfId="0" applyNumberFormat="1" applyFont="1" applyBorder="1" applyAlignment="1">
      <alignment horizontal="center" vertical="top" wrapText="1"/>
    </xf>
    <xf numFmtId="182" fontId="28" fillId="0" borderId="249" xfId="1" applyNumberFormat="1" applyFont="1" applyFill="1" applyBorder="1" applyAlignment="1" applyProtection="1">
      <alignment horizontal="center" vertical="top" wrapText="1"/>
    </xf>
    <xf numFmtId="40" fontId="33" fillId="0" borderId="250" xfId="0" applyNumberFormat="1" applyFont="1" applyBorder="1" applyAlignment="1">
      <alignment vertical="top" wrapText="1"/>
    </xf>
    <xf numFmtId="40" fontId="33" fillId="0" borderId="251" xfId="0" applyNumberFormat="1" applyFont="1" applyBorder="1" applyAlignment="1">
      <alignment vertical="top" wrapText="1"/>
    </xf>
    <xf numFmtId="40" fontId="28" fillId="0" borderId="252" xfId="0" applyNumberFormat="1" applyFont="1" applyBorder="1" applyAlignment="1">
      <alignment vertical="top" wrapText="1"/>
    </xf>
    <xf numFmtId="0" fontId="5" fillId="0" borderId="253" xfId="0" applyFont="1" applyBorder="1" applyAlignment="1">
      <alignment vertical="top" wrapText="1"/>
    </xf>
    <xf numFmtId="0" fontId="33" fillId="0" borderId="23" xfId="0" applyFont="1" applyBorder="1" applyAlignment="1">
      <alignment horizontal="center" vertical="top" wrapText="1"/>
    </xf>
    <xf numFmtId="0" fontId="29" fillId="0" borderId="250" xfId="0" applyFont="1" applyBorder="1" applyAlignment="1">
      <alignment horizontal="center" vertical="top" wrapText="1"/>
    </xf>
    <xf numFmtId="173" fontId="29" fillId="0" borderId="251" xfId="0" applyNumberFormat="1" applyFont="1" applyBorder="1" applyAlignment="1">
      <alignment horizontal="center" vertical="top" wrapText="1"/>
    </xf>
    <xf numFmtId="40" fontId="28" fillId="0" borderId="249" xfId="0" applyNumberFormat="1" applyFont="1" applyBorder="1" applyAlignment="1">
      <alignment vertical="top" wrapText="1"/>
    </xf>
    <xf numFmtId="0" fontId="29" fillId="0" borderId="251" xfId="0" applyFont="1" applyBorder="1" applyAlignment="1">
      <alignment horizontal="center" vertical="top" wrapText="1"/>
    </xf>
    <xf numFmtId="40" fontId="14" fillId="15" borderId="3" xfId="0" applyNumberFormat="1" applyFont="1" applyFill="1" applyBorder="1" applyAlignment="1">
      <alignment vertical="top" wrapText="1"/>
    </xf>
    <xf numFmtId="44" fontId="7" fillId="10" borderId="20" xfId="0" applyNumberFormat="1" applyFont="1" applyFill="1" applyBorder="1" applyAlignment="1">
      <alignment vertical="top"/>
    </xf>
    <xf numFmtId="0" fontId="7" fillId="10" borderId="27" xfId="0" applyFont="1" applyFill="1" applyBorder="1" applyAlignment="1">
      <alignment horizontal="right" vertical="top"/>
    </xf>
    <xf numFmtId="0" fontId="7" fillId="10" borderId="27" xfId="0" applyFont="1" applyFill="1" applyBorder="1" applyAlignment="1">
      <alignment horizontal="left" vertical="top"/>
    </xf>
    <xf numFmtId="44" fontId="23" fillId="0" borderId="20" xfId="0" applyNumberFormat="1" applyFont="1" applyBorder="1" applyAlignment="1">
      <alignment vertical="top"/>
    </xf>
    <xf numFmtId="166" fontId="7" fillId="0" borderId="20" xfId="0" applyNumberFormat="1" applyFont="1" applyBorder="1" applyAlignment="1">
      <alignment horizontal="left" vertical="top" wrapText="1"/>
    </xf>
    <xf numFmtId="0" fontId="25" fillId="0" borderId="28" xfId="0" applyFont="1" applyBorder="1" applyAlignment="1">
      <alignment horizontal="left" vertical="top" wrapText="1"/>
    </xf>
    <xf numFmtId="0" fontId="25" fillId="15" borderId="54" xfId="0" applyFont="1" applyFill="1" applyBorder="1" applyAlignment="1">
      <alignment vertical="top" wrapText="1"/>
    </xf>
    <xf numFmtId="0" fontId="33" fillId="18" borderId="73" xfId="0" applyFont="1" applyFill="1" applyBorder="1" applyAlignment="1">
      <alignment vertical="top" wrapText="1"/>
    </xf>
    <xf numFmtId="44" fontId="6" fillId="15" borderId="253" xfId="2" applyFont="1" applyFill="1" applyBorder="1" applyAlignment="1" applyProtection="1">
      <alignment vertical="top" wrapText="1"/>
    </xf>
    <xf numFmtId="0" fontId="11" fillId="0" borderId="0" xfId="0" applyFont="1" applyAlignment="1">
      <alignment horizontal="centerContinuous" vertical="top" wrapText="1"/>
    </xf>
    <xf numFmtId="4" fontId="32" fillId="0" borderId="252" xfId="0" applyNumberFormat="1" applyFont="1" applyBorder="1" applyAlignment="1">
      <alignment vertical="top" wrapText="1"/>
    </xf>
    <xf numFmtId="4" fontId="32" fillId="6" borderId="29" xfId="0" applyNumberFormat="1" applyFont="1" applyFill="1" applyBorder="1" applyAlignment="1">
      <alignment vertical="top" wrapText="1"/>
    </xf>
    <xf numFmtId="4" fontId="32" fillId="6" borderId="241" xfId="0" applyNumberFormat="1" applyFont="1" applyFill="1" applyBorder="1" applyAlignment="1">
      <alignment vertical="top" wrapText="1"/>
    </xf>
    <xf numFmtId="4" fontId="32" fillId="0" borderId="19" xfId="0" applyNumberFormat="1" applyFont="1" applyBorder="1" applyAlignment="1">
      <alignment vertical="top" wrapText="1"/>
    </xf>
    <xf numFmtId="4" fontId="32" fillId="0" borderId="241" xfId="0" applyNumberFormat="1" applyFont="1" applyBorder="1" applyAlignment="1">
      <alignment vertical="top" wrapText="1"/>
    </xf>
    <xf numFmtId="4" fontId="5" fillId="6" borderId="29" xfId="0" applyNumberFormat="1" applyFont="1" applyFill="1" applyBorder="1" applyAlignment="1">
      <alignment vertical="top" wrapText="1"/>
    </xf>
    <xf numFmtId="4" fontId="32" fillId="6" borderId="12" xfId="0" applyNumberFormat="1" applyFont="1" applyFill="1" applyBorder="1" applyAlignment="1">
      <alignment vertical="top" wrapText="1"/>
    </xf>
    <xf numFmtId="4" fontId="32" fillId="0" borderId="29" xfId="0" applyNumberFormat="1" applyFont="1" applyBorder="1" applyAlignment="1">
      <alignment vertical="top" wrapText="1"/>
    </xf>
    <xf numFmtId="4" fontId="32" fillId="6" borderId="252" xfId="0" applyNumberFormat="1" applyFont="1" applyFill="1" applyBorder="1" applyAlignment="1">
      <alignment vertical="top" wrapText="1"/>
    </xf>
    <xf numFmtId="4" fontId="32" fillId="0" borderId="57" xfId="0" applyNumberFormat="1" applyFont="1" applyBorder="1" applyAlignment="1">
      <alignment vertical="top" wrapText="1"/>
    </xf>
    <xf numFmtId="4" fontId="32" fillId="6" borderId="57" xfId="0" applyNumberFormat="1" applyFont="1" applyFill="1" applyBorder="1" applyAlignment="1">
      <alignment vertical="top" wrapText="1"/>
    </xf>
    <xf numFmtId="4" fontId="32" fillId="0" borderId="12" xfId="0" applyNumberFormat="1" applyFont="1" applyBorder="1" applyAlignment="1">
      <alignment vertical="top" wrapText="1"/>
    </xf>
    <xf numFmtId="4" fontId="32" fillId="15" borderId="241" xfId="0" applyNumberFormat="1" applyFont="1" applyFill="1" applyBorder="1" applyAlignment="1">
      <alignment vertical="top" wrapText="1"/>
    </xf>
    <xf numFmtId="4" fontId="32" fillId="15" borderId="252" xfId="0" applyNumberFormat="1" applyFont="1" applyFill="1" applyBorder="1" applyAlignment="1">
      <alignment vertical="top" wrapText="1"/>
    </xf>
    <xf numFmtId="4" fontId="32" fillId="15" borderId="19" xfId="0" applyNumberFormat="1" applyFont="1" applyFill="1" applyBorder="1" applyAlignment="1">
      <alignment vertical="top" wrapText="1"/>
    </xf>
    <xf numFmtId="4" fontId="32" fillId="15" borderId="29" xfId="0" applyNumberFormat="1" applyFont="1" applyFill="1" applyBorder="1" applyAlignment="1">
      <alignment vertical="top" wrapText="1"/>
    </xf>
    <xf numFmtId="4" fontId="32" fillId="15" borderId="256" xfId="0" applyNumberFormat="1" applyFont="1" applyFill="1" applyBorder="1" applyAlignment="1">
      <alignment vertical="top" wrapText="1"/>
    </xf>
    <xf numFmtId="4" fontId="32" fillId="15" borderId="257" xfId="0" applyNumberFormat="1" applyFont="1" applyFill="1" applyBorder="1" applyAlignment="1">
      <alignment vertical="top" wrapText="1"/>
    </xf>
    <xf numFmtId="4" fontId="32" fillId="0" borderId="258" xfId="0" applyNumberFormat="1" applyFont="1" applyBorder="1" applyAlignment="1">
      <alignment vertical="top" wrapText="1"/>
    </xf>
    <xf numFmtId="4" fontId="32" fillId="0" borderId="257" xfId="0" applyNumberFormat="1" applyFont="1" applyBorder="1" applyAlignment="1">
      <alignment vertical="top" wrapText="1"/>
    </xf>
    <xf numFmtId="4" fontId="32" fillId="15" borderId="258" xfId="0" applyNumberFormat="1" applyFont="1" applyFill="1" applyBorder="1" applyAlignment="1">
      <alignment vertical="top" wrapText="1"/>
    </xf>
    <xf numFmtId="4" fontId="32" fillId="15" borderId="12" xfId="0" applyNumberFormat="1" applyFont="1" applyFill="1" applyBorder="1" applyAlignment="1">
      <alignment vertical="top" wrapText="1"/>
    </xf>
    <xf numFmtId="4" fontId="32" fillId="15" borderId="0" xfId="0" applyNumberFormat="1" applyFont="1" applyFill="1" applyAlignment="1">
      <alignment vertical="top" wrapText="1"/>
    </xf>
    <xf numFmtId="0" fontId="32" fillId="0" borderId="108" xfId="0" applyFont="1" applyBorder="1" applyAlignment="1">
      <alignment vertical="top" wrapText="1"/>
    </xf>
    <xf numFmtId="44" fontId="32" fillId="0" borderId="14" xfId="2" applyFont="1" applyFill="1" applyBorder="1" applyAlignment="1" applyProtection="1">
      <alignment horizontal="center" vertical="top" wrapText="1"/>
    </xf>
    <xf numFmtId="0" fontId="29" fillId="0" borderId="16" xfId="0" applyFont="1" applyBorder="1" applyAlignment="1">
      <alignment horizontal="right" vertical="top" wrapText="1"/>
    </xf>
    <xf numFmtId="0" fontId="29" fillId="0" borderId="16" xfId="0" applyFont="1" applyBorder="1" applyAlignment="1">
      <alignment horizontal="left" vertical="top" wrapText="1"/>
    </xf>
    <xf numFmtId="44" fontId="32" fillId="0" borderId="13" xfId="2" applyFont="1" applyFill="1" applyBorder="1" applyAlignment="1" applyProtection="1">
      <alignment vertical="top" wrapText="1"/>
    </xf>
    <xf numFmtId="4" fontId="32" fillId="13" borderId="57" xfId="0" applyNumberFormat="1" applyFont="1" applyFill="1" applyBorder="1" applyAlignment="1">
      <alignment vertical="top" wrapText="1"/>
    </xf>
    <xf numFmtId="4" fontId="32" fillId="0" borderId="256" xfId="0" applyNumberFormat="1" applyFont="1" applyBorder="1" applyAlignment="1">
      <alignment vertical="top" wrapText="1"/>
    </xf>
    <xf numFmtId="4" fontId="32" fillId="20" borderId="57" xfId="0" applyNumberFormat="1" applyFont="1" applyFill="1" applyBorder="1" applyAlignment="1">
      <alignment vertical="top" wrapText="1"/>
    </xf>
    <xf numFmtId="44" fontId="32" fillId="0" borderId="5" xfId="2" applyFont="1" applyFill="1" applyBorder="1" applyAlignment="1" applyProtection="1">
      <alignment vertical="top" wrapText="1"/>
    </xf>
    <xf numFmtId="0" fontId="29" fillId="0" borderId="11" xfId="0" applyFont="1" applyBorder="1" applyAlignment="1">
      <alignment horizontal="left" vertical="top" wrapText="1"/>
    </xf>
    <xf numFmtId="0" fontId="29" fillId="0" borderId="11" xfId="0" applyFont="1" applyBorder="1" applyAlignment="1">
      <alignment horizontal="right" vertical="top" wrapText="1"/>
    </xf>
    <xf numFmtId="44" fontId="32" fillId="0" borderId="1" xfId="2" applyFont="1" applyFill="1" applyBorder="1" applyAlignment="1" applyProtection="1">
      <alignment horizontal="center" vertical="top" wrapText="1"/>
    </xf>
    <xf numFmtId="4" fontId="33" fillId="0" borderId="16" xfId="0" applyNumberFormat="1" applyFont="1" applyBorder="1" applyAlignment="1">
      <alignment vertical="top" wrapText="1"/>
    </xf>
    <xf numFmtId="0" fontId="5" fillId="10" borderId="23" xfId="0" applyFont="1" applyFill="1" applyBorder="1" applyAlignment="1">
      <alignment vertical="top" wrapText="1"/>
    </xf>
    <xf numFmtId="14" fontId="5" fillId="10" borderId="34" xfId="0" applyNumberFormat="1" applyFont="1" applyFill="1" applyBorder="1" applyAlignment="1">
      <alignment horizontal="center" vertical="top" wrapText="1"/>
    </xf>
    <xf numFmtId="0" fontId="33" fillId="10" borderId="34" xfId="0" applyFont="1" applyFill="1" applyBorder="1" applyAlignment="1">
      <alignment vertical="top" wrapText="1"/>
    </xf>
    <xf numFmtId="4" fontId="14" fillId="10" borderId="63" xfId="0" applyNumberFormat="1" applyFont="1" applyFill="1" applyBorder="1" applyAlignment="1">
      <alignment vertical="top" wrapText="1"/>
    </xf>
    <xf numFmtId="4" fontId="32" fillId="10" borderId="252" xfId="0" applyNumberFormat="1" applyFont="1" applyFill="1" applyBorder="1" applyAlignment="1">
      <alignment vertical="top" wrapText="1"/>
    </xf>
    <xf numFmtId="4" fontId="28" fillId="10" borderId="34" xfId="0" applyNumberFormat="1" applyFont="1" applyFill="1" applyBorder="1" applyAlignment="1">
      <alignment vertical="top" wrapText="1"/>
    </xf>
    <xf numFmtId="4" fontId="28" fillId="10" borderId="63" xfId="0" applyNumberFormat="1" applyFont="1" applyFill="1" applyBorder="1" applyAlignment="1">
      <alignment horizontal="center" vertical="top" wrapText="1"/>
    </xf>
    <xf numFmtId="173" fontId="28" fillId="10" borderId="23" xfId="0" applyNumberFormat="1" applyFont="1" applyFill="1" applyBorder="1" applyAlignment="1">
      <alignment horizontal="center" vertical="top" wrapText="1"/>
    </xf>
    <xf numFmtId="0" fontId="28" fillId="10" borderId="23" xfId="0" applyFont="1" applyFill="1" applyBorder="1" applyAlignment="1">
      <alignment horizontal="center" vertical="top" wrapText="1"/>
    </xf>
    <xf numFmtId="168" fontId="28" fillId="10" borderId="34" xfId="1" applyNumberFormat="1" applyFont="1" applyFill="1" applyBorder="1" applyAlignment="1" applyProtection="1">
      <alignment horizontal="center" vertical="top" wrapText="1"/>
    </xf>
    <xf numFmtId="40" fontId="33" fillId="10" borderId="63" xfId="0" applyNumberFormat="1" applyFont="1" applyFill="1" applyBorder="1" applyAlignment="1">
      <alignment vertical="top" wrapText="1"/>
    </xf>
    <xf numFmtId="40" fontId="28" fillId="10" borderId="171" xfId="0" applyNumberFormat="1" applyFont="1" applyFill="1" applyBorder="1" applyAlignment="1">
      <alignment vertical="top" wrapText="1"/>
    </xf>
    <xf numFmtId="44" fontId="7" fillId="0" borderId="0" xfId="2" applyFont="1" applyFill="1" applyBorder="1" applyAlignment="1" applyProtection="1">
      <alignment horizontal="center" vertical="top" wrapText="1"/>
    </xf>
    <xf numFmtId="44" fontId="26" fillId="10" borderId="21" xfId="2" applyFont="1" applyFill="1" applyBorder="1" applyAlignment="1" applyProtection="1">
      <alignment vertical="top"/>
    </xf>
    <xf numFmtId="17" fontId="26" fillId="10" borderId="34" xfId="0" applyNumberFormat="1" applyFont="1" applyFill="1" applyBorder="1" applyAlignment="1">
      <alignment vertical="top" wrapText="1"/>
    </xf>
    <xf numFmtId="0" fontId="45" fillId="15" borderId="60" xfId="0" applyFont="1" applyFill="1" applyBorder="1" applyAlignment="1">
      <alignment vertical="top" wrapText="1"/>
    </xf>
    <xf numFmtId="0" fontId="45" fillId="15" borderId="29" xfId="0" applyFont="1" applyFill="1" applyBorder="1" applyAlignment="1">
      <alignment vertical="top" wrapText="1"/>
    </xf>
    <xf numFmtId="44" fontId="26" fillId="15" borderId="70" xfId="0" applyNumberFormat="1" applyFont="1" applyFill="1" applyBorder="1" applyAlignment="1">
      <alignment vertical="top" wrapText="1"/>
    </xf>
    <xf numFmtId="176" fontId="26" fillId="15" borderId="73" xfId="0" applyNumberFormat="1" applyFont="1" applyFill="1" applyBorder="1" applyAlignment="1">
      <alignment horizontal="center" vertical="top" wrapText="1"/>
    </xf>
    <xf numFmtId="44" fontId="25" fillId="15" borderId="4" xfId="0" applyNumberFormat="1" applyFont="1" applyFill="1" applyBorder="1" applyAlignment="1">
      <alignment vertical="top"/>
    </xf>
    <xf numFmtId="0" fontId="25" fillId="15" borderId="8" xfId="0" applyFont="1" applyFill="1" applyBorder="1" applyAlignment="1">
      <alignment vertical="top"/>
    </xf>
    <xf numFmtId="17" fontId="25" fillId="15" borderId="8" xfId="0" applyNumberFormat="1" applyFont="1" applyFill="1" applyBorder="1" applyAlignment="1">
      <alignment vertical="top"/>
    </xf>
    <xf numFmtId="0" fontId="25" fillId="10" borderId="8" xfId="0" applyFont="1" applyFill="1" applyBorder="1" applyAlignment="1">
      <alignment vertical="top"/>
    </xf>
    <xf numFmtId="0" fontId="25" fillId="15" borderId="10" xfId="0" applyFont="1" applyFill="1" applyBorder="1" applyAlignment="1">
      <alignment vertical="top"/>
    </xf>
    <xf numFmtId="0" fontId="45" fillId="15" borderId="61" xfId="0" applyFont="1" applyFill="1" applyBorder="1" applyAlignment="1">
      <alignment vertical="top" wrapText="1"/>
    </xf>
    <xf numFmtId="0" fontId="45" fillId="15" borderId="51" xfId="0" applyFont="1" applyFill="1" applyBorder="1" applyAlignment="1">
      <alignment vertical="top" wrapText="1"/>
    </xf>
    <xf numFmtId="44" fontId="25" fillId="15" borderId="40" xfId="0" applyNumberFormat="1" applyFont="1" applyFill="1" applyBorder="1" applyAlignment="1">
      <alignment vertical="top"/>
    </xf>
    <xf numFmtId="0" fontId="25" fillId="15" borderId="41" xfId="0" applyFont="1" applyFill="1" applyBorder="1" applyAlignment="1">
      <alignment vertical="top"/>
    </xf>
    <xf numFmtId="17" fontId="25" fillId="15" borderId="41" xfId="0" applyNumberFormat="1" applyFont="1" applyFill="1" applyBorder="1" applyAlignment="1">
      <alignment vertical="top"/>
    </xf>
    <xf numFmtId="44" fontId="25" fillId="10" borderId="40" xfId="0" applyNumberFormat="1" applyFont="1" applyFill="1" applyBorder="1" applyAlignment="1">
      <alignment vertical="top"/>
    </xf>
    <xf numFmtId="0" fontId="25" fillId="10" borderId="41" xfId="0" applyFont="1" applyFill="1" applyBorder="1" applyAlignment="1">
      <alignment vertical="top"/>
    </xf>
    <xf numFmtId="0" fontId="25" fillId="15" borderId="42" xfId="0" applyFont="1" applyFill="1" applyBorder="1" applyAlignment="1">
      <alignment vertical="top"/>
    </xf>
    <xf numFmtId="44" fontId="26" fillId="15" borderId="70" xfId="0" applyNumberFormat="1" applyFont="1" applyFill="1" applyBorder="1" applyAlignment="1">
      <alignment vertical="top"/>
    </xf>
    <xf numFmtId="0" fontId="45" fillId="15" borderId="76" xfId="0" applyFont="1" applyFill="1" applyBorder="1" applyAlignment="1">
      <alignment vertical="top" wrapText="1"/>
    </xf>
    <xf numFmtId="0" fontId="45" fillId="15" borderId="42" xfId="0" applyFont="1" applyFill="1" applyBorder="1" applyAlignment="1">
      <alignment vertical="top" wrapText="1"/>
    </xf>
    <xf numFmtId="44" fontId="26" fillId="15" borderId="40" xfId="0" applyNumberFormat="1" applyFont="1" applyFill="1" applyBorder="1" applyAlignment="1">
      <alignment vertical="top" wrapText="1"/>
    </xf>
    <xf numFmtId="44" fontId="26" fillId="15" borderId="39" xfId="2" applyFont="1" applyFill="1" applyBorder="1" applyAlignment="1" applyProtection="1">
      <alignment horizontal="left" vertical="top" wrapText="1"/>
    </xf>
    <xf numFmtId="44" fontId="7" fillId="15" borderId="20" xfId="0" applyNumberFormat="1" applyFont="1" applyFill="1" applyBorder="1" applyAlignment="1">
      <alignment vertical="top"/>
    </xf>
    <xf numFmtId="0" fontId="7" fillId="15" borderId="27" xfId="0" applyFont="1" applyFill="1" applyBorder="1" applyAlignment="1">
      <alignment vertical="top"/>
    </xf>
    <xf numFmtId="44" fontId="6" fillId="15" borderId="20" xfId="0" applyNumberFormat="1" applyFont="1" applyFill="1" applyBorder="1" applyAlignment="1">
      <alignment vertical="top"/>
    </xf>
    <xf numFmtId="0" fontId="6" fillId="15" borderId="27" xfId="0" applyFont="1" applyFill="1" applyBorder="1" applyAlignment="1">
      <alignment horizontal="left" vertical="top"/>
    </xf>
    <xf numFmtId="0" fontId="7" fillId="15" borderId="27" xfId="0" applyFont="1" applyFill="1" applyBorder="1" applyAlignment="1">
      <alignment horizontal="left" vertical="top"/>
    </xf>
    <xf numFmtId="166" fontId="6" fillId="15" borderId="28" xfId="0" applyNumberFormat="1" applyFont="1" applyFill="1" applyBorder="1" applyAlignment="1">
      <alignment horizontal="left" vertical="top" wrapText="1"/>
    </xf>
    <xf numFmtId="166" fontId="7" fillId="15" borderId="27" xfId="0" applyNumberFormat="1" applyFont="1" applyFill="1" applyBorder="1" applyAlignment="1">
      <alignment horizontal="center" vertical="top" wrapText="1"/>
    </xf>
    <xf numFmtId="0" fontId="25" fillId="15" borderId="27" xfId="0" applyFont="1" applyFill="1" applyBorder="1" applyAlignment="1">
      <alignment horizontal="center" vertical="top" wrapText="1"/>
    </xf>
    <xf numFmtId="17" fontId="7" fillId="15" borderId="29" xfId="0" applyNumberFormat="1" applyFont="1" applyFill="1" applyBorder="1" applyAlignment="1">
      <alignment vertical="top" wrapText="1"/>
    </xf>
    <xf numFmtId="0" fontId="25" fillId="6" borderId="253" xfId="0" applyFont="1" applyFill="1" applyBorder="1" applyAlignment="1">
      <alignment vertical="top" wrapText="1"/>
    </xf>
    <xf numFmtId="0" fontId="6" fillId="6" borderId="253" xfId="0" applyFont="1" applyFill="1" applyBorder="1" applyAlignment="1">
      <alignment horizontal="center" vertical="top" wrapText="1"/>
    </xf>
    <xf numFmtId="49" fontId="6" fillId="6" borderId="255" xfId="0" applyNumberFormat="1" applyFont="1" applyFill="1" applyBorder="1" applyAlignment="1">
      <alignment horizontal="left" vertical="top" wrapText="1"/>
    </xf>
    <xf numFmtId="0" fontId="7" fillId="6" borderId="253" xfId="0" applyFont="1" applyFill="1" applyBorder="1" applyAlignment="1">
      <alignment vertical="top" wrapText="1"/>
    </xf>
    <xf numFmtId="0" fontId="7" fillId="6" borderId="170" xfId="0" applyFont="1" applyFill="1" applyBorder="1" applyAlignment="1">
      <alignment vertical="top" wrapText="1"/>
    </xf>
    <xf numFmtId="0" fontId="7" fillId="6" borderId="254" xfId="0" applyFont="1" applyFill="1" applyBorder="1" applyAlignment="1">
      <alignment vertical="top" wrapText="1"/>
    </xf>
    <xf numFmtId="0" fontId="7" fillId="6" borderId="258" xfId="0" applyFont="1" applyFill="1" applyBorder="1" applyAlignment="1">
      <alignment vertical="top" wrapText="1"/>
    </xf>
    <xf numFmtId="44" fontId="7" fillId="6" borderId="170" xfId="0" applyNumberFormat="1" applyFont="1" applyFill="1" applyBorder="1" applyAlignment="1">
      <alignment vertical="top" wrapText="1"/>
    </xf>
    <xf numFmtId="17" fontId="7" fillId="6" borderId="254" xfId="0" applyNumberFormat="1" applyFont="1" applyFill="1" applyBorder="1" applyAlignment="1">
      <alignment vertical="top" wrapText="1"/>
    </xf>
    <xf numFmtId="44" fontId="6" fillId="6" borderId="170" xfId="0" applyNumberFormat="1" applyFont="1" applyFill="1" applyBorder="1" applyAlignment="1">
      <alignment vertical="top" wrapText="1"/>
    </xf>
    <xf numFmtId="17" fontId="6" fillId="6" borderId="254" xfId="0" applyNumberFormat="1" applyFont="1" applyFill="1" applyBorder="1" applyAlignment="1">
      <alignment horizontal="left" vertical="top" wrapText="1"/>
    </xf>
    <xf numFmtId="0" fontId="7" fillId="6" borderId="254" xfId="0" applyFont="1" applyFill="1" applyBorder="1" applyAlignment="1">
      <alignment horizontal="left" vertical="top" wrapText="1"/>
    </xf>
    <xf numFmtId="17" fontId="7" fillId="10" borderId="254" xfId="0" applyNumberFormat="1" applyFont="1" applyFill="1" applyBorder="1" applyAlignment="1">
      <alignment horizontal="right" vertical="top" wrapText="1"/>
    </xf>
    <xf numFmtId="17" fontId="7" fillId="10" borderId="254" xfId="0" applyNumberFormat="1" applyFont="1" applyFill="1" applyBorder="1" applyAlignment="1">
      <alignment vertical="top" wrapText="1"/>
    </xf>
    <xf numFmtId="44" fontId="6" fillId="6" borderId="253" xfId="2" applyFont="1" applyFill="1" applyBorder="1" applyAlignment="1" applyProtection="1">
      <alignment vertical="top" wrapText="1"/>
    </xf>
    <xf numFmtId="166" fontId="7" fillId="6" borderId="255" xfId="0" applyNumberFormat="1" applyFont="1" applyFill="1" applyBorder="1" applyAlignment="1">
      <alignment horizontal="left" vertical="top" wrapText="1"/>
    </xf>
    <xf numFmtId="166" fontId="7" fillId="6" borderId="258" xfId="0" applyNumberFormat="1" applyFont="1" applyFill="1" applyBorder="1" applyAlignment="1">
      <alignment horizontal="center" vertical="top" wrapText="1"/>
    </xf>
    <xf numFmtId="166" fontId="7" fillId="6" borderId="254" xfId="0" applyNumberFormat="1" applyFont="1" applyFill="1" applyBorder="1" applyAlignment="1">
      <alignment horizontal="center" vertical="top" wrapText="1"/>
    </xf>
    <xf numFmtId="0" fontId="26" fillId="6" borderId="255" xfId="0" applyFont="1" applyFill="1" applyBorder="1" applyAlignment="1">
      <alignment horizontal="center" vertical="top"/>
    </xf>
    <xf numFmtId="15" fontId="25" fillId="6" borderId="258" xfId="0" applyNumberFormat="1" applyFont="1" applyFill="1" applyBorder="1" applyAlignment="1">
      <alignment horizontal="center" vertical="top"/>
    </xf>
    <xf numFmtId="0" fontId="25" fillId="6" borderId="254" xfId="0" applyFont="1" applyFill="1" applyBorder="1" applyAlignment="1">
      <alignment horizontal="right" vertical="top"/>
    </xf>
    <xf numFmtId="44" fontId="25" fillId="6" borderId="170" xfId="2" applyFont="1" applyFill="1" applyBorder="1" applyAlignment="1" applyProtection="1">
      <alignment vertical="top"/>
    </xf>
    <xf numFmtId="0" fontId="25" fillId="6" borderId="254" xfId="0" applyFont="1" applyFill="1" applyBorder="1" applyAlignment="1">
      <alignment vertical="top"/>
    </xf>
    <xf numFmtId="44" fontId="25" fillId="6" borderId="255" xfId="0" applyNumberFormat="1" applyFont="1" applyFill="1" applyBorder="1" applyAlignment="1">
      <alignment vertical="top"/>
    </xf>
    <xf numFmtId="44" fontId="25" fillId="6" borderId="170" xfId="0" applyNumberFormat="1" applyFont="1" applyFill="1" applyBorder="1" applyAlignment="1">
      <alignment vertical="top"/>
    </xf>
    <xf numFmtId="44" fontId="25" fillId="10" borderId="170" xfId="0" applyNumberFormat="1" applyFont="1" applyFill="1" applyBorder="1" applyAlignment="1">
      <alignment vertical="top"/>
    </xf>
    <xf numFmtId="0" fontId="25" fillId="10" borderId="254" xfId="0" applyFont="1" applyFill="1" applyBorder="1" applyAlignment="1">
      <alignment vertical="top"/>
    </xf>
    <xf numFmtId="17" fontId="25" fillId="6" borderId="254" xfId="0" applyNumberFormat="1" applyFont="1" applyFill="1" applyBorder="1" applyAlignment="1">
      <alignment vertical="top"/>
    </xf>
    <xf numFmtId="0" fontId="25" fillId="6" borderId="258" xfId="0" applyFont="1" applyFill="1" applyBorder="1" applyAlignment="1">
      <alignment vertical="top"/>
    </xf>
    <xf numFmtId="44" fontId="26" fillId="6" borderId="253" xfId="2" applyFont="1" applyFill="1" applyBorder="1" applyAlignment="1" applyProtection="1">
      <alignment horizontal="left" vertical="top" wrapText="1"/>
    </xf>
    <xf numFmtId="0" fontId="7" fillId="0" borderId="9" xfId="0" applyFont="1" applyBorder="1" applyAlignment="1">
      <alignment horizontal="right" vertical="top" wrapText="1"/>
    </xf>
    <xf numFmtId="172" fontId="5" fillId="0" borderId="25" xfId="0" applyNumberFormat="1" applyFont="1" applyBorder="1" applyAlignment="1">
      <alignment horizontal="right" vertical="top" wrapText="1"/>
    </xf>
    <xf numFmtId="44" fontId="14" fillId="0" borderId="25" xfId="0" applyNumberFormat="1" applyFont="1" applyBorder="1" applyAlignment="1">
      <alignment horizontal="right" vertical="top" wrapText="1"/>
    </xf>
    <xf numFmtId="8" fontId="7" fillId="0" borderId="0" xfId="2" applyNumberFormat="1" applyFont="1" applyFill="1" applyAlignment="1" applyProtection="1">
      <alignment vertical="top" wrapText="1"/>
    </xf>
    <xf numFmtId="0" fontId="5" fillId="0" borderId="6" xfId="0" applyFont="1" applyBorder="1" applyAlignment="1">
      <alignment horizontal="right" vertical="top" wrapText="1"/>
    </xf>
    <xf numFmtId="44" fontId="25" fillId="0" borderId="0" xfId="0" applyNumberFormat="1" applyFont="1" applyAlignment="1">
      <alignment horizontal="right" vertical="top"/>
    </xf>
    <xf numFmtId="0" fontId="7" fillId="0" borderId="0" xfId="0" applyFont="1" applyAlignment="1">
      <alignment horizontal="right" vertical="top"/>
    </xf>
    <xf numFmtId="17" fontId="6" fillId="0" borderId="0" xfId="0" applyNumberFormat="1" applyFont="1" applyAlignment="1">
      <alignment horizontal="right" vertical="top" wrapText="1"/>
    </xf>
    <xf numFmtId="17" fontId="6" fillId="6" borderId="6" xfId="0" applyNumberFormat="1" applyFont="1" applyFill="1" applyBorder="1" applyAlignment="1">
      <alignment horizontal="right" vertical="top" wrapText="1"/>
    </xf>
    <xf numFmtId="0" fontId="7" fillId="0" borderId="0" xfId="0" applyFont="1" applyAlignment="1">
      <alignment horizontal="right" vertical="top" wrapText="1"/>
    </xf>
    <xf numFmtId="17" fontId="6" fillId="0" borderId="4" xfId="0" applyNumberFormat="1" applyFont="1" applyBorder="1" applyAlignment="1">
      <alignment horizontal="right" vertical="top" wrapText="1"/>
    </xf>
    <xf numFmtId="0" fontId="0" fillId="0" borderId="0" xfId="0" applyAlignment="1">
      <alignment horizontal="right" vertical="top"/>
    </xf>
    <xf numFmtId="0" fontId="25" fillId="0" borderId="4" xfId="0" applyFont="1" applyBorder="1" applyAlignment="1">
      <alignment horizontal="right" vertical="top" wrapText="1"/>
    </xf>
    <xf numFmtId="0" fontId="25" fillId="0" borderId="4" xfId="0" applyFont="1" applyBorder="1" applyAlignment="1">
      <alignment horizontal="right" vertical="top"/>
    </xf>
    <xf numFmtId="0" fontId="11" fillId="0" borderId="13" xfId="0" applyFont="1" applyBorder="1" applyAlignment="1">
      <alignment horizontal="right" vertical="top"/>
    </xf>
    <xf numFmtId="0" fontId="7" fillId="0" borderId="13" xfId="0" applyFont="1" applyBorder="1" applyAlignment="1">
      <alignment horizontal="right" vertical="top"/>
    </xf>
    <xf numFmtId="0" fontId="28" fillId="24" borderId="0" xfId="0" applyFont="1" applyFill="1" applyAlignment="1">
      <alignment horizontal="center" vertical="top" wrapText="1"/>
    </xf>
    <xf numFmtId="8" fontId="33" fillId="0" borderId="3" xfId="0" applyNumberFormat="1" applyFont="1" applyBorder="1" applyAlignment="1">
      <alignment vertical="top" wrapText="1"/>
    </xf>
    <xf numFmtId="17" fontId="14" fillId="15" borderId="6" xfId="0" applyNumberFormat="1" applyFont="1" applyFill="1" applyBorder="1" applyAlignment="1">
      <alignment horizontal="right" vertical="top" wrapText="1"/>
    </xf>
    <xf numFmtId="40" fontId="14" fillId="0" borderId="0" xfId="0" applyNumberFormat="1" applyFont="1" applyAlignment="1">
      <alignment vertical="top" wrapText="1"/>
    </xf>
    <xf numFmtId="17" fontId="14" fillId="8" borderId="6" xfId="0" applyNumberFormat="1" applyFont="1" applyFill="1" applyBorder="1" applyAlignment="1">
      <alignment horizontal="right" vertical="top" wrapText="1"/>
    </xf>
    <xf numFmtId="0" fontId="28" fillId="15" borderId="63" xfId="0" applyFont="1" applyFill="1" applyBorder="1" applyAlignment="1" applyProtection="1">
      <alignment horizontal="center" vertical="top" wrapText="1"/>
      <protection locked="0"/>
    </xf>
    <xf numFmtId="173" fontId="28" fillId="15" borderId="23" xfId="0" applyNumberFormat="1" applyFont="1" applyFill="1" applyBorder="1" applyAlignment="1" applyProtection="1">
      <alignment horizontal="center" vertical="top" wrapText="1"/>
      <protection locked="0"/>
    </xf>
    <xf numFmtId="0" fontId="28" fillId="15" borderId="23" xfId="0" applyFont="1" applyFill="1" applyBorder="1" applyAlignment="1" applyProtection="1">
      <alignment horizontal="center" vertical="top" wrapText="1"/>
      <protection locked="0"/>
    </xf>
    <xf numFmtId="165" fontId="28" fillId="15" borderId="23" xfId="0" applyNumberFormat="1" applyFont="1" applyFill="1" applyBorder="1" applyAlignment="1" applyProtection="1">
      <alignment horizontal="center" vertical="top" wrapText="1"/>
      <protection locked="0"/>
    </xf>
    <xf numFmtId="168" fontId="28" fillId="15" borderId="34" xfId="1" applyNumberFormat="1" applyFont="1" applyFill="1" applyBorder="1" applyAlignment="1" applyProtection="1">
      <alignment horizontal="center" vertical="top" wrapText="1"/>
      <protection locked="0"/>
    </xf>
    <xf numFmtId="40" fontId="28" fillId="15" borderId="254" xfId="0" applyNumberFormat="1" applyFont="1" applyFill="1" applyBorder="1" applyAlignment="1">
      <alignment vertical="top" wrapText="1"/>
    </xf>
    <xf numFmtId="0" fontId="14" fillId="0" borderId="49" xfId="0" applyFont="1" applyBorder="1" applyAlignment="1">
      <alignment horizontal="center" vertical="top" wrapText="1"/>
    </xf>
    <xf numFmtId="0" fontId="14" fillId="0" borderId="33" xfId="0" applyFont="1" applyBorder="1" applyAlignment="1">
      <alignment horizontal="center" vertical="top" wrapText="1"/>
    </xf>
    <xf numFmtId="167" fontId="5" fillId="0" borderId="33" xfId="0" applyNumberFormat="1" applyFont="1" applyBorder="1" applyAlignment="1">
      <alignment horizontal="center" vertical="top" wrapText="1"/>
    </xf>
    <xf numFmtId="0" fontId="5" fillId="0" borderId="2" xfId="0" applyFont="1" applyBorder="1" applyAlignment="1">
      <alignment vertical="top" wrapText="1"/>
    </xf>
    <xf numFmtId="0" fontId="5" fillId="0" borderId="49" xfId="0" applyFont="1" applyBorder="1" applyAlignment="1">
      <alignment vertical="top" wrapText="1"/>
    </xf>
    <xf numFmtId="0" fontId="5" fillId="0" borderId="33" xfId="0" applyFont="1" applyBorder="1" applyAlignment="1">
      <alignment vertical="top" wrapText="1"/>
    </xf>
    <xf numFmtId="14" fontId="5" fillId="0" borderId="2" xfId="0" applyNumberFormat="1" applyFont="1" applyBorder="1" applyAlignment="1">
      <alignment horizontal="center" vertical="top" wrapText="1"/>
    </xf>
    <xf numFmtId="0" fontId="33" fillId="0" borderId="49" xfId="0" applyFont="1" applyBorder="1" applyAlignment="1">
      <alignment vertical="top" wrapText="1"/>
    </xf>
    <xf numFmtId="0" fontId="33" fillId="0" borderId="2" xfId="0" applyFont="1" applyBorder="1" applyAlignment="1">
      <alignment vertical="top" wrapText="1"/>
    </xf>
    <xf numFmtId="0" fontId="28" fillId="0" borderId="49" xfId="0" applyFont="1" applyBorder="1" applyAlignment="1">
      <alignment horizontal="center" vertical="top" wrapText="1"/>
    </xf>
    <xf numFmtId="0" fontId="14" fillId="25" borderId="62" xfId="0" applyFont="1" applyFill="1" applyBorder="1" applyAlignment="1">
      <alignment horizontal="center" vertical="top" wrapText="1"/>
    </xf>
    <xf numFmtId="0" fontId="14" fillId="25" borderId="32" xfId="0" applyFont="1" applyFill="1" applyBorder="1" applyAlignment="1">
      <alignment horizontal="center" vertical="top" wrapText="1"/>
    </xf>
    <xf numFmtId="14" fontId="5" fillId="25" borderId="32" xfId="0" applyNumberFormat="1" applyFont="1" applyFill="1" applyBorder="1" applyAlignment="1">
      <alignment horizontal="center" vertical="top" wrapText="1"/>
    </xf>
    <xf numFmtId="165" fontId="5" fillId="25" borderId="32" xfId="0" applyNumberFormat="1" applyFont="1" applyFill="1" applyBorder="1" applyAlignment="1">
      <alignment horizontal="center" vertical="top" wrapText="1"/>
    </xf>
    <xf numFmtId="167" fontId="5" fillId="25" borderId="32" xfId="0" applyNumberFormat="1" applyFont="1" applyFill="1" applyBorder="1" applyAlignment="1">
      <alignment horizontal="center" vertical="top" wrapText="1"/>
    </xf>
    <xf numFmtId="0" fontId="5" fillId="25" borderId="31" xfId="0" applyFont="1" applyFill="1" applyBorder="1" applyAlignment="1">
      <alignment vertical="top" wrapText="1"/>
    </xf>
    <xf numFmtId="0" fontId="5" fillId="25" borderId="62" xfId="0" applyFont="1" applyFill="1" applyBorder="1" applyAlignment="1">
      <alignment vertical="top" wrapText="1"/>
    </xf>
    <xf numFmtId="0" fontId="28" fillId="25" borderId="34" xfId="0" applyFont="1" applyFill="1" applyBorder="1" applyAlignment="1">
      <alignment vertical="top" wrapText="1"/>
    </xf>
    <xf numFmtId="0" fontId="14" fillId="25" borderId="63" xfId="0" applyFont="1" applyFill="1" applyBorder="1" applyAlignment="1">
      <alignment horizontal="center" vertical="top" wrapText="1"/>
    </xf>
    <xf numFmtId="0" fontId="14" fillId="25" borderId="23" xfId="0" applyFont="1" applyFill="1" applyBorder="1" applyAlignment="1">
      <alignment horizontal="center" vertical="top" wrapText="1"/>
    </xf>
    <xf numFmtId="14" fontId="5" fillId="25" borderId="23" xfId="0" applyNumberFormat="1" applyFont="1" applyFill="1" applyBorder="1" applyAlignment="1">
      <alignment horizontal="center" vertical="top" wrapText="1"/>
    </xf>
    <xf numFmtId="14" fontId="5" fillId="25" borderId="195" xfId="0" applyNumberFormat="1" applyFont="1" applyFill="1" applyBorder="1" applyAlignment="1">
      <alignment horizontal="center" vertical="top" wrapText="1"/>
    </xf>
    <xf numFmtId="165" fontId="5" fillId="25" borderId="23" xfId="0" applyNumberFormat="1" applyFont="1" applyFill="1" applyBorder="1" applyAlignment="1">
      <alignment horizontal="center" vertical="top" wrapText="1"/>
    </xf>
    <xf numFmtId="167" fontId="5" fillId="25" borderId="23" xfId="0" applyNumberFormat="1" applyFont="1" applyFill="1" applyBorder="1" applyAlignment="1">
      <alignment horizontal="center" vertical="top" wrapText="1"/>
    </xf>
    <xf numFmtId="0" fontId="5" fillId="25" borderId="34" xfId="0" applyFont="1" applyFill="1" applyBorder="1" applyAlignment="1">
      <alignment vertical="top" wrapText="1"/>
    </xf>
    <xf numFmtId="0" fontId="5" fillId="25" borderId="63" xfId="0" applyFont="1" applyFill="1" applyBorder="1" applyAlignment="1">
      <alignment vertical="top" wrapText="1"/>
    </xf>
    <xf numFmtId="0" fontId="33" fillId="15" borderId="4" xfId="0" applyFont="1" applyFill="1" applyBorder="1" applyAlignment="1">
      <alignment vertical="top" wrapText="1"/>
    </xf>
    <xf numFmtId="40" fontId="28" fillId="15" borderId="41" xfId="0" applyNumberFormat="1" applyFont="1" applyFill="1" applyBorder="1" applyAlignment="1">
      <alignment vertical="top" wrapText="1"/>
    </xf>
    <xf numFmtId="4" fontId="5" fillId="10" borderId="250" xfId="0" applyNumberFormat="1" applyFont="1" applyFill="1" applyBorder="1" applyAlignment="1">
      <alignment vertical="top" wrapText="1"/>
    </xf>
    <xf numFmtId="4" fontId="32" fillId="10" borderId="251" xfId="0" applyNumberFormat="1" applyFont="1" applyFill="1" applyBorder="1" applyAlignment="1">
      <alignment vertical="top" wrapText="1"/>
    </xf>
    <xf numFmtId="4" fontId="33" fillId="10" borderId="254" xfId="0" applyNumberFormat="1" applyFont="1" applyFill="1" applyBorder="1" applyAlignment="1">
      <alignment vertical="top" wrapText="1"/>
    </xf>
    <xf numFmtId="40" fontId="33" fillId="10" borderId="251" xfId="0" applyNumberFormat="1" applyFont="1" applyFill="1" applyBorder="1" applyAlignment="1">
      <alignment vertical="top" wrapText="1"/>
    </xf>
    <xf numFmtId="0" fontId="28" fillId="15" borderId="62" xfId="0" applyFont="1" applyFill="1" applyBorder="1" applyAlignment="1" applyProtection="1">
      <alignment horizontal="center" vertical="top" wrapText="1"/>
      <protection locked="0"/>
    </xf>
    <xf numFmtId="173" fontId="28" fillId="15" borderId="32" xfId="0" applyNumberFormat="1" applyFont="1" applyFill="1" applyBorder="1" applyAlignment="1" applyProtection="1">
      <alignment horizontal="center" vertical="top" wrapText="1"/>
      <protection locked="0"/>
    </xf>
    <xf numFmtId="0" fontId="28" fillId="15" borderId="32" xfId="0" applyFont="1" applyFill="1" applyBorder="1" applyAlignment="1" applyProtection="1">
      <alignment horizontal="center" vertical="top" wrapText="1"/>
      <protection locked="0"/>
    </xf>
    <xf numFmtId="165" fontId="28" fillId="15" borderId="32" xfId="0" applyNumberFormat="1" applyFont="1" applyFill="1" applyBorder="1" applyAlignment="1" applyProtection="1">
      <alignment horizontal="center" vertical="top" wrapText="1"/>
      <protection locked="0"/>
    </xf>
    <xf numFmtId="178" fontId="28" fillId="15" borderId="31" xfId="1" applyNumberFormat="1" applyFont="1" applyFill="1" applyBorder="1" applyAlignment="1" applyProtection="1">
      <alignment horizontal="center" vertical="top" wrapText="1"/>
      <protection locked="0"/>
    </xf>
    <xf numFmtId="0" fontId="28" fillId="25" borderId="31" xfId="0" applyFont="1" applyFill="1" applyBorder="1" applyAlignment="1">
      <alignment vertical="top" wrapText="1"/>
    </xf>
    <xf numFmtId="0" fontId="5" fillId="0" borderId="29" xfId="0" applyFont="1" applyBorder="1" applyAlignment="1">
      <alignment vertical="top" wrapText="1"/>
    </xf>
    <xf numFmtId="165" fontId="5" fillId="15" borderId="240" xfId="0" applyNumberFormat="1" applyFont="1" applyFill="1" applyBorder="1" applyAlignment="1">
      <alignment horizontal="center" vertical="top" wrapText="1"/>
    </xf>
    <xf numFmtId="181" fontId="5" fillId="15" borderId="240" xfId="1" applyNumberFormat="1" applyFont="1" applyFill="1" applyBorder="1" applyAlignment="1" applyProtection="1">
      <alignment horizontal="center" vertical="top" wrapText="1"/>
    </xf>
    <xf numFmtId="165" fontId="28" fillId="15" borderId="240" xfId="0" applyNumberFormat="1" applyFont="1" applyFill="1" applyBorder="1" applyAlignment="1">
      <alignment horizontal="center" vertical="top" wrapText="1"/>
    </xf>
    <xf numFmtId="180" fontId="28" fillId="15" borderId="238" xfId="1" applyNumberFormat="1" applyFont="1" applyFill="1" applyBorder="1" applyAlignment="1" applyProtection="1">
      <alignment horizontal="center" vertical="top" wrapText="1"/>
    </xf>
    <xf numFmtId="40" fontId="28" fillId="15" borderId="257" xfId="0" applyNumberFormat="1" applyFont="1" applyFill="1" applyBorder="1" applyAlignment="1">
      <alignment vertical="top" wrapText="1"/>
    </xf>
    <xf numFmtId="180" fontId="28" fillId="15" borderId="34" xfId="1" applyNumberFormat="1" applyFont="1" applyFill="1" applyBorder="1" applyAlignment="1" applyProtection="1">
      <alignment horizontal="center" vertical="top" wrapText="1"/>
      <protection locked="0"/>
    </xf>
    <xf numFmtId="40" fontId="28" fillId="15" borderId="34" xfId="0" applyNumberFormat="1" applyFont="1" applyFill="1" applyBorder="1" applyAlignment="1">
      <alignment vertical="top" wrapText="1"/>
    </xf>
    <xf numFmtId="165" fontId="32" fillId="25" borderId="23" xfId="0" applyNumberFormat="1" applyFont="1" applyFill="1" applyBorder="1" applyAlignment="1">
      <alignment horizontal="center" vertical="top" wrapText="1"/>
    </xf>
    <xf numFmtId="181" fontId="32" fillId="25" borderId="23" xfId="1" applyNumberFormat="1" applyFont="1" applyFill="1" applyBorder="1" applyAlignment="1" applyProtection="1">
      <alignment horizontal="center" vertical="top" wrapText="1"/>
    </xf>
    <xf numFmtId="0" fontId="14" fillId="0" borderId="250" xfId="0" applyFont="1" applyBorder="1" applyAlignment="1">
      <alignment horizontal="center" vertical="top" wrapText="1"/>
    </xf>
    <xf numFmtId="0" fontId="5" fillId="0" borderId="254" xfId="0" applyFont="1" applyBorder="1" applyAlignment="1">
      <alignment vertical="top" wrapText="1"/>
    </xf>
    <xf numFmtId="14" fontId="5" fillId="0" borderId="254" xfId="0" applyNumberFormat="1" applyFont="1" applyBorder="1" applyAlignment="1">
      <alignment horizontal="center" vertical="top" wrapText="1"/>
    </xf>
    <xf numFmtId="0" fontId="33" fillId="0" borderId="254" xfId="0" applyFont="1" applyBorder="1" applyAlignment="1">
      <alignment vertical="top" wrapText="1"/>
    </xf>
    <xf numFmtId="4" fontId="33" fillId="0" borderId="254" xfId="0" applyNumberFormat="1" applyFont="1" applyBorder="1" applyAlignment="1">
      <alignment vertical="top" wrapText="1"/>
    </xf>
    <xf numFmtId="4" fontId="28" fillId="0" borderId="254" xfId="0" applyNumberFormat="1" applyFont="1" applyBorder="1" applyAlignment="1">
      <alignment vertical="top" wrapText="1"/>
    </xf>
    <xf numFmtId="40" fontId="28" fillId="0" borderId="258" xfId="0" applyNumberFormat="1" applyFont="1" applyBorder="1" applyAlignment="1">
      <alignment vertical="top" wrapText="1"/>
    </xf>
    <xf numFmtId="181" fontId="5" fillId="0" borderId="251" xfId="1" applyNumberFormat="1" applyFont="1" applyFill="1" applyBorder="1" applyAlignment="1" applyProtection="1">
      <alignment horizontal="center" vertical="top" wrapText="1"/>
    </xf>
    <xf numFmtId="180" fontId="28" fillId="0" borderId="254" xfId="1" applyNumberFormat="1" applyFont="1" applyFill="1" applyBorder="1" applyAlignment="1" applyProtection="1">
      <alignment horizontal="center" vertical="top" wrapText="1"/>
    </xf>
    <xf numFmtId="0" fontId="14" fillId="18" borderId="49" xfId="0" applyFont="1" applyFill="1" applyBorder="1" applyAlignment="1">
      <alignment horizontal="center" vertical="top" wrapText="1"/>
    </xf>
    <xf numFmtId="0" fontId="14" fillId="18" borderId="33" xfId="0" applyFont="1" applyFill="1" applyBorder="1" applyAlignment="1">
      <alignment horizontal="center" vertical="top" wrapText="1"/>
    </xf>
    <xf numFmtId="14" fontId="5" fillId="18" borderId="33" xfId="0" applyNumberFormat="1" applyFont="1" applyFill="1" applyBorder="1" applyAlignment="1">
      <alignment horizontal="center" vertical="top" wrapText="1"/>
    </xf>
    <xf numFmtId="165" fontId="5" fillId="18" borderId="33" xfId="0" applyNumberFormat="1" applyFont="1" applyFill="1" applyBorder="1" applyAlignment="1">
      <alignment horizontal="center" vertical="top" wrapText="1"/>
    </xf>
    <xf numFmtId="182" fontId="5" fillId="18" borderId="33" xfId="1" applyNumberFormat="1" applyFont="1" applyFill="1" applyBorder="1" applyAlignment="1" applyProtection="1">
      <alignment horizontal="center" vertical="top" wrapText="1"/>
    </xf>
    <xf numFmtId="0" fontId="5" fillId="18" borderId="2" xfId="0" applyFont="1" applyFill="1" applyBorder="1" applyAlignment="1">
      <alignment vertical="top" wrapText="1"/>
    </xf>
    <xf numFmtId="0" fontId="5" fillId="18" borderId="49" xfId="0" applyFont="1" applyFill="1" applyBorder="1" applyAlignment="1">
      <alignment vertical="top" wrapText="1"/>
    </xf>
    <xf numFmtId="0" fontId="28" fillId="18" borderId="2" xfId="0" applyFont="1" applyFill="1" applyBorder="1" applyAlignment="1">
      <alignment vertical="top" wrapText="1"/>
    </xf>
    <xf numFmtId="4" fontId="32" fillId="18" borderId="33" xfId="0" applyNumberFormat="1" applyFont="1" applyFill="1" applyBorder="1" applyAlignment="1">
      <alignment vertical="top" wrapText="1"/>
    </xf>
    <xf numFmtId="0" fontId="28" fillId="0" borderId="49" xfId="0" applyFont="1" applyBorder="1" applyAlignment="1" applyProtection="1">
      <alignment horizontal="center" vertical="top" wrapText="1"/>
      <protection locked="0"/>
    </xf>
    <xf numFmtId="173" fontId="28" fillId="0" borderId="33" xfId="0" applyNumberFormat="1" applyFont="1" applyBorder="1" applyAlignment="1" applyProtection="1">
      <alignment horizontal="center" vertical="top" wrapText="1"/>
      <protection locked="0"/>
    </xf>
    <xf numFmtId="0" fontId="28" fillId="0" borderId="33" xfId="0" applyFont="1" applyBorder="1" applyAlignment="1" applyProtection="1">
      <alignment horizontal="center" vertical="top" wrapText="1"/>
      <protection locked="0"/>
    </xf>
    <xf numFmtId="180" fontId="28" fillId="0" borderId="238" xfId="1" applyNumberFormat="1" applyFont="1" applyFill="1" applyBorder="1" applyAlignment="1" applyProtection="1">
      <alignment horizontal="center" vertical="top" wrapText="1"/>
    </xf>
    <xf numFmtId="40" fontId="28" fillId="0" borderId="2" xfId="0" applyNumberFormat="1" applyFont="1" applyBorder="1" applyAlignment="1">
      <alignment vertical="top" wrapText="1"/>
    </xf>
    <xf numFmtId="8" fontId="14" fillId="15" borderId="262" xfId="2" applyNumberFormat="1" applyFont="1" applyFill="1" applyBorder="1" applyAlignment="1" applyProtection="1">
      <alignment vertical="top" wrapText="1"/>
    </xf>
    <xf numFmtId="8" fontId="29" fillId="0" borderId="3" xfId="2" applyNumberFormat="1" applyFont="1" applyFill="1" applyBorder="1" applyAlignment="1" applyProtection="1">
      <alignment horizontal="center" vertical="top" wrapText="1"/>
    </xf>
    <xf numFmtId="8" fontId="5" fillId="0" borderId="0" xfId="2" applyNumberFormat="1" applyFont="1" applyFill="1" applyAlignment="1" applyProtection="1">
      <alignment vertical="top" wrapText="1"/>
    </xf>
    <xf numFmtId="8" fontId="5" fillId="0" borderId="3" xfId="2" applyNumberFormat="1" applyFont="1" applyFill="1" applyBorder="1" applyAlignment="1" applyProtection="1">
      <alignment vertical="top" wrapText="1"/>
    </xf>
    <xf numFmtId="8" fontId="32" fillId="0" borderId="0" xfId="2" applyNumberFormat="1" applyFont="1" applyFill="1" applyAlignment="1" applyProtection="1">
      <alignment vertical="top" wrapText="1"/>
    </xf>
    <xf numFmtId="40" fontId="33" fillId="10" borderId="264" xfId="0" applyNumberFormat="1" applyFont="1" applyFill="1" applyBorder="1" applyAlignment="1">
      <alignment vertical="top" wrapText="1"/>
    </xf>
    <xf numFmtId="40" fontId="28" fillId="15" borderId="263" xfId="0" applyNumberFormat="1" applyFont="1" applyFill="1" applyBorder="1" applyAlignment="1">
      <alignment vertical="top" wrapText="1"/>
    </xf>
    <xf numFmtId="8" fontId="29" fillId="0" borderId="3" xfId="0" applyNumberFormat="1" applyFont="1" applyBorder="1" applyAlignment="1">
      <alignment horizontal="center" vertical="top" wrapText="1"/>
    </xf>
    <xf numFmtId="8" fontId="32" fillId="0" borderId="0" xfId="0" applyNumberFormat="1" applyFont="1" applyAlignment="1">
      <alignment vertical="top" wrapText="1"/>
    </xf>
    <xf numFmtId="8" fontId="32" fillId="0" borderId="3" xfId="0" applyNumberFormat="1" applyFont="1" applyBorder="1" applyAlignment="1">
      <alignment vertical="top" wrapText="1"/>
    </xf>
    <xf numFmtId="8" fontId="25" fillId="0" borderId="0" xfId="0" applyNumberFormat="1" applyFont="1" applyAlignment="1">
      <alignment vertical="top"/>
    </xf>
    <xf numFmtId="8" fontId="7" fillId="0" borderId="0" xfId="0" applyNumberFormat="1" applyFont="1" applyAlignment="1">
      <alignment vertical="top"/>
    </xf>
    <xf numFmtId="8" fontId="8" fillId="0" borderId="0" xfId="0" applyNumberFormat="1" applyFont="1" applyAlignment="1">
      <alignment horizontal="right" vertical="top" wrapText="1"/>
    </xf>
    <xf numFmtId="8" fontId="7" fillId="0" borderId="0" xfId="0" applyNumberFormat="1" applyFont="1" applyAlignment="1">
      <alignment vertical="top" wrapText="1"/>
    </xf>
    <xf numFmtId="8" fontId="0" fillId="0" borderId="0" xfId="0" applyNumberFormat="1" applyAlignment="1">
      <alignment vertical="top"/>
    </xf>
    <xf numFmtId="8" fontId="26" fillId="0" borderId="0" xfId="2" applyNumberFormat="1" applyFont="1" applyFill="1" applyAlignment="1" applyProtection="1">
      <alignment vertical="top"/>
    </xf>
    <xf numFmtId="8" fontId="25" fillId="0" borderId="0" xfId="2" applyNumberFormat="1" applyFont="1" applyFill="1" applyAlignment="1" applyProtection="1">
      <alignment horizontal="right" vertical="top"/>
    </xf>
    <xf numFmtId="8" fontId="26" fillId="10" borderId="240" xfId="0" applyNumberFormat="1" applyFont="1" applyFill="1" applyBorder="1" applyAlignment="1">
      <alignment horizontal="center" vertical="top" wrapText="1"/>
    </xf>
    <xf numFmtId="8" fontId="24" fillId="0" borderId="0" xfId="0" applyNumberFormat="1" applyFont="1" applyAlignment="1">
      <alignment vertical="top" wrapText="1"/>
    </xf>
    <xf numFmtId="8" fontId="32" fillId="0" borderId="0" xfId="0" applyNumberFormat="1" applyFont="1" applyAlignment="1">
      <alignment vertical="top"/>
    </xf>
    <xf numFmtId="44" fontId="25" fillId="0" borderId="3" xfId="0" applyNumberFormat="1" applyFont="1" applyBorder="1" applyAlignment="1">
      <alignment vertical="top"/>
    </xf>
    <xf numFmtId="8" fontId="26" fillId="24" borderId="240" xfId="0" applyNumberFormat="1" applyFont="1" applyFill="1" applyBorder="1" applyAlignment="1">
      <alignment horizontal="center" vertical="top" wrapText="1"/>
    </xf>
    <xf numFmtId="8" fontId="25" fillId="0" borderId="0" xfId="0" applyNumberFormat="1" applyFont="1" applyAlignment="1">
      <alignment horizontal="right" vertical="top" wrapText="1"/>
    </xf>
    <xf numFmtId="8" fontId="25" fillId="0" borderId="0" xfId="0" applyNumberFormat="1" applyFont="1" applyAlignment="1">
      <alignment vertical="top" wrapText="1"/>
    </xf>
    <xf numFmtId="8" fontId="33" fillId="0" borderId="0" xfId="0" applyNumberFormat="1" applyFont="1" applyAlignment="1">
      <alignment vertical="top"/>
    </xf>
    <xf numFmtId="40" fontId="33" fillId="19" borderId="63" xfId="0" applyNumberFormat="1" applyFont="1" applyFill="1" applyBorder="1" applyAlignment="1">
      <alignment vertical="top" wrapText="1"/>
    </xf>
    <xf numFmtId="40" fontId="33" fillId="19" borderId="23" xfId="0" applyNumberFormat="1" applyFont="1" applyFill="1" applyBorder="1" applyAlignment="1">
      <alignment vertical="top" wrapText="1"/>
    </xf>
    <xf numFmtId="0" fontId="5" fillId="15" borderId="261" xfId="0" applyFont="1" applyFill="1" applyBorder="1" applyAlignment="1">
      <alignment vertical="top" wrapText="1"/>
    </xf>
    <xf numFmtId="14" fontId="5" fillId="15" borderId="261" xfId="0" applyNumberFormat="1" applyFont="1" applyFill="1" applyBorder="1" applyAlignment="1">
      <alignment horizontal="center" vertical="top" wrapText="1"/>
    </xf>
    <xf numFmtId="0" fontId="33" fillId="15" borderId="261" xfId="0" applyFont="1" applyFill="1" applyBorder="1" applyAlignment="1">
      <alignment vertical="top" wrapText="1"/>
    </xf>
    <xf numFmtId="4" fontId="33" fillId="15" borderId="261" xfId="0" applyNumberFormat="1" applyFont="1" applyFill="1" applyBorder="1" applyAlignment="1">
      <alignment vertical="top" wrapText="1"/>
    </xf>
    <xf numFmtId="4" fontId="32" fillId="15" borderId="259" xfId="0" applyNumberFormat="1" applyFont="1" applyFill="1" applyBorder="1" applyAlignment="1">
      <alignment vertical="top" wrapText="1"/>
    </xf>
    <xf numFmtId="4" fontId="28" fillId="15" borderId="261" xfId="0" applyNumberFormat="1" applyFont="1" applyFill="1" applyBorder="1" applyAlignment="1">
      <alignment vertical="top" wrapText="1"/>
    </xf>
    <xf numFmtId="182" fontId="28" fillId="15" borderId="261" xfId="1" applyNumberFormat="1" applyFont="1" applyFill="1" applyBorder="1" applyAlignment="1" applyProtection="1">
      <alignment horizontal="center" vertical="top" wrapText="1"/>
    </xf>
    <xf numFmtId="40" fontId="28" fillId="15" borderId="259" xfId="0" applyNumberFormat="1" applyFont="1" applyFill="1" applyBorder="1" applyAlignment="1">
      <alignment vertical="top" wrapText="1"/>
    </xf>
    <xf numFmtId="0" fontId="32" fillId="10" borderId="63" xfId="0" applyFont="1" applyFill="1" applyBorder="1" applyAlignment="1">
      <alignment vertical="top" wrapText="1"/>
    </xf>
    <xf numFmtId="44" fontId="33" fillId="0" borderId="9" xfId="0" applyNumberFormat="1" applyFont="1" applyBorder="1" applyAlignment="1">
      <alignment vertical="top" wrapText="1"/>
    </xf>
    <xf numFmtId="44" fontId="33" fillId="0" borderId="28" xfId="0" applyNumberFormat="1" applyFont="1" applyBorder="1" applyAlignment="1">
      <alignment vertical="top" wrapText="1"/>
    </xf>
    <xf numFmtId="0" fontId="98" fillId="0" borderId="0" xfId="0" applyFont="1" applyAlignment="1">
      <alignment horizontal="centerContinuous" vertical="center"/>
    </xf>
    <xf numFmtId="0" fontId="86" fillId="0" borderId="0" xfId="0" applyFont="1" applyAlignment="1">
      <alignment horizontal="centerContinuous" vertical="center"/>
    </xf>
    <xf numFmtId="0" fontId="99" fillId="0" borderId="0" xfId="0" applyFont="1" applyAlignment="1">
      <alignment vertical="center"/>
    </xf>
    <xf numFmtId="0" fontId="100" fillId="0" borderId="0" xfId="0" applyFont="1" applyAlignment="1">
      <alignment horizontal="right" vertical="center"/>
    </xf>
    <xf numFmtId="0" fontId="86" fillId="0" borderId="0" xfId="0" applyFont="1" applyAlignment="1">
      <alignment horizontal="center" vertical="center"/>
    </xf>
    <xf numFmtId="0" fontId="101" fillId="0" borderId="0" xfId="0" applyFont="1" applyAlignment="1">
      <alignment vertical="center"/>
    </xf>
    <xf numFmtId="0" fontId="102" fillId="0" borderId="0" xfId="0" applyFont="1" applyAlignment="1">
      <alignment vertical="center"/>
    </xf>
    <xf numFmtId="0" fontId="85" fillId="0" borderId="0" xfId="0" applyFont="1" applyAlignment="1">
      <alignment horizontal="center" vertical="center"/>
    </xf>
    <xf numFmtId="0" fontId="71" fillId="0" borderId="0" xfId="0" applyFont="1" applyAlignment="1">
      <alignment vertical="center"/>
    </xf>
    <xf numFmtId="0" fontId="85" fillId="0" borderId="0" xfId="0" applyFont="1" applyAlignment="1">
      <alignment vertical="center"/>
    </xf>
    <xf numFmtId="0" fontId="99" fillId="0" borderId="0" xfId="0" applyFont="1" applyAlignment="1">
      <alignment horizontal="right" vertical="center"/>
    </xf>
    <xf numFmtId="0" fontId="105" fillId="0" borderId="0" xfId="12" applyFont="1" applyAlignment="1">
      <alignment horizontal="center"/>
    </xf>
    <xf numFmtId="0" fontId="3" fillId="0" borderId="0" xfId="0" applyFont="1" applyAlignment="1">
      <alignment vertical="center"/>
    </xf>
    <xf numFmtId="0" fontId="33" fillId="0" borderId="0" xfId="0" applyFont="1" applyAlignment="1">
      <alignment horizontal="center" vertical="center"/>
    </xf>
    <xf numFmtId="0" fontId="106" fillId="0" borderId="0" xfId="0" applyFont="1" applyAlignment="1">
      <alignment horizontal="center" vertical="center"/>
    </xf>
    <xf numFmtId="0" fontId="28" fillId="0" borderId="0" xfId="0" applyFont="1" applyAlignment="1">
      <alignment horizontal="center" vertical="center"/>
    </xf>
    <xf numFmtId="0" fontId="86" fillId="8" borderId="0" xfId="0" applyFont="1" applyFill="1" applyAlignment="1">
      <alignment horizontal="center" vertical="center"/>
    </xf>
    <xf numFmtId="184" fontId="86" fillId="8" borderId="0" xfId="0" applyNumberFormat="1" applyFont="1" applyFill="1" applyAlignment="1">
      <alignment horizontal="center" vertical="center"/>
    </xf>
    <xf numFmtId="0" fontId="85" fillId="0" borderId="62" xfId="0" applyFont="1" applyBorder="1" applyAlignment="1">
      <alignment vertical="center"/>
    </xf>
    <xf numFmtId="0" fontId="85" fillId="0" borderId="250" xfId="0" applyFont="1" applyBorder="1" applyAlignment="1">
      <alignment vertical="center"/>
    </xf>
    <xf numFmtId="0" fontId="100" fillId="0" borderId="230" xfId="0" applyFont="1" applyBorder="1" applyAlignment="1">
      <alignment vertical="center"/>
    </xf>
    <xf numFmtId="0" fontId="100" fillId="0" borderId="250" xfId="0" applyFont="1" applyBorder="1" applyAlignment="1">
      <alignment vertical="center"/>
    </xf>
    <xf numFmtId="0" fontId="100" fillId="0" borderId="239" xfId="0" applyFont="1" applyBorder="1" applyAlignment="1">
      <alignment vertical="center"/>
    </xf>
    <xf numFmtId="0" fontId="107" fillId="0" borderId="0" xfId="0" applyFont="1" applyAlignment="1">
      <alignment vertical="center"/>
    </xf>
    <xf numFmtId="0" fontId="102" fillId="0" borderId="5" xfId="0" applyFont="1" applyBorder="1" applyAlignment="1">
      <alignment vertical="center" wrapText="1"/>
    </xf>
    <xf numFmtId="184" fontId="102" fillId="0" borderId="170" xfId="0" applyNumberFormat="1" applyFont="1" applyBorder="1" applyAlignment="1">
      <alignment horizontal="left" vertical="center" wrapText="1"/>
    </xf>
    <xf numFmtId="184" fontId="102" fillId="0" borderId="6" xfId="0" applyNumberFormat="1" applyFont="1" applyBorder="1" applyAlignment="1">
      <alignment horizontal="left" vertical="center" wrapText="1"/>
    </xf>
    <xf numFmtId="0" fontId="32" fillId="0" borderId="67" xfId="0" applyFont="1" applyBorder="1" applyAlignment="1">
      <alignment vertical="top" wrapText="1"/>
    </xf>
    <xf numFmtId="0" fontId="89" fillId="0" borderId="63" xfId="0" applyFont="1" applyBorder="1" applyAlignment="1">
      <alignment vertical="top" wrapText="1"/>
    </xf>
    <xf numFmtId="4" fontId="29" fillId="8" borderId="266" xfId="0" applyNumberFormat="1" applyFont="1" applyFill="1" applyBorder="1" applyAlignment="1">
      <alignment horizontal="center" vertical="top" wrapText="1"/>
    </xf>
    <xf numFmtId="4" fontId="32" fillId="0" borderId="267" xfId="0" applyNumberFormat="1" applyFont="1" applyBorder="1" applyAlignment="1">
      <alignment vertical="top" wrapText="1"/>
    </xf>
    <xf numFmtId="165" fontId="32" fillId="0" borderId="240" xfId="0" applyNumberFormat="1" applyFont="1" applyBorder="1" applyAlignment="1">
      <alignment horizontal="center" vertical="top" wrapText="1"/>
    </xf>
    <xf numFmtId="182" fontId="32" fillId="0" borderId="240" xfId="1" applyNumberFormat="1" applyFont="1" applyFill="1" applyBorder="1" applyAlignment="1" applyProtection="1">
      <alignment horizontal="center" vertical="top" wrapText="1"/>
    </xf>
    <xf numFmtId="0" fontId="5" fillId="0" borderId="265" xfId="0" applyFont="1" applyBorder="1" applyAlignment="1">
      <alignment vertical="top" wrapText="1"/>
    </xf>
    <xf numFmtId="14" fontId="5" fillId="0" borderId="265" xfId="0" applyNumberFormat="1" applyFont="1" applyBorder="1" applyAlignment="1">
      <alignment horizontal="center" vertical="top" wrapText="1"/>
    </xf>
    <xf numFmtId="0" fontId="33" fillId="0" borderId="265" xfId="0" applyFont="1" applyBorder="1" applyAlignment="1">
      <alignment vertical="top" wrapText="1"/>
    </xf>
    <xf numFmtId="4" fontId="33" fillId="0" borderId="265" xfId="0" applyNumberFormat="1" applyFont="1" applyBorder="1" applyAlignment="1">
      <alignment vertical="top" wrapText="1"/>
    </xf>
    <xf numFmtId="4" fontId="32" fillId="0" borderId="266" xfId="0" applyNumberFormat="1" applyFont="1" applyBorder="1" applyAlignment="1">
      <alignment vertical="top" wrapText="1"/>
    </xf>
    <xf numFmtId="4" fontId="28" fillId="0" borderId="265" xfId="0" applyNumberFormat="1" applyFont="1" applyBorder="1" applyAlignment="1">
      <alignment vertical="top" wrapText="1"/>
    </xf>
    <xf numFmtId="165" fontId="29" fillId="0" borderId="240" xfId="0" applyNumberFormat="1" applyFont="1" applyBorder="1" applyAlignment="1">
      <alignment horizontal="center" vertical="top" wrapText="1"/>
    </xf>
    <xf numFmtId="182" fontId="29" fillId="0" borderId="265" xfId="1" applyNumberFormat="1" applyFont="1" applyFill="1" applyBorder="1" applyAlignment="1" applyProtection="1">
      <alignment horizontal="center" vertical="top" wrapText="1"/>
    </xf>
    <xf numFmtId="40" fontId="28" fillId="0" borderId="266" xfId="0" applyNumberFormat="1" applyFont="1" applyBorder="1" applyAlignment="1">
      <alignment vertical="top" wrapText="1"/>
    </xf>
    <xf numFmtId="182" fontId="29" fillId="15" borderId="27" xfId="1" applyNumberFormat="1" applyFont="1" applyFill="1" applyBorder="1" applyAlignment="1" applyProtection="1">
      <alignment horizontal="center" vertical="top" wrapText="1"/>
    </xf>
    <xf numFmtId="0" fontId="25" fillId="0" borderId="242" xfId="0" applyFont="1" applyBorder="1" applyAlignment="1">
      <alignment vertical="top" wrapText="1"/>
    </xf>
    <xf numFmtId="0" fontId="6" fillId="0" borderId="242" xfId="0" applyFont="1" applyBorder="1" applyAlignment="1">
      <alignment horizontal="center" vertical="top" wrapText="1"/>
    </xf>
    <xf numFmtId="49" fontId="6" fillId="0" borderId="262" xfId="0" applyNumberFormat="1" applyFont="1" applyBorder="1" applyAlignment="1">
      <alignment horizontal="left" vertical="top" wrapText="1"/>
    </xf>
    <xf numFmtId="0" fontId="7" fillId="0" borderId="242" xfId="0" applyFont="1" applyBorder="1" applyAlignment="1">
      <alignment vertical="top" wrapText="1"/>
    </xf>
    <xf numFmtId="0" fontId="7" fillId="0" borderId="268" xfId="0" applyFont="1" applyBorder="1" applyAlignment="1">
      <alignment vertical="top" wrapText="1"/>
    </xf>
    <xf numFmtId="0" fontId="25" fillId="0" borderId="36" xfId="0" applyFont="1" applyBorder="1" applyAlignment="1">
      <alignment vertical="top" wrapText="1"/>
    </xf>
    <xf numFmtId="0" fontId="7" fillId="0" borderId="240" xfId="0" applyFont="1" applyBorder="1" applyAlignment="1">
      <alignment vertical="top" wrapText="1"/>
    </xf>
    <xf numFmtId="17" fontId="25" fillId="0" borderId="268" xfId="0" applyNumberFormat="1" applyFont="1" applyBorder="1" applyAlignment="1">
      <alignment vertical="top" wrapText="1"/>
    </xf>
    <xf numFmtId="0" fontId="7" fillId="0" borderId="268" xfId="0" applyFont="1" applyBorder="1" applyAlignment="1">
      <alignment horizontal="left" vertical="top" wrapText="1"/>
    </xf>
    <xf numFmtId="17" fontId="7" fillId="0" borderId="268" xfId="0" applyNumberFormat="1" applyFont="1" applyBorder="1" applyAlignment="1">
      <alignment vertical="top" wrapText="1"/>
    </xf>
    <xf numFmtId="17" fontId="25" fillId="10" borderId="268" xfId="0" applyNumberFormat="1" applyFont="1" applyFill="1" applyBorder="1" applyAlignment="1">
      <alignment vertical="top" wrapText="1"/>
    </xf>
    <xf numFmtId="0" fontId="7" fillId="0" borderId="266" xfId="0" applyFont="1" applyBorder="1" applyAlignment="1">
      <alignment vertical="top" wrapText="1"/>
    </xf>
    <xf numFmtId="44" fontId="6" fillId="0" borderId="242" xfId="2" applyFont="1" applyFill="1" applyBorder="1" applyAlignment="1" applyProtection="1">
      <alignment vertical="top" wrapText="1"/>
    </xf>
    <xf numFmtId="166" fontId="7" fillId="0" borderId="262" xfId="0" applyNumberFormat="1" applyFont="1" applyBorder="1" applyAlignment="1">
      <alignment horizontal="left" vertical="top" wrapText="1"/>
    </xf>
    <xf numFmtId="166" fontId="7" fillId="0" borderId="266" xfId="0" applyNumberFormat="1" applyFont="1" applyBorder="1" applyAlignment="1">
      <alignment horizontal="center" vertical="top" wrapText="1"/>
    </xf>
    <xf numFmtId="166" fontId="7" fillId="0" borderId="268" xfId="0" applyNumberFormat="1" applyFont="1" applyBorder="1" applyAlignment="1">
      <alignment horizontal="center" vertical="top" wrapText="1"/>
    </xf>
    <xf numFmtId="0" fontId="26" fillId="0" borderId="262" xfId="0" applyFont="1" applyBorder="1" applyAlignment="1">
      <alignment horizontal="center" vertical="top" wrapText="1"/>
    </xf>
    <xf numFmtId="15" fontId="25" fillId="0" borderId="266" xfId="0" applyNumberFormat="1" applyFont="1" applyBorder="1" applyAlignment="1">
      <alignment horizontal="center" vertical="top" wrapText="1"/>
    </xf>
    <xf numFmtId="0" fontId="25" fillId="0" borderId="268" xfId="0" applyFont="1" applyBorder="1" applyAlignment="1">
      <alignment horizontal="right" vertical="top" wrapText="1"/>
    </xf>
    <xf numFmtId="44" fontId="25" fillId="0" borderId="262" xfId="0" applyNumberFormat="1" applyFont="1" applyBorder="1" applyAlignment="1">
      <alignment vertical="top" wrapText="1"/>
    </xf>
    <xf numFmtId="0" fontId="25" fillId="0" borderId="268" xfId="0" applyFont="1" applyBorder="1" applyAlignment="1">
      <alignment vertical="top" wrapText="1"/>
    </xf>
    <xf numFmtId="0" fontId="25" fillId="10" borderId="268" xfId="0" applyFont="1" applyFill="1" applyBorder="1" applyAlignment="1">
      <alignment vertical="top" wrapText="1"/>
    </xf>
    <xf numFmtId="0" fontId="25" fillId="0" borderId="266" xfId="0" applyFont="1" applyBorder="1" applyAlignment="1">
      <alignment vertical="top" wrapText="1"/>
    </xf>
    <xf numFmtId="44" fontId="26" fillId="0" borderId="242" xfId="2" applyFont="1" applyFill="1" applyBorder="1" applyAlignment="1" applyProtection="1">
      <alignment horizontal="left" vertical="top" wrapText="1"/>
    </xf>
    <xf numFmtId="0" fontId="32" fillId="15" borderId="34" xfId="0" applyFont="1" applyFill="1" applyBorder="1" applyAlignment="1">
      <alignment vertical="top" wrapText="1"/>
    </xf>
    <xf numFmtId="0" fontId="25" fillId="0" borderId="169" xfId="0" applyFont="1" applyBorder="1" applyAlignment="1">
      <alignment vertical="top" wrapText="1"/>
    </xf>
    <xf numFmtId="0" fontId="31" fillId="0" borderId="22" xfId="0" applyFont="1" applyBorder="1" applyAlignment="1">
      <alignment vertical="top" wrapText="1"/>
    </xf>
    <xf numFmtId="0" fontId="24" fillId="0" borderId="22" xfId="0" applyFont="1" applyBorder="1" applyAlignment="1">
      <alignment vertical="top" wrapText="1"/>
    </xf>
    <xf numFmtId="0" fontId="24" fillId="0" borderId="26" xfId="0" applyFont="1" applyBorder="1" applyAlignment="1">
      <alignment vertical="top" wrapText="1"/>
    </xf>
    <xf numFmtId="0" fontId="33" fillId="15" borderId="63" xfId="0" applyFont="1" applyFill="1" applyBorder="1" applyAlignment="1">
      <alignment horizontal="center" vertical="top" wrapText="1"/>
    </xf>
    <xf numFmtId="0" fontId="33" fillId="18" borderId="63" xfId="0" applyFont="1" applyFill="1" applyBorder="1" applyAlignment="1">
      <alignment vertical="top" wrapText="1"/>
    </xf>
    <xf numFmtId="0" fontId="5" fillId="18" borderId="198" xfId="0" applyFont="1" applyFill="1" applyBorder="1" applyAlignment="1">
      <alignment horizontal="center" vertical="top" wrapText="1"/>
    </xf>
    <xf numFmtId="14" fontId="5" fillId="18" borderId="34" xfId="0" applyNumberFormat="1" applyFont="1" applyFill="1" applyBorder="1" applyAlignment="1">
      <alignment horizontal="center" vertical="top" wrapText="1"/>
    </xf>
    <xf numFmtId="0" fontId="8" fillId="26" borderId="22" xfId="0" applyFont="1" applyFill="1" applyBorder="1" applyAlignment="1">
      <alignment vertical="top" wrapText="1"/>
    </xf>
    <xf numFmtId="0" fontId="6" fillId="26" borderId="64" xfId="0" applyFont="1" applyFill="1" applyBorder="1" applyAlignment="1">
      <alignment horizontal="center" vertical="top" wrapText="1"/>
    </xf>
    <xf numFmtId="49" fontId="6" fillId="26" borderId="22" xfId="0" applyNumberFormat="1" applyFont="1" applyFill="1" applyBorder="1" applyAlignment="1">
      <alignment horizontal="left" vertical="top" wrapText="1"/>
    </xf>
    <xf numFmtId="0" fontId="7" fillId="26" borderId="64" xfId="0" applyFont="1" applyFill="1" applyBorder="1" applyAlignment="1">
      <alignment vertical="top" wrapText="1"/>
    </xf>
    <xf numFmtId="0" fontId="7" fillId="26" borderId="21" xfId="0" applyFont="1" applyFill="1" applyBorder="1" applyAlignment="1">
      <alignment vertical="top" wrapText="1"/>
    </xf>
    <xf numFmtId="0" fontId="7" fillId="26" borderId="34" xfId="0" applyFont="1" applyFill="1" applyBorder="1" applyAlignment="1">
      <alignment vertical="top" wrapText="1"/>
    </xf>
    <xf numFmtId="0" fontId="7" fillId="26" borderId="51" xfId="0" applyFont="1" applyFill="1" applyBorder="1" applyAlignment="1">
      <alignment vertical="top" wrapText="1"/>
    </xf>
    <xf numFmtId="44" fontId="7" fillId="26" borderId="21" xfId="0" applyNumberFormat="1" applyFont="1" applyFill="1" applyBorder="1" applyAlignment="1">
      <alignment vertical="top" wrapText="1"/>
    </xf>
    <xf numFmtId="44" fontId="6" fillId="26" borderId="21" xfId="0" applyNumberFormat="1" applyFont="1" applyFill="1" applyBorder="1" applyAlignment="1">
      <alignment vertical="top" wrapText="1"/>
    </xf>
    <xf numFmtId="17" fontId="6" fillId="26" borderId="34" xfId="0" applyNumberFormat="1" applyFont="1" applyFill="1" applyBorder="1" applyAlignment="1">
      <alignment horizontal="left" vertical="top" wrapText="1"/>
    </xf>
    <xf numFmtId="0" fontId="7" fillId="26" borderId="34" xfId="0" applyFont="1" applyFill="1" applyBorder="1" applyAlignment="1">
      <alignment horizontal="left" vertical="top" wrapText="1"/>
    </xf>
    <xf numFmtId="0" fontId="7" fillId="26" borderId="34" xfId="0" applyFont="1" applyFill="1" applyBorder="1" applyAlignment="1">
      <alignment horizontal="right" vertical="top" wrapText="1"/>
    </xf>
    <xf numFmtId="44" fontId="7" fillId="26" borderId="170" xfId="0" applyNumberFormat="1" applyFont="1" applyFill="1" applyBorder="1" applyAlignment="1">
      <alignment vertical="top" wrapText="1"/>
    </xf>
    <xf numFmtId="0" fontId="7" fillId="26" borderId="222" xfId="0" applyFont="1" applyFill="1" applyBorder="1" applyAlignment="1">
      <alignment vertical="top" wrapText="1"/>
    </xf>
    <xf numFmtId="44" fontId="6" fillId="26" borderId="64" xfId="2" applyFont="1" applyFill="1" applyBorder="1" applyAlignment="1" applyProtection="1">
      <alignment vertical="top" wrapText="1"/>
    </xf>
    <xf numFmtId="166" fontId="6" fillId="26" borderId="22" xfId="0" applyNumberFormat="1" applyFont="1" applyFill="1" applyBorder="1" applyAlignment="1">
      <alignment horizontal="left" vertical="top" wrapText="1"/>
    </xf>
    <xf numFmtId="166" fontId="7" fillId="26" borderId="51" xfId="0" applyNumberFormat="1" applyFont="1" applyFill="1" applyBorder="1" applyAlignment="1">
      <alignment horizontal="center" vertical="top" wrapText="1"/>
    </xf>
    <xf numFmtId="166" fontId="7" fillId="26" borderId="34" xfId="0" applyNumberFormat="1" applyFont="1" applyFill="1" applyBorder="1" applyAlignment="1">
      <alignment horizontal="center" vertical="top" wrapText="1"/>
    </xf>
    <xf numFmtId="44" fontId="25" fillId="26" borderId="168" xfId="0" applyNumberFormat="1" applyFont="1" applyFill="1" applyBorder="1" applyAlignment="1">
      <alignment vertical="top" wrapText="1"/>
    </xf>
    <xf numFmtId="0" fontId="25" fillId="26" borderId="34" xfId="0" applyFont="1" applyFill="1" applyBorder="1" applyAlignment="1">
      <alignment horizontal="right" vertical="top"/>
    </xf>
    <xf numFmtId="0" fontId="25" fillId="26" borderId="34" xfId="0" applyFont="1" applyFill="1" applyBorder="1" applyAlignment="1">
      <alignment vertical="top"/>
    </xf>
    <xf numFmtId="44" fontId="25" fillId="26" borderId="22" xfId="0" applyNumberFormat="1" applyFont="1" applyFill="1" applyBorder="1" applyAlignment="1">
      <alignment vertical="top"/>
    </xf>
    <xf numFmtId="44" fontId="25" fillId="26" borderId="21" xfId="0" applyNumberFormat="1" applyFont="1" applyFill="1" applyBorder="1" applyAlignment="1">
      <alignment vertical="top"/>
    </xf>
    <xf numFmtId="44" fontId="26" fillId="26" borderId="64" xfId="2" applyFont="1" applyFill="1" applyBorder="1" applyAlignment="1" applyProtection="1">
      <alignment horizontal="left" vertical="top" wrapText="1"/>
    </xf>
    <xf numFmtId="0" fontId="8" fillId="26" borderId="172" xfId="0" applyFont="1" applyFill="1" applyBorder="1" applyAlignment="1">
      <alignment vertical="top" wrapText="1"/>
    </xf>
    <xf numFmtId="0" fontId="6" fillId="26" borderId="204" xfId="0" applyFont="1" applyFill="1" applyBorder="1" applyAlignment="1">
      <alignment horizontal="center" vertical="top" wrapText="1"/>
    </xf>
    <xf numFmtId="49" fontId="6" fillId="26" borderId="172" xfId="0" applyNumberFormat="1" applyFont="1" applyFill="1" applyBorder="1" applyAlignment="1">
      <alignment horizontal="left" vertical="top" wrapText="1"/>
    </xf>
    <xf numFmtId="0" fontId="7" fillId="26" borderId="204" xfId="0" applyFont="1" applyFill="1" applyBorder="1" applyAlignment="1">
      <alignment vertical="top" wrapText="1"/>
    </xf>
    <xf numFmtId="0" fontId="7" fillId="26" borderId="173" xfId="0" applyFont="1" applyFill="1" applyBorder="1" applyAlignment="1">
      <alignment vertical="top" wrapText="1"/>
    </xf>
    <xf numFmtId="0" fontId="7" fillId="26" borderId="165" xfId="0" applyFont="1" applyFill="1" applyBorder="1" applyAlignment="1">
      <alignment vertical="top" wrapText="1"/>
    </xf>
    <xf numFmtId="0" fontId="7" fillId="26" borderId="202" xfId="0" applyFont="1" applyFill="1" applyBorder="1" applyAlignment="1">
      <alignment vertical="top" wrapText="1"/>
    </xf>
    <xf numFmtId="44" fontId="7" fillId="26" borderId="173" xfId="0" applyNumberFormat="1" applyFont="1" applyFill="1" applyBorder="1" applyAlignment="1">
      <alignment vertical="top" wrapText="1"/>
    </xf>
    <xf numFmtId="44" fontId="6" fillId="26" borderId="173" xfId="0" applyNumberFormat="1" applyFont="1" applyFill="1" applyBorder="1" applyAlignment="1">
      <alignment vertical="top" wrapText="1"/>
    </xf>
    <xf numFmtId="17" fontId="6" fillId="26" borderId="165" xfId="0" applyNumberFormat="1" applyFont="1" applyFill="1" applyBorder="1" applyAlignment="1">
      <alignment horizontal="left" vertical="top" wrapText="1"/>
    </xf>
    <xf numFmtId="0" fontId="7" fillId="26" borderId="165" xfId="0" applyFont="1" applyFill="1" applyBorder="1" applyAlignment="1">
      <alignment horizontal="left" vertical="top" wrapText="1"/>
    </xf>
    <xf numFmtId="0" fontId="7" fillId="26" borderId="165" xfId="0" applyFont="1" applyFill="1" applyBorder="1" applyAlignment="1">
      <alignment horizontal="right" vertical="top" wrapText="1"/>
    </xf>
    <xf numFmtId="166" fontId="6" fillId="26" borderId="172" xfId="0" applyNumberFormat="1" applyFont="1" applyFill="1" applyBorder="1" applyAlignment="1">
      <alignment horizontal="left" vertical="top" wrapText="1"/>
    </xf>
    <xf numFmtId="166" fontId="7" fillId="26" borderId="202" xfId="0" applyNumberFormat="1" applyFont="1" applyFill="1" applyBorder="1" applyAlignment="1">
      <alignment horizontal="center" vertical="top" wrapText="1"/>
    </xf>
    <xf numFmtId="166" fontId="7" fillId="26" borderId="165" xfId="0" applyNumberFormat="1" applyFont="1" applyFill="1" applyBorder="1" applyAlignment="1">
      <alignment horizontal="center" vertical="top" wrapText="1"/>
    </xf>
    <xf numFmtId="0" fontId="8" fillId="26" borderId="168" xfId="0" applyFont="1" applyFill="1" applyBorder="1" applyAlignment="1">
      <alignment vertical="top" wrapText="1"/>
    </xf>
    <xf numFmtId="0" fontId="6" fillId="26" borderId="199" xfId="0" applyFont="1" applyFill="1" applyBorder="1" applyAlignment="1">
      <alignment horizontal="center" vertical="top" wrapText="1"/>
    </xf>
    <xf numFmtId="49" fontId="6" fillId="26" borderId="168" xfId="0" applyNumberFormat="1" applyFont="1" applyFill="1" applyBorder="1" applyAlignment="1">
      <alignment horizontal="left" vertical="top" wrapText="1"/>
    </xf>
    <xf numFmtId="0" fontId="7" fillId="26" borderId="199" xfId="0" applyFont="1" applyFill="1" applyBorder="1" applyAlignment="1">
      <alignment vertical="top" wrapText="1"/>
    </xf>
    <xf numFmtId="0" fontId="7" fillId="26" borderId="170" xfId="0" applyFont="1" applyFill="1" applyBorder="1" applyAlignment="1">
      <alignment vertical="top" wrapText="1"/>
    </xf>
    <xf numFmtId="0" fontId="7" fillId="26" borderId="201" xfId="0" applyFont="1" applyFill="1" applyBorder="1" applyAlignment="1">
      <alignment vertical="top" wrapText="1"/>
    </xf>
    <xf numFmtId="17" fontId="7" fillId="26" borderId="222" xfId="0" applyNumberFormat="1" applyFont="1" applyFill="1" applyBorder="1" applyAlignment="1">
      <alignment vertical="top" wrapText="1"/>
    </xf>
    <xf numFmtId="44" fontId="6" fillId="26" borderId="170" xfId="0" applyNumberFormat="1" applyFont="1" applyFill="1" applyBorder="1" applyAlignment="1">
      <alignment vertical="top" wrapText="1"/>
    </xf>
    <xf numFmtId="17" fontId="6" fillId="26" borderId="222" xfId="0" applyNumberFormat="1" applyFont="1" applyFill="1" applyBorder="1" applyAlignment="1">
      <alignment horizontal="left" vertical="top" wrapText="1"/>
    </xf>
    <xf numFmtId="0" fontId="7" fillId="26" borderId="222" xfId="0" applyFont="1" applyFill="1" applyBorder="1" applyAlignment="1">
      <alignment horizontal="left" vertical="top" wrapText="1"/>
    </xf>
    <xf numFmtId="0" fontId="7" fillId="26" borderId="222" xfId="0" applyFont="1" applyFill="1" applyBorder="1" applyAlignment="1">
      <alignment horizontal="right" vertical="top" wrapText="1"/>
    </xf>
    <xf numFmtId="166" fontId="6" fillId="26" borderId="168" xfId="0" applyNumberFormat="1" applyFont="1" applyFill="1" applyBorder="1" applyAlignment="1">
      <alignment horizontal="left" vertical="top" wrapText="1"/>
    </xf>
    <xf numFmtId="166" fontId="7" fillId="26" borderId="201" xfId="0" applyNumberFormat="1" applyFont="1" applyFill="1" applyBorder="1" applyAlignment="1">
      <alignment horizontal="center" vertical="top" wrapText="1"/>
    </xf>
    <xf numFmtId="166" fontId="7" fillId="26" borderId="222" xfId="0" applyNumberFormat="1" applyFont="1" applyFill="1" applyBorder="1" applyAlignment="1">
      <alignment horizontal="center" vertical="top" wrapText="1"/>
    </xf>
    <xf numFmtId="166" fontId="7" fillId="26" borderId="168" xfId="0" applyNumberFormat="1" applyFont="1" applyFill="1" applyBorder="1" applyAlignment="1">
      <alignment horizontal="left" vertical="top" wrapText="1"/>
    </xf>
    <xf numFmtId="0" fontId="5" fillId="15" borderId="263" xfId="0" applyFont="1" applyFill="1" applyBorder="1" applyAlignment="1">
      <alignment vertical="top" wrapText="1"/>
    </xf>
    <xf numFmtId="4" fontId="5" fillId="15" borderId="161" xfId="0" applyNumberFormat="1" applyFont="1" applyFill="1" applyBorder="1" applyAlignment="1">
      <alignment vertical="top" wrapText="1"/>
    </xf>
    <xf numFmtId="4" fontId="32" fillId="15" borderId="159" xfId="0" applyNumberFormat="1" applyFont="1" applyFill="1" applyBorder="1" applyAlignment="1">
      <alignment vertical="top" wrapText="1"/>
    </xf>
    <xf numFmtId="4" fontId="33" fillId="15" borderId="160" xfId="0" applyNumberFormat="1" applyFont="1" applyFill="1" applyBorder="1" applyAlignment="1">
      <alignment vertical="top" wrapText="1"/>
    </xf>
    <xf numFmtId="0" fontId="14" fillId="15" borderId="270" xfId="0" applyFont="1" applyFill="1" applyBorder="1" applyAlignment="1">
      <alignment horizontal="center" vertical="top" wrapText="1"/>
    </xf>
    <xf numFmtId="14" fontId="33" fillId="15" borderId="270" xfId="0" applyNumberFormat="1" applyFont="1" applyFill="1" applyBorder="1" applyAlignment="1">
      <alignment horizontal="center" vertical="top" wrapText="1"/>
    </xf>
    <xf numFmtId="14" fontId="5" fillId="15" borderId="270" xfId="0" applyNumberFormat="1" applyFont="1" applyFill="1" applyBorder="1" applyAlignment="1">
      <alignment horizontal="center" vertical="top" wrapText="1"/>
    </xf>
    <xf numFmtId="165" fontId="5" fillId="15" borderId="270" xfId="0" applyNumberFormat="1" applyFont="1" applyFill="1" applyBorder="1" applyAlignment="1">
      <alignment horizontal="center" vertical="top" wrapText="1"/>
    </xf>
    <xf numFmtId="182" fontId="33" fillId="15" borderId="270" xfId="1" applyNumberFormat="1" applyFont="1" applyFill="1" applyBorder="1" applyAlignment="1" applyProtection="1">
      <alignment horizontal="center" vertical="top" wrapText="1"/>
    </xf>
    <xf numFmtId="0" fontId="5" fillId="15" borderId="269" xfId="0" applyFont="1" applyFill="1" applyBorder="1" applyAlignment="1">
      <alignment vertical="top" wrapText="1"/>
    </xf>
    <xf numFmtId="0" fontId="5" fillId="15" borderId="270" xfId="0" applyFont="1" applyFill="1" applyBorder="1" applyAlignment="1">
      <alignment vertical="top" wrapText="1"/>
    </xf>
    <xf numFmtId="14" fontId="5" fillId="15" borderId="269" xfId="0" applyNumberFormat="1" applyFont="1" applyFill="1" applyBorder="1" applyAlignment="1">
      <alignment horizontal="center" vertical="top" wrapText="1"/>
    </xf>
    <xf numFmtId="0" fontId="14" fillId="15" borderId="239" xfId="0" applyFont="1" applyFill="1" applyBorder="1" applyAlignment="1">
      <alignment vertical="top" wrapText="1"/>
    </xf>
    <xf numFmtId="0" fontId="14" fillId="15" borderId="270" xfId="0" applyFont="1" applyFill="1" applyBorder="1" applyAlignment="1">
      <alignment vertical="top" wrapText="1"/>
    </xf>
    <xf numFmtId="0" fontId="33" fillId="15" borderId="269" xfId="0" applyFont="1" applyFill="1" applyBorder="1" applyAlignment="1">
      <alignment vertical="top" wrapText="1"/>
    </xf>
    <xf numFmtId="4" fontId="32" fillId="15" borderId="270" xfId="0" applyNumberFormat="1" applyFont="1" applyFill="1" applyBorder="1" applyAlignment="1">
      <alignment vertical="top" wrapText="1"/>
    </xf>
    <xf numFmtId="4" fontId="33" fillId="15" borderId="269" xfId="0" applyNumberFormat="1" applyFont="1" applyFill="1" applyBorder="1" applyAlignment="1">
      <alignment vertical="top" wrapText="1"/>
    </xf>
    <xf numFmtId="4" fontId="32" fillId="15" borderId="271" xfId="0" applyNumberFormat="1" applyFont="1" applyFill="1" applyBorder="1" applyAlignment="1">
      <alignment vertical="top" wrapText="1"/>
    </xf>
    <xf numFmtId="4" fontId="28" fillId="15" borderId="269" xfId="0" applyNumberFormat="1" applyFont="1" applyFill="1" applyBorder="1" applyAlignment="1">
      <alignment vertical="top" wrapText="1"/>
    </xf>
    <xf numFmtId="173" fontId="28" fillId="15" borderId="270" xfId="0" applyNumberFormat="1" applyFont="1" applyFill="1" applyBorder="1" applyAlignment="1">
      <alignment horizontal="center" vertical="top" wrapText="1"/>
    </xf>
    <xf numFmtId="0" fontId="28" fillId="15" borderId="270" xfId="0" applyFont="1" applyFill="1" applyBorder="1" applyAlignment="1">
      <alignment horizontal="center" vertical="top" wrapText="1"/>
    </xf>
    <xf numFmtId="165" fontId="28" fillId="15" borderId="270" xfId="0" applyNumberFormat="1" applyFont="1" applyFill="1" applyBorder="1" applyAlignment="1">
      <alignment horizontal="center" vertical="top" wrapText="1"/>
    </xf>
    <xf numFmtId="182" fontId="28" fillId="15" borderId="269" xfId="1" applyNumberFormat="1" applyFont="1" applyFill="1" applyBorder="1" applyAlignment="1" applyProtection="1">
      <alignment horizontal="center" vertical="top" wrapText="1"/>
    </xf>
    <xf numFmtId="40" fontId="33" fillId="15" borderId="270" xfId="0" applyNumberFormat="1" applyFont="1" applyFill="1" applyBorder="1" applyAlignment="1">
      <alignment vertical="top" wrapText="1"/>
    </xf>
    <xf numFmtId="40" fontId="28" fillId="15" borderId="271" xfId="0" applyNumberFormat="1" applyFont="1" applyFill="1" applyBorder="1" applyAlignment="1">
      <alignment vertical="top" wrapText="1"/>
    </xf>
    <xf numFmtId="0" fontId="14" fillId="0" borderId="273" xfId="0" applyFont="1" applyBorder="1" applyAlignment="1">
      <alignment horizontal="center" vertical="top" wrapText="1"/>
    </xf>
    <xf numFmtId="14" fontId="5" fillId="0" borderId="273" xfId="0" applyNumberFormat="1" applyFont="1" applyBorder="1" applyAlignment="1">
      <alignment horizontal="center" vertical="top" wrapText="1"/>
    </xf>
    <xf numFmtId="165" fontId="5" fillId="0" borderId="273" xfId="0" applyNumberFormat="1" applyFont="1" applyBorder="1" applyAlignment="1">
      <alignment horizontal="center" vertical="top" wrapText="1"/>
    </xf>
    <xf numFmtId="182" fontId="5" fillId="0" borderId="273" xfId="1" applyNumberFormat="1" applyFont="1" applyFill="1" applyBorder="1" applyAlignment="1" applyProtection="1">
      <alignment horizontal="center" vertical="top" wrapText="1"/>
    </xf>
    <xf numFmtId="0" fontId="5" fillId="0" borderId="272" xfId="0" applyFont="1" applyBorder="1" applyAlignment="1">
      <alignment vertical="top" wrapText="1"/>
    </xf>
    <xf numFmtId="0" fontId="5" fillId="0" borderId="273" xfId="0" applyFont="1" applyBorder="1" applyAlignment="1">
      <alignment vertical="top" wrapText="1"/>
    </xf>
    <xf numFmtId="0" fontId="33" fillId="0" borderId="272" xfId="0" applyFont="1" applyBorder="1" applyAlignment="1">
      <alignment vertical="top" wrapText="1"/>
    </xf>
    <xf numFmtId="4" fontId="32" fillId="0" borderId="273" xfId="0" applyNumberFormat="1" applyFont="1" applyBorder="1" applyAlignment="1">
      <alignment vertical="top" wrapText="1"/>
    </xf>
    <xf numFmtId="4" fontId="33" fillId="0" borderId="272" xfId="0" applyNumberFormat="1" applyFont="1" applyBorder="1" applyAlignment="1">
      <alignment vertical="top" wrapText="1"/>
    </xf>
    <xf numFmtId="4" fontId="32" fillId="0" borderId="274" xfId="0" applyNumberFormat="1" applyFont="1" applyBorder="1" applyAlignment="1">
      <alignment vertical="top" wrapText="1"/>
    </xf>
    <xf numFmtId="4" fontId="28" fillId="0" borderId="272" xfId="0" applyNumberFormat="1" applyFont="1" applyBorder="1" applyAlignment="1">
      <alignment vertical="top" wrapText="1"/>
    </xf>
    <xf numFmtId="173" fontId="28" fillId="0" borderId="273" xfId="0" applyNumberFormat="1" applyFont="1" applyBorder="1" applyAlignment="1">
      <alignment horizontal="center" vertical="top" wrapText="1"/>
    </xf>
    <xf numFmtId="40" fontId="33" fillId="0" borderId="273" xfId="0" applyNumberFormat="1" applyFont="1" applyBorder="1" applyAlignment="1">
      <alignment vertical="top" wrapText="1"/>
    </xf>
    <xf numFmtId="40" fontId="28" fillId="0" borderId="274" xfId="0" applyNumberFormat="1" applyFont="1" applyBorder="1" applyAlignment="1">
      <alignment vertical="top" wrapText="1"/>
    </xf>
    <xf numFmtId="0" fontId="5" fillId="0" borderId="263" xfId="0" applyFont="1" applyBorder="1" applyAlignment="1">
      <alignment vertical="top" wrapText="1"/>
    </xf>
    <xf numFmtId="14" fontId="5" fillId="0" borderId="272" xfId="0" applyNumberFormat="1" applyFont="1" applyBorder="1" applyAlignment="1">
      <alignment horizontal="center" vertical="top" wrapText="1"/>
    </xf>
    <xf numFmtId="165" fontId="28" fillId="0" borderId="273" xfId="0" applyNumberFormat="1" applyFont="1" applyBorder="1" applyAlignment="1">
      <alignment horizontal="center" vertical="top" wrapText="1"/>
    </xf>
    <xf numFmtId="182" fontId="28" fillId="0" borderId="272" xfId="1" applyNumberFormat="1" applyFont="1" applyFill="1" applyBorder="1" applyAlignment="1" applyProtection="1">
      <alignment horizontal="center" vertical="top" wrapText="1"/>
    </xf>
    <xf numFmtId="40" fontId="33" fillId="0" borderId="276" xfId="0" applyNumberFormat="1" applyFont="1" applyBorder="1" applyAlignment="1">
      <alignment vertical="top" wrapText="1"/>
    </xf>
    <xf numFmtId="40" fontId="28" fillId="0" borderId="275" xfId="0" applyNumberFormat="1" applyFont="1" applyBorder="1" applyAlignment="1">
      <alignment vertical="top" wrapText="1"/>
    </xf>
    <xf numFmtId="0" fontId="7" fillId="0" borderId="281" xfId="0" applyFont="1" applyBorder="1" applyAlignment="1">
      <alignment vertical="top" wrapText="1"/>
    </xf>
    <xf numFmtId="0" fontId="7" fillId="0" borderId="277" xfId="0" applyFont="1" applyBorder="1" applyAlignment="1">
      <alignment vertical="top" wrapText="1"/>
    </xf>
    <xf numFmtId="44" fontId="25" fillId="0" borderId="281" xfId="0" applyNumberFormat="1" applyFont="1" applyBorder="1" applyAlignment="1">
      <alignment vertical="top"/>
    </xf>
    <xf numFmtId="4" fontId="32" fillId="0" borderId="280" xfId="0" applyNumberFormat="1" applyFont="1" applyBorder="1" applyAlignment="1">
      <alignment vertical="top" wrapText="1"/>
    </xf>
    <xf numFmtId="0" fontId="14" fillId="0" borderId="270" xfId="0" applyFont="1" applyBorder="1" applyAlignment="1">
      <alignment horizontal="center" vertical="top" wrapText="1"/>
    </xf>
    <xf numFmtId="14" fontId="5" fillId="0" borderId="270" xfId="0" applyNumberFormat="1" applyFont="1" applyBorder="1" applyAlignment="1">
      <alignment horizontal="center" vertical="top" wrapText="1"/>
    </xf>
    <xf numFmtId="182" fontId="5" fillId="0" borderId="270" xfId="1" applyNumberFormat="1" applyFont="1" applyFill="1" applyBorder="1" applyAlignment="1" applyProtection="1">
      <alignment horizontal="center" vertical="top" wrapText="1"/>
    </xf>
    <xf numFmtId="0" fontId="5" fillId="0" borderId="269" xfId="0" applyFont="1" applyBorder="1" applyAlignment="1">
      <alignment vertical="top" wrapText="1"/>
    </xf>
    <xf numFmtId="0" fontId="5" fillId="0" borderId="270" xfId="0" applyFont="1" applyBorder="1" applyAlignment="1">
      <alignment vertical="top" wrapText="1"/>
    </xf>
    <xf numFmtId="14" fontId="5" fillId="0" borderId="269" xfId="0" applyNumberFormat="1" applyFont="1" applyBorder="1" applyAlignment="1">
      <alignment horizontal="center" vertical="top" wrapText="1"/>
    </xf>
    <xf numFmtId="0" fontId="32" fillId="0" borderId="239" xfId="0" applyFont="1" applyBorder="1" applyAlignment="1">
      <alignment vertical="top" wrapText="1"/>
    </xf>
    <xf numFmtId="0" fontId="33" fillId="0" borderId="269" xfId="0" applyFont="1" applyBorder="1" applyAlignment="1">
      <alignment vertical="top" wrapText="1"/>
    </xf>
    <xf numFmtId="4" fontId="32" fillId="0" borderId="270" xfId="0" applyNumberFormat="1" applyFont="1" applyBorder="1" applyAlignment="1">
      <alignment vertical="top" wrapText="1"/>
    </xf>
    <xf numFmtId="4" fontId="33" fillId="0" borderId="269" xfId="0" applyNumberFormat="1" applyFont="1" applyBorder="1" applyAlignment="1">
      <alignment vertical="top" wrapText="1"/>
    </xf>
    <xf numFmtId="4" fontId="32" fillId="0" borderId="271" xfId="0" applyNumberFormat="1" applyFont="1" applyBorder="1" applyAlignment="1">
      <alignment vertical="top" wrapText="1"/>
    </xf>
    <xf numFmtId="4" fontId="28" fillId="0" borderId="269" xfId="0" applyNumberFormat="1" applyFont="1" applyBorder="1" applyAlignment="1">
      <alignment vertical="top" wrapText="1"/>
    </xf>
    <xf numFmtId="173" fontId="28" fillId="0" borderId="270" xfId="0" applyNumberFormat="1" applyFont="1" applyBorder="1" applyAlignment="1">
      <alignment horizontal="center" vertical="top" wrapText="1"/>
    </xf>
    <xf numFmtId="0" fontId="28" fillId="0" borderId="270" xfId="0" applyFont="1" applyBorder="1" applyAlignment="1">
      <alignment horizontal="center" vertical="top" wrapText="1"/>
    </xf>
    <xf numFmtId="165" fontId="28" fillId="0" borderId="270" xfId="0" applyNumberFormat="1" applyFont="1" applyBorder="1" applyAlignment="1">
      <alignment horizontal="center" vertical="top" wrapText="1"/>
    </xf>
    <xf numFmtId="182" fontId="28" fillId="0" borderId="269" xfId="1" applyNumberFormat="1" applyFont="1" applyFill="1" applyBorder="1" applyAlignment="1" applyProtection="1">
      <alignment horizontal="center" vertical="top" wrapText="1"/>
    </xf>
    <xf numFmtId="40" fontId="33" fillId="0" borderId="270" xfId="0" applyNumberFormat="1" applyFont="1" applyBorder="1" applyAlignment="1">
      <alignment vertical="top" wrapText="1"/>
    </xf>
    <xf numFmtId="40" fontId="28" fillId="0" borderId="271" xfId="0" applyNumberFormat="1" applyFont="1" applyBorder="1" applyAlignment="1">
      <alignment vertical="top" wrapText="1"/>
    </xf>
    <xf numFmtId="0" fontId="5" fillId="15" borderId="198" xfId="0" applyFont="1" applyFill="1" applyBorder="1" applyAlignment="1">
      <alignment horizontal="center" vertical="top" wrapText="1"/>
    </xf>
    <xf numFmtId="0" fontId="5" fillId="15" borderId="132" xfId="0" applyFont="1" applyFill="1" applyBorder="1" applyAlignment="1">
      <alignment vertical="top" wrapText="1"/>
    </xf>
    <xf numFmtId="4" fontId="32" fillId="15" borderId="267" xfId="0" applyNumberFormat="1" applyFont="1" applyFill="1" applyBorder="1" applyAlignment="1">
      <alignment vertical="top" wrapText="1"/>
    </xf>
    <xf numFmtId="0" fontId="5" fillId="10" borderId="198" xfId="0" applyFont="1" applyFill="1" applyBorder="1" applyAlignment="1">
      <alignment horizontal="center" vertical="top" wrapText="1"/>
    </xf>
    <xf numFmtId="0" fontId="32" fillId="10" borderId="199" xfId="0" applyFont="1" applyFill="1" applyBorder="1" applyAlignment="1">
      <alignment vertical="top" wrapText="1"/>
    </xf>
    <xf numFmtId="40" fontId="28" fillId="10" borderId="201" xfId="0" applyNumberFormat="1" applyFont="1" applyFill="1" applyBorder="1" applyAlignment="1">
      <alignment vertical="top" wrapText="1"/>
    </xf>
    <xf numFmtId="166" fontId="25" fillId="10" borderId="10" xfId="0" applyNumberFormat="1" applyFont="1" applyFill="1" applyBorder="1" applyAlignment="1">
      <alignment horizontal="center" vertical="top" wrapText="1"/>
    </xf>
    <xf numFmtId="182" fontId="5" fillId="15" borderId="270" xfId="1" applyNumberFormat="1" applyFont="1" applyFill="1" applyBorder="1" applyAlignment="1" applyProtection="1">
      <alignment horizontal="center" vertical="top" wrapText="1"/>
    </xf>
    <xf numFmtId="0" fontId="5" fillId="15" borderId="282" xfId="0" applyFont="1" applyFill="1" applyBorder="1" applyAlignment="1">
      <alignment vertical="top" wrapText="1"/>
    </xf>
    <xf numFmtId="14" fontId="5" fillId="15" borderId="282" xfId="0" applyNumberFormat="1" applyFont="1" applyFill="1" applyBorder="1" applyAlignment="1">
      <alignment horizontal="center" vertical="top" wrapText="1"/>
    </xf>
    <xf numFmtId="0" fontId="33" fillId="15" borderId="282" xfId="0" applyFont="1" applyFill="1" applyBorder="1" applyAlignment="1">
      <alignment vertical="top" wrapText="1"/>
    </xf>
    <xf numFmtId="4" fontId="33" fillId="15" borderId="282" xfId="0" applyNumberFormat="1" applyFont="1" applyFill="1" applyBorder="1" applyAlignment="1">
      <alignment vertical="top" wrapText="1"/>
    </xf>
    <xf numFmtId="4" fontId="28" fillId="15" borderId="282" xfId="0" applyNumberFormat="1" applyFont="1" applyFill="1" applyBorder="1" applyAlignment="1">
      <alignment vertical="top" wrapText="1"/>
    </xf>
    <xf numFmtId="182" fontId="28" fillId="15" borderId="282" xfId="1" applyNumberFormat="1" applyFont="1" applyFill="1" applyBorder="1" applyAlignment="1" applyProtection="1">
      <alignment horizontal="center" vertical="top" wrapText="1"/>
    </xf>
    <xf numFmtId="165" fontId="5" fillId="0" borderId="270" xfId="0" applyNumberFormat="1" applyFont="1" applyBorder="1" applyAlignment="1">
      <alignment horizontal="center" vertical="top" wrapText="1"/>
    </xf>
    <xf numFmtId="0" fontId="5" fillId="0" borderId="283" xfId="0" applyFont="1" applyBorder="1" applyAlignment="1">
      <alignment vertical="top" wrapText="1"/>
    </xf>
    <xf numFmtId="14" fontId="5" fillId="0" borderId="283" xfId="0" applyNumberFormat="1" applyFont="1" applyBorder="1" applyAlignment="1">
      <alignment horizontal="center" vertical="top" wrapText="1"/>
    </xf>
    <xf numFmtId="0" fontId="33" fillId="0" borderId="283" xfId="0" applyFont="1" applyBorder="1" applyAlignment="1">
      <alignment vertical="top" wrapText="1"/>
    </xf>
    <xf numFmtId="4" fontId="33" fillId="0" borderId="283" xfId="0" applyNumberFormat="1" applyFont="1" applyBorder="1" applyAlignment="1">
      <alignment vertical="top" wrapText="1"/>
    </xf>
    <xf numFmtId="4" fontId="28" fillId="0" borderId="283" xfId="0" applyNumberFormat="1" applyFont="1" applyBorder="1" applyAlignment="1">
      <alignment vertical="top" wrapText="1"/>
    </xf>
    <xf numFmtId="0" fontId="33" fillId="0" borderId="239" xfId="0" applyFont="1" applyBorder="1" applyAlignment="1">
      <alignment horizontal="center" vertical="top" wrapText="1"/>
    </xf>
    <xf numFmtId="173" fontId="33" fillId="0" borderId="270" xfId="0" applyNumberFormat="1" applyFont="1" applyBorder="1" applyAlignment="1">
      <alignment horizontal="center" vertical="top" wrapText="1"/>
    </xf>
    <xf numFmtId="182" fontId="28" fillId="0" borderId="283" xfId="1" applyNumberFormat="1" applyFont="1" applyFill="1" applyBorder="1" applyAlignment="1" applyProtection="1">
      <alignment horizontal="center" vertical="top" wrapText="1"/>
    </xf>
    <xf numFmtId="0" fontId="32" fillId="0" borderId="242" xfId="0" applyFont="1" applyBorder="1" applyAlignment="1">
      <alignment vertical="top" wrapText="1"/>
    </xf>
    <xf numFmtId="165" fontId="32" fillId="21" borderId="23" xfId="0" applyNumberFormat="1" applyFont="1" applyFill="1" applyBorder="1" applyAlignment="1">
      <alignment horizontal="center" vertical="top" wrapText="1"/>
    </xf>
    <xf numFmtId="182" fontId="32" fillId="21" borderId="23" xfId="1" applyNumberFormat="1" applyFont="1" applyFill="1" applyBorder="1" applyAlignment="1" applyProtection="1">
      <alignment horizontal="center" vertical="top" wrapText="1"/>
    </xf>
    <xf numFmtId="165" fontId="29" fillId="21" borderId="23" xfId="0" applyNumberFormat="1" applyFont="1" applyFill="1" applyBorder="1" applyAlignment="1">
      <alignment horizontal="center" vertical="top" wrapText="1"/>
    </xf>
    <xf numFmtId="182" fontId="29" fillId="21" borderId="34" xfId="1" applyNumberFormat="1" applyFont="1" applyFill="1" applyBorder="1" applyAlignment="1" applyProtection="1">
      <alignment horizontal="center" vertical="top" wrapText="1"/>
    </xf>
    <xf numFmtId="40" fontId="33" fillId="21" borderId="63" xfId="0" applyNumberFormat="1" applyFont="1" applyFill="1" applyBorder="1" applyAlignment="1">
      <alignment vertical="top" wrapText="1"/>
    </xf>
    <xf numFmtId="40" fontId="33" fillId="21" borderId="23" xfId="0" applyNumberFormat="1" applyFont="1" applyFill="1" applyBorder="1" applyAlignment="1">
      <alignment vertical="top" wrapText="1"/>
    </xf>
    <xf numFmtId="40" fontId="28" fillId="21" borderId="201" xfId="0" applyNumberFormat="1" applyFont="1" applyFill="1" applyBorder="1" applyAlignment="1">
      <alignment vertical="top" wrapText="1"/>
    </xf>
    <xf numFmtId="165" fontId="28" fillId="21" borderId="23" xfId="0" applyNumberFormat="1" applyFont="1" applyFill="1" applyBorder="1" applyAlignment="1">
      <alignment horizontal="center" vertical="top" wrapText="1"/>
    </xf>
    <xf numFmtId="182" fontId="28" fillId="21" borderId="34" xfId="1" applyNumberFormat="1" applyFont="1" applyFill="1" applyBorder="1" applyAlignment="1" applyProtection="1">
      <alignment horizontal="center" vertical="top" wrapText="1"/>
    </xf>
    <xf numFmtId="165" fontId="28" fillId="21" borderId="35" xfId="0" applyNumberFormat="1" applyFont="1" applyFill="1" applyBorder="1" applyAlignment="1">
      <alignment horizontal="center" vertical="top" wrapText="1"/>
    </xf>
    <xf numFmtId="182" fontId="28" fillId="21" borderId="27" xfId="1" applyNumberFormat="1" applyFont="1" applyFill="1" applyBorder="1" applyAlignment="1" applyProtection="1">
      <alignment horizontal="center" vertical="top" wrapText="1"/>
    </xf>
    <xf numFmtId="165" fontId="89" fillId="0" borderId="23" xfId="0" applyNumberFormat="1" applyFont="1" applyBorder="1" applyAlignment="1">
      <alignment horizontal="center" vertical="top" wrapText="1"/>
    </xf>
    <xf numFmtId="182" fontId="89" fillId="0" borderId="23" xfId="1" applyNumberFormat="1" applyFont="1" applyFill="1" applyBorder="1" applyAlignment="1" applyProtection="1">
      <alignment horizontal="center" vertical="top" wrapText="1"/>
    </xf>
    <xf numFmtId="0" fontId="25" fillId="0" borderId="287" xfId="0" applyFont="1" applyBorder="1" applyAlignment="1">
      <alignment vertical="top" wrapText="1"/>
    </xf>
    <xf numFmtId="0" fontId="6" fillId="0" borderId="289" xfId="0" applyFont="1" applyBorder="1" applyAlignment="1">
      <alignment horizontal="center" vertical="top" wrapText="1"/>
    </xf>
    <xf numFmtId="49" fontId="6" fillId="0" borderId="287" xfId="0" applyNumberFormat="1" applyFont="1" applyBorder="1" applyAlignment="1">
      <alignment horizontal="left" vertical="top" wrapText="1"/>
    </xf>
    <xf numFmtId="0" fontId="7" fillId="0" borderId="289" xfId="0" applyFont="1" applyBorder="1" applyAlignment="1">
      <alignment vertical="top" wrapText="1"/>
    </xf>
    <xf numFmtId="0" fontId="7" fillId="0" borderId="286" xfId="0" applyFont="1" applyBorder="1" applyAlignment="1">
      <alignment vertical="top" wrapText="1"/>
    </xf>
    <xf numFmtId="44" fontId="7" fillId="0" borderId="281" xfId="0" applyNumberFormat="1" applyFont="1" applyBorder="1" applyAlignment="1">
      <alignment vertical="top" wrapText="1"/>
    </xf>
    <xf numFmtId="17" fontId="7" fillId="0" borderId="277" xfId="0" applyNumberFormat="1" applyFont="1" applyBorder="1" applyAlignment="1">
      <alignment vertical="top" wrapText="1"/>
    </xf>
    <xf numFmtId="44" fontId="6" fillId="0" borderId="281" xfId="0" applyNumberFormat="1" applyFont="1" applyBorder="1" applyAlignment="1">
      <alignment vertical="top" wrapText="1"/>
    </xf>
    <xf numFmtId="17" fontId="6" fillId="0" borderId="277" xfId="0" applyNumberFormat="1" applyFont="1" applyBorder="1" applyAlignment="1">
      <alignment horizontal="left" vertical="top" wrapText="1"/>
    </xf>
    <xf numFmtId="17" fontId="7" fillId="0" borderId="277" xfId="0" applyNumberFormat="1" applyFont="1" applyBorder="1" applyAlignment="1">
      <alignment horizontal="left" vertical="top" wrapText="1"/>
    </xf>
    <xf numFmtId="44" fontId="7" fillId="10" borderId="281" xfId="0" applyNumberFormat="1" applyFont="1" applyFill="1" applyBorder="1" applyAlignment="1">
      <alignment vertical="top" wrapText="1"/>
    </xf>
    <xf numFmtId="17" fontId="7" fillId="10" borderId="277" xfId="0" applyNumberFormat="1" applyFont="1" applyFill="1" applyBorder="1" applyAlignment="1">
      <alignment horizontal="right" vertical="top" wrapText="1"/>
    </xf>
    <xf numFmtId="17" fontId="7" fillId="10" borderId="277" xfId="0" applyNumberFormat="1" applyFont="1" applyFill="1" applyBorder="1" applyAlignment="1">
      <alignment horizontal="left" vertical="top" wrapText="1"/>
    </xf>
    <xf numFmtId="44" fontId="6" fillId="0" borderId="289" xfId="2" applyFont="1" applyFill="1" applyBorder="1" applyAlignment="1" applyProtection="1">
      <alignment vertical="top" wrapText="1"/>
    </xf>
    <xf numFmtId="166" fontId="12" fillId="4" borderId="287" xfId="0" applyNumberFormat="1" applyFont="1" applyFill="1" applyBorder="1" applyAlignment="1">
      <alignment horizontal="left" vertical="top" wrapText="1"/>
    </xf>
    <xf numFmtId="166" fontId="12" fillId="4" borderId="286" xfId="0" applyNumberFormat="1" applyFont="1" applyFill="1" applyBorder="1" applyAlignment="1">
      <alignment horizontal="center" vertical="top" wrapText="1"/>
    </xf>
    <xf numFmtId="166" fontId="12" fillId="4" borderId="277" xfId="0" applyNumberFormat="1" applyFont="1" applyFill="1" applyBorder="1" applyAlignment="1">
      <alignment horizontal="center" vertical="top" wrapText="1"/>
    </xf>
    <xf numFmtId="0" fontId="26" fillId="0" borderId="287" xfId="0" applyFont="1" applyBorder="1" applyAlignment="1">
      <alignment horizontal="center" vertical="top" wrapText="1"/>
    </xf>
    <xf numFmtId="15" fontId="25" fillId="0" borderId="286" xfId="0" applyNumberFormat="1" applyFont="1" applyBorder="1" applyAlignment="1">
      <alignment horizontal="center" vertical="top" wrapText="1"/>
    </xf>
    <xf numFmtId="0" fontId="25" fillId="0" borderId="277" xfId="0" applyFont="1" applyBorder="1" applyAlignment="1">
      <alignment horizontal="right" vertical="top" wrapText="1"/>
    </xf>
    <xf numFmtId="44" fontId="25" fillId="0" borderId="281" xfId="2" applyFont="1" applyFill="1" applyBorder="1" applyAlignment="1" applyProtection="1">
      <alignment vertical="top" wrapText="1"/>
    </xf>
    <xf numFmtId="0" fontId="25" fillId="0" borderId="277" xfId="0" applyFont="1" applyBorder="1" applyAlignment="1">
      <alignment vertical="top" wrapText="1"/>
    </xf>
    <xf numFmtId="44" fontId="25" fillId="0" borderId="287" xfId="0" applyNumberFormat="1" applyFont="1" applyBorder="1" applyAlignment="1">
      <alignment vertical="top" wrapText="1"/>
    </xf>
    <xf numFmtId="44" fontId="25" fillId="0" borderId="281" xfId="0" applyNumberFormat="1" applyFont="1" applyBorder="1" applyAlignment="1">
      <alignment vertical="top" wrapText="1"/>
    </xf>
    <xf numFmtId="44" fontId="25" fillId="10" borderId="281" xfId="0" applyNumberFormat="1" applyFont="1" applyFill="1" applyBorder="1" applyAlignment="1">
      <alignment vertical="top" wrapText="1"/>
    </xf>
    <xf numFmtId="0" fontId="25" fillId="10" borderId="277" xfId="0" applyFont="1" applyFill="1" applyBorder="1" applyAlignment="1">
      <alignment vertical="top" wrapText="1"/>
    </xf>
    <xf numFmtId="0" fontId="25" fillId="0" borderId="286" xfId="0" applyFont="1" applyBorder="1" applyAlignment="1">
      <alignment vertical="top" wrapText="1"/>
    </xf>
    <xf numFmtId="44" fontId="26" fillId="0" borderId="289" xfId="2" applyFont="1" applyFill="1" applyBorder="1" applyAlignment="1" applyProtection="1">
      <alignment horizontal="left" vertical="top" wrapText="1"/>
    </xf>
    <xf numFmtId="8" fontId="5" fillId="0" borderId="0" xfId="2" applyNumberFormat="1" applyFont="1" applyFill="1" applyBorder="1" applyAlignment="1" applyProtection="1">
      <alignment vertical="top" wrapText="1"/>
    </xf>
    <xf numFmtId="0" fontId="14" fillId="6" borderId="239" xfId="0" applyFont="1" applyFill="1" applyBorder="1" applyAlignment="1">
      <alignment horizontal="center" vertical="top" wrapText="1"/>
    </xf>
    <xf numFmtId="0" fontId="14" fillId="6" borderId="270" xfId="0" applyFont="1" applyFill="1" applyBorder="1" applyAlignment="1">
      <alignment horizontal="center" vertical="top" wrapText="1"/>
    </xf>
    <xf numFmtId="14" fontId="5" fillId="6" borderId="270" xfId="0" applyNumberFormat="1" applyFont="1" applyFill="1" applyBorder="1" applyAlignment="1">
      <alignment horizontal="center" vertical="top" wrapText="1"/>
    </xf>
    <xf numFmtId="165" fontId="32" fillId="6" borderId="270" xfId="0" applyNumberFormat="1" applyFont="1" applyFill="1" applyBorder="1" applyAlignment="1">
      <alignment horizontal="center" vertical="top" wrapText="1"/>
    </xf>
    <xf numFmtId="0" fontId="32" fillId="6" borderId="270" xfId="0" applyFont="1" applyFill="1" applyBorder="1" applyAlignment="1">
      <alignment horizontal="center" vertical="top" wrapText="1"/>
    </xf>
    <xf numFmtId="0" fontId="5" fillId="6" borderId="285" xfId="0" applyFont="1" applyFill="1" applyBorder="1" applyAlignment="1">
      <alignment vertical="top" wrapText="1"/>
    </xf>
    <xf numFmtId="0" fontId="5" fillId="6" borderId="239" xfId="0" applyFont="1" applyFill="1" applyBorder="1" applyAlignment="1">
      <alignment vertical="top" wrapText="1"/>
    </xf>
    <xf numFmtId="0" fontId="5" fillId="6" borderId="270" xfId="0" applyFont="1" applyFill="1" applyBorder="1" applyAlignment="1">
      <alignment vertical="top" wrapText="1"/>
    </xf>
    <xf numFmtId="14" fontId="5" fillId="6" borderId="285" xfId="0" applyNumberFormat="1" applyFont="1" applyFill="1" applyBorder="1" applyAlignment="1">
      <alignment horizontal="center" vertical="top" wrapText="1"/>
    </xf>
    <xf numFmtId="0" fontId="33" fillId="6" borderId="239" xfId="0" applyFont="1" applyFill="1" applyBorder="1" applyAlignment="1">
      <alignment vertical="top" wrapText="1"/>
    </xf>
    <xf numFmtId="0" fontId="33" fillId="6" borderId="285" xfId="0" applyFont="1" applyFill="1" applyBorder="1" applyAlignment="1">
      <alignment vertical="top" wrapText="1"/>
    </xf>
    <xf numFmtId="4" fontId="5" fillId="6" borderId="239" xfId="0" applyNumberFormat="1" applyFont="1" applyFill="1" applyBorder="1" applyAlignment="1">
      <alignment vertical="top" wrapText="1"/>
    </xf>
    <xf numFmtId="4" fontId="32" fillId="6" borderId="270" xfId="0" applyNumberFormat="1" applyFont="1" applyFill="1" applyBorder="1" applyAlignment="1">
      <alignment vertical="top" wrapText="1"/>
    </xf>
    <xf numFmtId="4" fontId="33" fillId="6" borderId="285" xfId="0" applyNumberFormat="1" applyFont="1" applyFill="1" applyBorder="1" applyAlignment="1">
      <alignment vertical="top" wrapText="1"/>
    </xf>
    <xf numFmtId="4" fontId="14" fillId="6" borderId="239" xfId="0" applyNumberFormat="1" applyFont="1" applyFill="1" applyBorder="1" applyAlignment="1">
      <alignment vertical="top" wrapText="1"/>
    </xf>
    <xf numFmtId="4" fontId="32" fillId="6" borderId="288" xfId="0" applyNumberFormat="1" applyFont="1" applyFill="1" applyBorder="1" applyAlignment="1">
      <alignment vertical="top" wrapText="1"/>
    </xf>
    <xf numFmtId="4" fontId="28" fillId="6" borderId="285" xfId="0" applyNumberFormat="1" applyFont="1" applyFill="1" applyBorder="1" applyAlignment="1">
      <alignment vertical="top" wrapText="1"/>
    </xf>
    <xf numFmtId="0" fontId="28" fillId="6" borderId="239" xfId="0" applyFont="1" applyFill="1" applyBorder="1" applyAlignment="1">
      <alignment horizontal="center" vertical="top" wrapText="1"/>
    </xf>
    <xf numFmtId="173" fontId="28" fillId="6" borderId="270" xfId="0" applyNumberFormat="1" applyFont="1" applyFill="1" applyBorder="1" applyAlignment="1">
      <alignment horizontal="center" vertical="top" wrapText="1"/>
    </xf>
    <xf numFmtId="0" fontId="28" fillId="6" borderId="270" xfId="0" applyFont="1" applyFill="1" applyBorder="1" applyAlignment="1">
      <alignment horizontal="center" vertical="top" wrapText="1"/>
    </xf>
    <xf numFmtId="165" fontId="28" fillId="6" borderId="270" xfId="0" applyNumberFormat="1" applyFont="1" applyFill="1" applyBorder="1" applyAlignment="1">
      <alignment horizontal="center" vertical="top" wrapText="1"/>
    </xf>
    <xf numFmtId="168" fontId="28" fillId="6" borderId="285" xfId="1" applyNumberFormat="1" applyFont="1" applyFill="1" applyBorder="1" applyAlignment="1" applyProtection="1">
      <alignment horizontal="center" vertical="top" wrapText="1"/>
    </xf>
    <xf numFmtId="40" fontId="33" fillId="6" borderId="239" xfId="0" applyNumberFormat="1" applyFont="1" applyFill="1" applyBorder="1" applyAlignment="1">
      <alignment vertical="top" wrapText="1"/>
    </xf>
    <xf numFmtId="40" fontId="33" fillId="6" borderId="270" xfId="0" applyNumberFormat="1" applyFont="1" applyFill="1" applyBorder="1" applyAlignment="1">
      <alignment vertical="top" wrapText="1"/>
    </xf>
    <xf numFmtId="40" fontId="28" fillId="6" borderId="288" xfId="0" applyNumberFormat="1" applyFont="1" applyFill="1" applyBorder="1" applyAlignment="1">
      <alignment vertical="top" wrapText="1"/>
    </xf>
    <xf numFmtId="0" fontId="5" fillId="6" borderId="242" xfId="0" applyFont="1" applyFill="1" applyBorder="1" applyAlignment="1">
      <alignment vertical="top" wrapText="1"/>
    </xf>
    <xf numFmtId="0" fontId="14" fillId="0" borderId="0" xfId="0" applyFont="1" applyAlignment="1">
      <alignment vertical="top" wrapText="1"/>
    </xf>
    <xf numFmtId="174" fontId="14" fillId="0" borderId="0" xfId="2" applyNumberFormat="1" applyFont="1" applyFill="1" applyBorder="1" applyAlignment="1" applyProtection="1">
      <alignment vertical="top" wrapText="1"/>
    </xf>
    <xf numFmtId="165" fontId="32" fillId="0" borderId="270" xfId="0" applyNumberFormat="1" applyFont="1" applyBorder="1" applyAlignment="1">
      <alignment horizontal="center" vertical="top" wrapText="1"/>
    </xf>
    <xf numFmtId="167" fontId="32" fillId="0" borderId="270" xfId="0" applyNumberFormat="1" applyFont="1" applyBorder="1" applyAlignment="1">
      <alignment horizontal="center" vertical="top" wrapText="1"/>
    </xf>
    <xf numFmtId="0" fontId="5" fillId="0" borderId="285" xfId="0" applyFont="1" applyBorder="1" applyAlignment="1">
      <alignment vertical="top" wrapText="1"/>
    </xf>
    <xf numFmtId="14" fontId="5" fillId="0" borderId="285" xfId="0" applyNumberFormat="1" applyFont="1" applyBorder="1" applyAlignment="1">
      <alignment horizontal="center" vertical="top" wrapText="1"/>
    </xf>
    <xf numFmtId="0" fontId="33" fillId="0" borderId="285" xfId="0" applyFont="1" applyBorder="1" applyAlignment="1">
      <alignment vertical="top" wrapText="1"/>
    </xf>
    <xf numFmtId="4" fontId="33" fillId="0" borderId="285" xfId="0" applyNumberFormat="1" applyFont="1" applyBorder="1" applyAlignment="1">
      <alignment vertical="top" wrapText="1"/>
    </xf>
    <xf numFmtId="4" fontId="32" fillId="0" borderId="288" xfId="0" applyNumberFormat="1" applyFont="1" applyBorder="1" applyAlignment="1">
      <alignment vertical="top" wrapText="1"/>
    </xf>
    <xf numFmtId="4" fontId="28" fillId="0" borderId="285" xfId="0" applyNumberFormat="1" applyFont="1" applyBorder="1" applyAlignment="1">
      <alignment vertical="top" wrapText="1"/>
    </xf>
    <xf numFmtId="4" fontId="28" fillId="0" borderId="239" xfId="0" applyNumberFormat="1" applyFont="1" applyBorder="1" applyAlignment="1">
      <alignment horizontal="center" vertical="top" wrapText="1"/>
    </xf>
    <xf numFmtId="168" fontId="28" fillId="0" borderId="285" xfId="1" applyNumberFormat="1" applyFont="1" applyFill="1" applyBorder="1" applyAlignment="1" applyProtection="1">
      <alignment horizontal="center" vertical="top" wrapText="1"/>
    </xf>
    <xf numFmtId="40" fontId="28" fillId="0" borderId="288" xfId="0" applyNumberFormat="1" applyFont="1" applyBorder="1" applyAlignment="1">
      <alignment vertical="top" wrapText="1"/>
    </xf>
    <xf numFmtId="167" fontId="32" fillId="6" borderId="270" xfId="0" applyNumberFormat="1" applyFont="1" applyFill="1" applyBorder="1" applyAlignment="1">
      <alignment horizontal="center" vertical="top" wrapText="1"/>
    </xf>
    <xf numFmtId="4" fontId="28" fillId="6" borderId="239" xfId="0" applyNumberFormat="1" applyFont="1" applyFill="1" applyBorder="1" applyAlignment="1">
      <alignment horizontal="center" vertical="top" wrapText="1"/>
    </xf>
    <xf numFmtId="4" fontId="32" fillId="10" borderId="270" xfId="0" applyNumberFormat="1" applyFont="1" applyFill="1" applyBorder="1" applyAlignment="1">
      <alignment vertical="top" wrapText="1"/>
    </xf>
    <xf numFmtId="4" fontId="33" fillId="10" borderId="285" xfId="0" applyNumberFormat="1" applyFont="1" applyFill="1" applyBorder="1" applyAlignment="1">
      <alignment vertical="top" wrapText="1"/>
    </xf>
    <xf numFmtId="40" fontId="33" fillId="10" borderId="270" xfId="0" applyNumberFormat="1" applyFont="1" applyFill="1" applyBorder="1" applyAlignment="1">
      <alignment vertical="top" wrapText="1"/>
    </xf>
    <xf numFmtId="0" fontId="14" fillId="25" borderId="67" xfId="0" applyFont="1" applyFill="1" applyBorder="1" applyAlignment="1">
      <alignment horizontal="center" vertical="top" wrapText="1"/>
    </xf>
    <xf numFmtId="0" fontId="14" fillId="25" borderId="35" xfId="0" applyFont="1" applyFill="1" applyBorder="1" applyAlignment="1">
      <alignment horizontal="center" vertical="top" wrapText="1"/>
    </xf>
    <xf numFmtId="14" fontId="5" fillId="25" borderId="35" xfId="0" applyNumberFormat="1" applyFont="1" applyFill="1" applyBorder="1" applyAlignment="1">
      <alignment horizontal="center" vertical="top" wrapText="1"/>
    </xf>
    <xf numFmtId="165" fontId="5" fillId="25" borderId="35" xfId="0" applyNumberFormat="1" applyFont="1" applyFill="1" applyBorder="1" applyAlignment="1">
      <alignment horizontal="center" vertical="top" wrapText="1"/>
    </xf>
    <xf numFmtId="167" fontId="5" fillId="25" borderId="35" xfId="0" applyNumberFormat="1" applyFont="1" applyFill="1" applyBorder="1" applyAlignment="1">
      <alignment horizontal="center" vertical="top" wrapText="1"/>
    </xf>
    <xf numFmtId="0" fontId="5" fillId="25" borderId="27" xfId="0" applyFont="1" applyFill="1" applyBorder="1" applyAlignment="1">
      <alignment vertical="top" wrapText="1"/>
    </xf>
    <xf numFmtId="0" fontId="5" fillId="25" borderId="67" xfId="0" applyFont="1" applyFill="1" applyBorder="1" applyAlignment="1">
      <alignment vertical="top" wrapText="1"/>
    </xf>
    <xf numFmtId="0" fontId="33" fillId="25" borderId="27" xfId="0" applyFont="1" applyFill="1" applyBorder="1" applyAlignment="1">
      <alignment vertical="top" wrapText="1"/>
    </xf>
    <xf numFmtId="0" fontId="28" fillId="0" borderId="67" xfId="0" applyFont="1" applyBorder="1" applyAlignment="1" applyProtection="1">
      <alignment horizontal="center" vertical="top" wrapText="1"/>
      <protection locked="0"/>
    </xf>
    <xf numFmtId="165" fontId="5" fillId="6" borderId="270" xfId="0" applyNumberFormat="1" applyFont="1" applyFill="1" applyBorder="1" applyAlignment="1">
      <alignment horizontal="center" vertical="top" wrapText="1"/>
    </xf>
    <xf numFmtId="167" fontId="5" fillId="6" borderId="270" xfId="0" applyNumberFormat="1" applyFont="1" applyFill="1" applyBorder="1" applyAlignment="1">
      <alignment horizontal="center" vertical="top" wrapText="1"/>
    </xf>
    <xf numFmtId="0" fontId="32" fillId="6" borderId="285" xfId="0" applyFont="1" applyFill="1" applyBorder="1" applyAlignment="1">
      <alignment vertical="top" wrapText="1"/>
    </xf>
    <xf numFmtId="179" fontId="5" fillId="15" borderId="270" xfId="1" applyNumberFormat="1" applyFont="1" applyFill="1" applyBorder="1" applyAlignment="1" applyProtection="1">
      <alignment horizontal="center" vertical="top" wrapText="1"/>
    </xf>
    <xf numFmtId="0" fontId="5" fillId="15" borderId="285" xfId="0" applyFont="1" applyFill="1" applyBorder="1" applyAlignment="1">
      <alignment vertical="top" wrapText="1"/>
    </xf>
    <xf numFmtId="14" fontId="5" fillId="15" borderId="285" xfId="0" applyNumberFormat="1" applyFont="1" applyFill="1" applyBorder="1" applyAlignment="1">
      <alignment horizontal="center" vertical="top" wrapText="1"/>
    </xf>
    <xf numFmtId="0" fontId="33" fillId="15" borderId="285" xfId="0" applyFont="1" applyFill="1" applyBorder="1" applyAlignment="1">
      <alignment vertical="top" wrapText="1"/>
    </xf>
    <xf numFmtId="4" fontId="33" fillId="15" borderId="285" xfId="0" applyNumberFormat="1" applyFont="1" applyFill="1" applyBorder="1" applyAlignment="1">
      <alignment vertical="top" wrapText="1"/>
    </xf>
    <xf numFmtId="4" fontId="28" fillId="15" borderId="285" xfId="0" applyNumberFormat="1" applyFont="1" applyFill="1" applyBorder="1" applyAlignment="1">
      <alignment vertical="top" wrapText="1"/>
    </xf>
    <xf numFmtId="178" fontId="28" fillId="15" borderId="285" xfId="1" applyNumberFormat="1" applyFont="1" applyFill="1" applyBorder="1" applyAlignment="1" applyProtection="1">
      <alignment horizontal="center" vertical="top" wrapText="1"/>
    </xf>
    <xf numFmtId="40" fontId="28" fillId="15" borderId="288" xfId="0" applyNumberFormat="1" applyFont="1" applyFill="1" applyBorder="1" applyAlignment="1">
      <alignment vertical="top" wrapText="1"/>
    </xf>
    <xf numFmtId="181" fontId="5" fillId="15" borderId="270" xfId="1" applyNumberFormat="1" applyFont="1" applyFill="1" applyBorder="1" applyAlignment="1" applyProtection="1">
      <alignment horizontal="center" vertical="top" wrapText="1"/>
    </xf>
    <xf numFmtId="0" fontId="29" fillId="15" borderId="239" xfId="0" applyFont="1" applyFill="1" applyBorder="1" applyAlignment="1">
      <alignment vertical="top" wrapText="1"/>
    </xf>
    <xf numFmtId="0" fontId="28" fillId="15" borderId="285" xfId="0" applyFont="1" applyFill="1" applyBorder="1" applyAlignment="1">
      <alignment vertical="top" wrapText="1"/>
    </xf>
    <xf numFmtId="4" fontId="32" fillId="15" borderId="288" xfId="0" applyNumberFormat="1" applyFont="1" applyFill="1" applyBorder="1" applyAlignment="1">
      <alignment vertical="top" wrapText="1"/>
    </xf>
    <xf numFmtId="4" fontId="28" fillId="15" borderId="239" xfId="0" applyNumberFormat="1" applyFont="1" applyFill="1" applyBorder="1" applyAlignment="1">
      <alignment horizontal="center" vertical="top" wrapText="1"/>
    </xf>
    <xf numFmtId="180" fontId="28" fillId="15" borderId="285" xfId="1" applyNumberFormat="1" applyFont="1" applyFill="1" applyBorder="1" applyAlignment="1" applyProtection="1">
      <alignment horizontal="center" vertical="top" wrapText="1"/>
    </xf>
    <xf numFmtId="17" fontId="14" fillId="15" borderId="262" xfId="0" applyNumberFormat="1" applyFont="1" applyFill="1" applyBorder="1" applyAlignment="1">
      <alignment horizontal="right" vertical="top" wrapText="1"/>
    </xf>
    <xf numFmtId="165" fontId="32" fillId="15" borderId="270" xfId="0" applyNumberFormat="1" applyFont="1" applyFill="1" applyBorder="1" applyAlignment="1">
      <alignment horizontal="center" vertical="top" wrapText="1"/>
    </xf>
    <xf numFmtId="182" fontId="32" fillId="15" borderId="270" xfId="1" applyNumberFormat="1" applyFont="1" applyFill="1" applyBorder="1" applyAlignment="1" applyProtection="1">
      <alignment horizontal="center" vertical="top" wrapText="1"/>
    </xf>
    <xf numFmtId="165" fontId="29" fillId="15" borderId="270" xfId="0" applyNumberFormat="1" applyFont="1" applyFill="1" applyBorder="1" applyAlignment="1">
      <alignment horizontal="center" vertical="top" wrapText="1"/>
    </xf>
    <xf numFmtId="182" fontId="29" fillId="15" borderId="285" xfId="1" applyNumberFormat="1" applyFont="1" applyFill="1" applyBorder="1" applyAlignment="1" applyProtection="1">
      <alignment horizontal="center" vertical="top" wrapText="1"/>
    </xf>
    <xf numFmtId="167" fontId="28" fillId="15" borderId="23" xfId="0" applyNumberFormat="1" applyFont="1" applyFill="1" applyBorder="1" applyAlignment="1">
      <alignment horizontal="center" vertical="top" wrapText="1"/>
    </xf>
    <xf numFmtId="44" fontId="25" fillId="0" borderId="0" xfId="2" applyFont="1" applyFill="1" applyBorder="1" applyAlignment="1" applyProtection="1">
      <alignment horizontal="center" vertical="top" wrapText="1"/>
    </xf>
    <xf numFmtId="0" fontId="25" fillId="0" borderId="3" xfId="0" applyFont="1" applyBorder="1" applyAlignment="1">
      <alignment horizontal="center" vertical="top" wrapText="1"/>
    </xf>
    <xf numFmtId="44" fontId="5" fillId="0" borderId="3" xfId="2" applyFont="1" applyFill="1" applyBorder="1" applyAlignment="1" applyProtection="1">
      <alignment vertical="top" wrapText="1"/>
    </xf>
    <xf numFmtId="8" fontId="32" fillId="0" borderId="0" xfId="2" applyNumberFormat="1" applyFont="1" applyFill="1" applyBorder="1" applyAlignment="1" applyProtection="1">
      <alignment vertical="top" wrapText="1"/>
    </xf>
    <xf numFmtId="0" fontId="29" fillId="6" borderId="49" xfId="0" applyFont="1" applyFill="1" applyBorder="1" applyAlignment="1">
      <alignment horizontal="center" vertical="top" wrapText="1"/>
    </xf>
    <xf numFmtId="0" fontId="29" fillId="6" borderId="33" xfId="0" applyFont="1" applyFill="1" applyBorder="1" applyAlignment="1">
      <alignment horizontal="center" vertical="top" wrapText="1"/>
    </xf>
    <xf numFmtId="14" fontId="32" fillId="6" borderId="33" xfId="0" applyNumberFormat="1" applyFont="1" applyFill="1" applyBorder="1" applyAlignment="1">
      <alignment horizontal="center" vertical="top" wrapText="1"/>
    </xf>
    <xf numFmtId="165" fontId="32" fillId="6" borderId="33" xfId="0" applyNumberFormat="1" applyFont="1" applyFill="1" applyBorder="1" applyAlignment="1">
      <alignment horizontal="center" vertical="top" wrapText="1"/>
    </xf>
    <xf numFmtId="167" fontId="32" fillId="6" borderId="33" xfId="0" applyNumberFormat="1" applyFont="1" applyFill="1" applyBorder="1" applyAlignment="1">
      <alignment horizontal="center" vertical="top" wrapText="1"/>
    </xf>
    <xf numFmtId="0" fontId="32" fillId="6" borderId="2" xfId="0" applyFont="1" applyFill="1" applyBorder="1" applyAlignment="1">
      <alignment vertical="top" wrapText="1"/>
    </xf>
    <xf numFmtId="0" fontId="32" fillId="6" borderId="49" xfId="0" applyFont="1" applyFill="1" applyBorder="1" applyAlignment="1">
      <alignment vertical="top" wrapText="1"/>
    </xf>
    <xf numFmtId="0" fontId="32" fillId="6" borderId="33" xfId="0" applyFont="1" applyFill="1" applyBorder="1" applyAlignment="1">
      <alignment vertical="top" wrapText="1"/>
    </xf>
    <xf numFmtId="14" fontId="32" fillId="6" borderId="2" xfId="0" applyNumberFormat="1" applyFont="1" applyFill="1" applyBorder="1" applyAlignment="1">
      <alignment horizontal="center" vertical="top" wrapText="1"/>
    </xf>
    <xf numFmtId="0" fontId="33" fillId="6" borderId="33" xfId="0" applyFont="1" applyFill="1" applyBorder="1" applyAlignment="1">
      <alignment horizontal="left" vertical="top" wrapText="1"/>
    </xf>
    <xf numFmtId="0" fontId="29" fillId="6" borderId="33" xfId="0" applyFont="1" applyFill="1" applyBorder="1" applyAlignment="1">
      <alignment horizontal="centerContinuous" vertical="top" wrapText="1"/>
    </xf>
    <xf numFmtId="0" fontId="24" fillId="6" borderId="2" xfId="0" applyFont="1" applyFill="1" applyBorder="1" applyAlignment="1">
      <alignment horizontal="centerContinuous" vertical="top" wrapText="1"/>
    </xf>
    <xf numFmtId="4" fontId="32" fillId="6" borderId="49" xfId="0" applyNumberFormat="1" applyFont="1" applyFill="1" applyBorder="1" applyAlignment="1">
      <alignment vertical="top" wrapText="1"/>
    </xf>
    <xf numFmtId="4" fontId="32" fillId="6" borderId="2" xfId="0" applyNumberFormat="1" applyFont="1" applyFill="1" applyBorder="1" applyAlignment="1">
      <alignment vertical="top" wrapText="1"/>
    </xf>
    <xf numFmtId="4" fontId="29" fillId="6" borderId="49" xfId="0" applyNumberFormat="1" applyFont="1" applyFill="1" applyBorder="1" applyAlignment="1">
      <alignment horizontal="center" vertical="top" wrapText="1"/>
    </xf>
    <xf numFmtId="173" fontId="29" fillId="6" borderId="33" xfId="0" applyNumberFormat="1" applyFont="1" applyFill="1" applyBorder="1" applyAlignment="1">
      <alignment horizontal="center" vertical="top" wrapText="1"/>
    </xf>
    <xf numFmtId="165" fontId="29" fillId="6" borderId="33" xfId="0" applyNumberFormat="1" applyFont="1" applyFill="1" applyBorder="1" applyAlignment="1">
      <alignment horizontal="center" vertical="top" wrapText="1"/>
    </xf>
    <xf numFmtId="168" fontId="29" fillId="6" borderId="2" xfId="1" applyNumberFormat="1" applyFont="1" applyFill="1" applyBorder="1" applyAlignment="1" applyProtection="1">
      <alignment horizontal="center" vertical="top" wrapText="1"/>
    </xf>
    <xf numFmtId="40" fontId="33" fillId="6" borderId="49" xfId="0" applyNumberFormat="1" applyFont="1" applyFill="1" applyBorder="1" applyAlignment="1">
      <alignment vertical="top" wrapText="1"/>
    </xf>
    <xf numFmtId="40" fontId="33" fillId="6" borderId="33" xfId="0" applyNumberFormat="1" applyFont="1" applyFill="1" applyBorder="1" applyAlignment="1">
      <alignment vertical="top" wrapText="1"/>
    </xf>
    <xf numFmtId="40" fontId="28" fillId="6" borderId="12" xfId="0" applyNumberFormat="1" applyFont="1" applyFill="1" applyBorder="1" applyAlignment="1">
      <alignment vertical="top" wrapText="1"/>
    </xf>
    <xf numFmtId="0" fontId="32" fillId="6" borderId="18" xfId="0" applyFont="1" applyFill="1" applyBorder="1" applyAlignment="1">
      <alignment vertical="top" wrapText="1"/>
    </xf>
    <xf numFmtId="0" fontId="32" fillId="0" borderId="270" xfId="0" applyFont="1" applyBorder="1" applyAlignment="1">
      <alignment horizontal="center" vertical="top" wrapText="1"/>
    </xf>
    <xf numFmtId="44" fontId="29" fillId="0" borderId="55" xfId="2" applyFont="1" applyFill="1" applyBorder="1" applyAlignment="1" applyProtection="1">
      <alignment horizontal="center" vertical="top" wrapText="1"/>
    </xf>
    <xf numFmtId="44" fontId="32" fillId="0" borderId="0" xfId="2" applyFont="1" applyFill="1" applyBorder="1" applyAlignment="1" applyProtection="1">
      <alignment vertical="top" wrapText="1"/>
    </xf>
    <xf numFmtId="44" fontId="28" fillId="24" borderId="0" xfId="2" applyFont="1" applyFill="1" applyBorder="1" applyAlignment="1" applyProtection="1">
      <alignment vertical="top" wrapText="1"/>
    </xf>
    <xf numFmtId="44" fontId="28" fillId="10" borderId="0" xfId="2" applyFont="1" applyFill="1" applyBorder="1" applyAlignment="1" applyProtection="1">
      <alignment vertical="top" wrapText="1"/>
    </xf>
    <xf numFmtId="44" fontId="29" fillId="0" borderId="55" xfId="2" applyFont="1" applyFill="1" applyBorder="1" applyAlignment="1" applyProtection="1">
      <alignment vertical="top" wrapText="1"/>
    </xf>
    <xf numFmtId="44" fontId="29" fillId="27" borderId="3" xfId="2" applyFont="1" applyFill="1" applyBorder="1" applyAlignment="1" applyProtection="1">
      <alignment vertical="top" wrapText="1"/>
    </xf>
    <xf numFmtId="44" fontId="32" fillId="27" borderId="3" xfId="2" applyFont="1" applyFill="1" applyBorder="1" applyAlignment="1" applyProtection="1">
      <alignment vertical="top" wrapText="1"/>
    </xf>
    <xf numFmtId="44" fontId="28" fillId="0" borderId="291" xfId="2" applyFont="1" applyFill="1" applyBorder="1" applyAlignment="1" applyProtection="1">
      <alignment vertical="top" wrapText="1"/>
    </xf>
    <xf numFmtId="44" fontId="26" fillId="0" borderId="291" xfId="2" applyFont="1" applyFill="1" applyBorder="1" applyAlignment="1" applyProtection="1">
      <alignment horizontal="center" vertical="top" wrapText="1"/>
    </xf>
    <xf numFmtId="44" fontId="28" fillId="0" borderId="290" xfId="2" applyFont="1" applyFill="1" applyBorder="1" applyAlignment="1" applyProtection="1">
      <alignment vertical="top" wrapText="1"/>
    </xf>
    <xf numFmtId="44" fontId="28" fillId="27" borderId="292" xfId="2" applyFont="1" applyFill="1" applyBorder="1" applyAlignment="1" applyProtection="1">
      <alignment vertical="top" wrapText="1"/>
    </xf>
    <xf numFmtId="44" fontId="5" fillId="0" borderId="293" xfId="2" applyFont="1" applyFill="1" applyBorder="1" applyAlignment="1" applyProtection="1">
      <alignment vertical="top" wrapText="1"/>
    </xf>
    <xf numFmtId="44" fontId="29" fillId="0" borderId="294" xfId="2" applyFont="1" applyFill="1" applyBorder="1" applyAlignment="1" applyProtection="1">
      <alignment vertical="top" wrapText="1"/>
    </xf>
    <xf numFmtId="44" fontId="29" fillId="0" borderId="294" xfId="2" applyFont="1" applyFill="1" applyBorder="1" applyAlignment="1" applyProtection="1">
      <alignment horizontal="center" vertical="top" wrapText="1"/>
    </xf>
    <xf numFmtId="44" fontId="29" fillId="27" borderId="295" xfId="2" applyFont="1" applyFill="1" applyBorder="1" applyAlignment="1" applyProtection="1">
      <alignment vertical="top" wrapText="1"/>
    </xf>
    <xf numFmtId="44" fontId="32" fillId="0" borderId="293" xfId="2" applyFont="1" applyFill="1" applyBorder="1" applyAlignment="1" applyProtection="1">
      <alignment vertical="top" wrapText="1"/>
    </xf>
    <xf numFmtId="44" fontId="32" fillId="27" borderId="295" xfId="2" applyFont="1" applyFill="1" applyBorder="1" applyAlignment="1" applyProtection="1">
      <alignment vertical="top" wrapText="1"/>
    </xf>
    <xf numFmtId="44" fontId="28" fillId="10" borderId="3" xfId="2" applyFont="1" applyFill="1" applyBorder="1" applyAlignment="1" applyProtection="1">
      <alignment horizontal="center" vertical="top" wrapText="1"/>
    </xf>
    <xf numFmtId="0" fontId="14" fillId="0" borderId="284" xfId="0" applyFont="1" applyBorder="1" applyAlignment="1">
      <alignment horizontal="center" vertical="top" wrapText="1"/>
    </xf>
    <xf numFmtId="14" fontId="5" fillId="0" borderId="284" xfId="0" applyNumberFormat="1" applyFont="1" applyBorder="1" applyAlignment="1">
      <alignment horizontal="center" vertical="top" wrapText="1"/>
    </xf>
    <xf numFmtId="0" fontId="5" fillId="0" borderId="284" xfId="0" applyFont="1" applyBorder="1" applyAlignment="1">
      <alignment horizontal="center" vertical="top" wrapText="1"/>
    </xf>
    <xf numFmtId="165" fontId="5" fillId="0" borderId="284" xfId="0" applyNumberFormat="1" applyFont="1" applyBorder="1" applyAlignment="1">
      <alignment horizontal="center" vertical="top" wrapText="1"/>
    </xf>
    <xf numFmtId="182" fontId="5" fillId="0" borderId="284" xfId="1" applyNumberFormat="1" applyFont="1" applyFill="1" applyBorder="1" applyAlignment="1" applyProtection="1">
      <alignment horizontal="center" vertical="top" wrapText="1"/>
    </xf>
    <xf numFmtId="0" fontId="5" fillId="0" borderId="279" xfId="0" applyFont="1" applyBorder="1" applyAlignment="1">
      <alignment vertical="top" wrapText="1"/>
    </xf>
    <xf numFmtId="0" fontId="5" fillId="0" borderId="284" xfId="0" applyFont="1" applyBorder="1" applyAlignment="1">
      <alignment vertical="top" wrapText="1"/>
    </xf>
    <xf numFmtId="14" fontId="5" fillId="0" borderId="277" xfId="0" applyNumberFormat="1" applyFont="1" applyBorder="1" applyAlignment="1">
      <alignment horizontal="center" vertical="top" wrapText="1"/>
    </xf>
    <xf numFmtId="0" fontId="33" fillId="0" borderId="277" xfId="0" applyFont="1" applyBorder="1" applyAlignment="1">
      <alignment vertical="top" wrapText="1"/>
    </xf>
    <xf numFmtId="4" fontId="5" fillId="0" borderId="279" xfId="0" applyNumberFormat="1" applyFont="1" applyBorder="1" applyAlignment="1">
      <alignment vertical="top" wrapText="1"/>
    </xf>
    <xf numFmtId="4" fontId="32" fillId="0" borderId="284" xfId="0" applyNumberFormat="1" applyFont="1" applyBorder="1" applyAlignment="1">
      <alignment vertical="top" wrapText="1"/>
    </xf>
    <xf numFmtId="4" fontId="33" fillId="0" borderId="277" xfId="0" applyNumberFormat="1" applyFont="1" applyBorder="1" applyAlignment="1">
      <alignment vertical="top" wrapText="1"/>
    </xf>
    <xf numFmtId="4" fontId="14" fillId="0" borderId="279" xfId="0" applyNumberFormat="1" applyFont="1" applyBorder="1" applyAlignment="1">
      <alignment vertical="top" wrapText="1"/>
    </xf>
    <xf numFmtId="4" fontId="32" fillId="0" borderId="286" xfId="0" applyNumberFormat="1" applyFont="1" applyBorder="1" applyAlignment="1">
      <alignment vertical="top" wrapText="1"/>
    </xf>
    <xf numFmtId="4" fontId="28" fillId="0" borderId="277" xfId="0" applyNumberFormat="1" applyFont="1" applyBorder="1" applyAlignment="1">
      <alignment vertical="top" wrapText="1"/>
    </xf>
    <xf numFmtId="0" fontId="28" fillId="0" borderId="279" xfId="0" applyFont="1" applyBorder="1" applyAlignment="1">
      <alignment horizontal="center" vertical="top" wrapText="1"/>
    </xf>
    <xf numFmtId="0" fontId="28" fillId="0" borderId="284" xfId="0" applyFont="1" applyBorder="1" applyAlignment="1">
      <alignment horizontal="center" vertical="top" wrapText="1"/>
    </xf>
    <xf numFmtId="40" fontId="33" fillId="0" borderId="279" xfId="0" applyNumberFormat="1" applyFont="1" applyBorder="1" applyAlignment="1">
      <alignment vertical="top" wrapText="1"/>
    </xf>
    <xf numFmtId="40" fontId="33" fillId="0" borderId="284" xfId="0" applyNumberFormat="1" applyFont="1" applyBorder="1" applyAlignment="1">
      <alignment vertical="top" wrapText="1"/>
    </xf>
    <xf numFmtId="0" fontId="5" fillId="0" borderId="289" xfId="0" applyFont="1" applyBorder="1" applyAlignment="1">
      <alignment vertical="top" wrapText="1"/>
    </xf>
    <xf numFmtId="40" fontId="28" fillId="15" borderId="297" xfId="0" applyNumberFormat="1" applyFont="1" applyFill="1" applyBorder="1" applyAlignment="1">
      <alignment vertical="top" wrapText="1"/>
    </xf>
    <xf numFmtId="166" fontId="7" fillId="10" borderId="201" xfId="0" applyNumberFormat="1" applyFont="1" applyFill="1" applyBorder="1" applyAlignment="1">
      <alignment horizontal="center" vertical="top" wrapText="1"/>
    </xf>
    <xf numFmtId="0" fontId="5" fillId="15" borderId="296" xfId="0" applyFont="1" applyFill="1" applyBorder="1" applyAlignment="1">
      <alignment vertical="top" wrapText="1"/>
    </xf>
    <xf numFmtId="14" fontId="5" fillId="15" borderId="296" xfId="0" applyNumberFormat="1" applyFont="1" applyFill="1" applyBorder="1" applyAlignment="1">
      <alignment horizontal="center" vertical="top" wrapText="1"/>
    </xf>
    <xf numFmtId="0" fontId="32" fillId="15" borderId="239" xfId="0" applyFont="1" applyFill="1" applyBorder="1" applyAlignment="1">
      <alignment vertical="top" wrapText="1"/>
    </xf>
    <xf numFmtId="0" fontId="33" fillId="15" borderId="296" xfId="0" applyFont="1" applyFill="1" applyBorder="1" applyAlignment="1">
      <alignment vertical="top" wrapText="1"/>
    </xf>
    <xf numFmtId="4" fontId="33" fillId="15" borderId="296" xfId="0" applyNumberFormat="1" applyFont="1" applyFill="1" applyBorder="1" applyAlignment="1">
      <alignment vertical="top" wrapText="1"/>
    </xf>
    <xf numFmtId="4" fontId="32" fillId="15" borderId="297" xfId="0" applyNumberFormat="1" applyFont="1" applyFill="1" applyBorder="1" applyAlignment="1">
      <alignment vertical="top" wrapText="1"/>
    </xf>
    <xf numFmtId="4" fontId="28" fillId="15" borderId="296" xfId="0" applyNumberFormat="1" applyFont="1" applyFill="1" applyBorder="1" applyAlignment="1">
      <alignment vertical="top" wrapText="1"/>
    </xf>
    <xf numFmtId="182" fontId="28" fillId="15" borderId="296" xfId="1" applyNumberFormat="1" applyFont="1" applyFill="1" applyBorder="1" applyAlignment="1" applyProtection="1">
      <alignment horizontal="center" vertical="top" wrapText="1"/>
    </xf>
    <xf numFmtId="0" fontId="5" fillId="0" borderId="32" xfId="0" applyFont="1" applyBorder="1" applyAlignment="1">
      <alignment horizontal="center" vertical="top" wrapText="1"/>
    </xf>
    <xf numFmtId="182" fontId="5" fillId="0" borderId="32" xfId="1" applyNumberFormat="1" applyFont="1" applyFill="1" applyBorder="1" applyAlignment="1" applyProtection="1">
      <alignment horizontal="center" vertical="top" wrapText="1"/>
    </xf>
    <xf numFmtId="182" fontId="28" fillId="0" borderId="31" xfId="1" applyNumberFormat="1" applyFont="1" applyFill="1" applyBorder="1" applyAlignment="1" applyProtection="1">
      <alignment horizontal="center" vertical="top" wrapText="1"/>
    </xf>
    <xf numFmtId="8" fontId="26" fillId="0" borderId="3" xfId="0" applyNumberFormat="1" applyFont="1" applyBorder="1" applyAlignment="1">
      <alignment vertical="top" wrapText="1"/>
    </xf>
    <xf numFmtId="8" fontId="23" fillId="0" borderId="3" xfId="0" applyNumberFormat="1" applyFont="1" applyBorder="1" applyAlignment="1">
      <alignment vertical="top" wrapText="1"/>
    </xf>
    <xf numFmtId="8" fontId="26" fillId="0" borderId="3" xfId="0" applyNumberFormat="1" applyFont="1" applyBorder="1" applyAlignment="1">
      <alignment vertical="top"/>
    </xf>
    <xf numFmtId="8" fontId="23" fillId="0" borderId="3" xfId="0" applyNumberFormat="1" applyFont="1" applyBorder="1" applyAlignment="1">
      <alignment vertical="top"/>
    </xf>
    <xf numFmtId="44" fontId="26" fillId="0" borderId="3" xfId="0" applyNumberFormat="1" applyFont="1" applyBorder="1" applyAlignment="1">
      <alignment vertical="top"/>
    </xf>
    <xf numFmtId="8" fontId="26" fillId="0" borderId="3" xfId="0" applyNumberFormat="1" applyFont="1" applyBorder="1" applyAlignment="1">
      <alignment horizontal="right" vertical="top" wrapText="1"/>
    </xf>
    <xf numFmtId="8" fontId="23" fillId="0" borderId="3" xfId="0" applyNumberFormat="1" applyFont="1" applyBorder="1" applyAlignment="1">
      <alignment horizontal="right" vertical="top" wrapText="1"/>
    </xf>
    <xf numFmtId="0" fontId="26" fillId="0" borderId="242" xfId="0" applyFont="1" applyBorder="1" applyAlignment="1">
      <alignment vertical="top" wrapText="1"/>
    </xf>
    <xf numFmtId="49" fontId="6" fillId="0" borderId="299" xfId="0" applyNumberFormat="1" applyFont="1" applyBorder="1" applyAlignment="1">
      <alignment horizontal="left" vertical="top" wrapText="1"/>
    </xf>
    <xf numFmtId="0" fontId="7" fillId="0" borderId="298" xfId="0" applyFont="1" applyBorder="1" applyAlignment="1">
      <alignment vertical="top" wrapText="1"/>
    </xf>
    <xf numFmtId="0" fontId="7" fillId="0" borderId="300" xfId="0" applyFont="1" applyBorder="1" applyAlignment="1">
      <alignment vertical="top" wrapText="1"/>
    </xf>
    <xf numFmtId="0" fontId="7" fillId="0" borderId="298" xfId="0" applyFont="1" applyBorder="1" applyAlignment="1">
      <alignment vertical="top"/>
    </xf>
    <xf numFmtId="0" fontId="6" fillId="0" borderId="298" xfId="0" applyFont="1" applyBorder="1" applyAlignment="1">
      <alignment horizontal="left" vertical="top"/>
    </xf>
    <xf numFmtId="0" fontId="7" fillId="0" borderId="298" xfId="0" applyFont="1" applyBorder="1" applyAlignment="1">
      <alignment horizontal="left" vertical="top"/>
    </xf>
    <xf numFmtId="17" fontId="7" fillId="0" borderId="298" xfId="0" applyNumberFormat="1" applyFont="1" applyBorder="1" applyAlignment="1">
      <alignment vertical="top"/>
    </xf>
    <xf numFmtId="0" fontId="7" fillId="10" borderId="298" xfId="0" applyFont="1" applyFill="1" applyBorder="1" applyAlignment="1">
      <alignment horizontal="right" vertical="top"/>
    </xf>
    <xf numFmtId="0" fontId="7" fillId="10" borderId="298" xfId="0" applyFont="1" applyFill="1" applyBorder="1" applyAlignment="1">
      <alignment horizontal="left" vertical="top"/>
    </xf>
    <xf numFmtId="0" fontId="7" fillId="0" borderId="300" xfId="0" applyFont="1" applyBorder="1" applyAlignment="1">
      <alignment vertical="top"/>
    </xf>
    <xf numFmtId="166" fontId="7" fillId="0" borderId="300" xfId="0" applyNumberFormat="1" applyFont="1" applyBorder="1" applyAlignment="1">
      <alignment horizontal="center" vertical="top" wrapText="1"/>
    </xf>
    <xf numFmtId="166" fontId="7" fillId="0" borderId="298" xfId="0" applyNumberFormat="1" applyFont="1" applyBorder="1" applyAlignment="1">
      <alignment horizontal="center" vertical="top" wrapText="1"/>
    </xf>
    <xf numFmtId="0" fontId="26" fillId="0" borderId="299" xfId="0" applyFont="1" applyBorder="1" applyAlignment="1">
      <alignment horizontal="center" vertical="top" wrapText="1"/>
    </xf>
    <xf numFmtId="15" fontId="25" fillId="0" borderId="300" xfId="0" applyNumberFormat="1" applyFont="1" applyBorder="1" applyAlignment="1">
      <alignment horizontal="center" vertical="top" wrapText="1"/>
    </xf>
    <xf numFmtId="0" fontId="25" fillId="0" borderId="298" xfId="0" applyFont="1" applyBorder="1" applyAlignment="1">
      <alignment horizontal="right" vertical="top" wrapText="1"/>
    </xf>
    <xf numFmtId="0" fontId="25" fillId="0" borderId="298" xfId="0" applyFont="1" applyBorder="1" applyAlignment="1">
      <alignment vertical="top"/>
    </xf>
    <xf numFmtId="44" fontId="25" fillId="0" borderId="299" xfId="0" applyNumberFormat="1" applyFont="1" applyBorder="1" applyAlignment="1">
      <alignment vertical="top"/>
    </xf>
    <xf numFmtId="0" fontId="25" fillId="10" borderId="298" xfId="0" applyFont="1" applyFill="1" applyBorder="1" applyAlignment="1">
      <alignment vertical="top"/>
    </xf>
    <xf numFmtId="17" fontId="25" fillId="0" borderId="298" xfId="0" applyNumberFormat="1" applyFont="1" applyBorder="1" applyAlignment="1">
      <alignment vertical="top" wrapText="1"/>
    </xf>
    <xf numFmtId="0" fontId="25" fillId="0" borderId="300" xfId="0" applyFont="1" applyBorder="1" applyAlignment="1">
      <alignment vertical="top"/>
    </xf>
    <xf numFmtId="0" fontId="23" fillId="9" borderId="242" xfId="0" applyFont="1" applyFill="1" applyBorder="1" applyAlignment="1">
      <alignment vertical="top" wrapText="1"/>
    </xf>
    <xf numFmtId="0" fontId="6" fillId="6" borderId="242" xfId="0" applyFont="1" applyFill="1" applyBorder="1" applyAlignment="1">
      <alignment horizontal="center" vertical="top" wrapText="1"/>
    </xf>
    <xf numFmtId="49" fontId="6" fillId="9" borderId="299" xfId="0" applyNumberFormat="1" applyFont="1" applyFill="1" applyBorder="1" applyAlignment="1">
      <alignment horizontal="left" vertical="top" wrapText="1"/>
    </xf>
    <xf numFmtId="0" fontId="7" fillId="9" borderId="242" xfId="0" applyFont="1" applyFill="1" applyBorder="1" applyAlignment="1">
      <alignment vertical="top" wrapText="1"/>
    </xf>
    <xf numFmtId="0" fontId="7" fillId="6" borderId="298" xfId="0" applyFont="1" applyFill="1" applyBorder="1" applyAlignment="1">
      <alignment vertical="top" wrapText="1"/>
    </xf>
    <xf numFmtId="0" fontId="7" fillId="6" borderId="300" xfId="0" applyFont="1" applyFill="1" applyBorder="1" applyAlignment="1">
      <alignment vertical="top" wrapText="1"/>
    </xf>
    <xf numFmtId="0" fontId="7" fillId="6" borderId="298" xfId="0" applyFont="1" applyFill="1" applyBorder="1" applyAlignment="1">
      <alignment vertical="top"/>
    </xf>
    <xf numFmtId="0" fontId="6" fillId="6" borderId="298" xfId="0" applyFont="1" applyFill="1" applyBorder="1" applyAlignment="1">
      <alignment horizontal="left" vertical="top"/>
    </xf>
    <xf numFmtId="0" fontId="7" fillId="6" borderId="298" xfId="0" applyFont="1" applyFill="1" applyBorder="1" applyAlignment="1">
      <alignment horizontal="left" vertical="top"/>
    </xf>
    <xf numFmtId="17" fontId="7" fillId="10" borderId="298" xfId="0" applyNumberFormat="1" applyFont="1" applyFill="1" applyBorder="1" applyAlignment="1">
      <alignment horizontal="right" vertical="top"/>
    </xf>
    <xf numFmtId="17" fontId="7" fillId="10" borderId="298" xfId="0" applyNumberFormat="1" applyFont="1" applyFill="1" applyBorder="1" applyAlignment="1">
      <alignment horizontal="left" vertical="top"/>
    </xf>
    <xf numFmtId="0" fontId="7" fillId="6" borderId="300" xfId="0" applyFont="1" applyFill="1" applyBorder="1" applyAlignment="1">
      <alignment vertical="top"/>
    </xf>
    <xf numFmtId="44" fontId="6" fillId="6" borderId="242" xfId="2" applyFont="1" applyFill="1" applyBorder="1" applyAlignment="1" applyProtection="1">
      <alignment vertical="top" wrapText="1"/>
    </xf>
    <xf numFmtId="166" fontId="7" fillId="6" borderId="299" xfId="0" applyNumberFormat="1" applyFont="1" applyFill="1" applyBorder="1" applyAlignment="1">
      <alignment horizontal="left" vertical="top" wrapText="1"/>
    </xf>
    <xf numFmtId="166" fontId="7" fillId="6" borderId="300" xfId="0" applyNumberFormat="1" applyFont="1" applyFill="1" applyBorder="1" applyAlignment="1">
      <alignment horizontal="center" vertical="top"/>
    </xf>
    <xf numFmtId="166" fontId="7" fillId="6" borderId="298" xfId="0" applyNumberFormat="1" applyFont="1" applyFill="1" applyBorder="1" applyAlignment="1">
      <alignment horizontal="center" vertical="top"/>
    </xf>
    <xf numFmtId="0" fontId="26" fillId="6" borderId="299" xfId="0" applyFont="1" applyFill="1" applyBorder="1" applyAlignment="1">
      <alignment horizontal="center" vertical="top"/>
    </xf>
    <xf numFmtId="15" fontId="25" fillId="6" borderId="300" xfId="0" applyNumberFormat="1" applyFont="1" applyFill="1" applyBorder="1" applyAlignment="1">
      <alignment horizontal="center" vertical="top"/>
    </xf>
    <xf numFmtId="0" fontId="25" fillId="6" borderId="298" xfId="0" applyFont="1" applyFill="1" applyBorder="1" applyAlignment="1">
      <alignment horizontal="right" vertical="top"/>
    </xf>
    <xf numFmtId="0" fontId="25" fillId="6" borderId="298" xfId="0" applyFont="1" applyFill="1" applyBorder="1" applyAlignment="1">
      <alignment vertical="top"/>
    </xf>
    <xf numFmtId="44" fontId="25" fillId="6" borderId="299" xfId="0" applyNumberFormat="1" applyFont="1" applyFill="1" applyBorder="1" applyAlignment="1">
      <alignment vertical="top"/>
    </xf>
    <xf numFmtId="0" fontId="26" fillId="10" borderId="298" xfId="0" applyFont="1" applyFill="1" applyBorder="1" applyAlignment="1">
      <alignment vertical="top" wrapText="1"/>
    </xf>
    <xf numFmtId="0" fontId="25" fillId="6" borderId="300" xfId="0" applyFont="1" applyFill="1" applyBorder="1" applyAlignment="1">
      <alignment vertical="top"/>
    </xf>
    <xf numFmtId="44" fontId="26" fillId="6" borderId="242" xfId="2" applyFont="1" applyFill="1" applyBorder="1" applyAlignment="1" applyProtection="1">
      <alignment horizontal="left" vertical="top" wrapText="1"/>
    </xf>
    <xf numFmtId="17" fontId="7" fillId="0" borderId="298" xfId="0" applyNumberFormat="1" applyFont="1" applyBorder="1" applyAlignment="1">
      <alignment vertical="top" wrapText="1"/>
    </xf>
    <xf numFmtId="17" fontId="6" fillId="0" borderId="298" xfId="0" applyNumberFormat="1" applyFont="1" applyBorder="1" applyAlignment="1">
      <alignment horizontal="left" vertical="top" wrapText="1"/>
    </xf>
    <xf numFmtId="0" fontId="7" fillId="0" borderId="298" xfId="0" applyFont="1" applyBorder="1" applyAlignment="1">
      <alignment horizontal="left" vertical="top" wrapText="1"/>
    </xf>
    <xf numFmtId="0" fontId="7" fillId="10" borderId="298" xfId="0" applyFont="1" applyFill="1" applyBorder="1" applyAlignment="1">
      <alignment horizontal="right" vertical="top" wrapText="1"/>
    </xf>
    <xf numFmtId="0" fontId="7" fillId="10" borderId="298" xfId="0" applyFont="1" applyFill="1" applyBorder="1" applyAlignment="1">
      <alignment horizontal="left" vertical="top" wrapText="1"/>
    </xf>
    <xf numFmtId="166" fontId="6" fillId="0" borderId="299" xfId="0" applyNumberFormat="1" applyFont="1" applyBorder="1" applyAlignment="1">
      <alignment horizontal="left" vertical="top" wrapText="1"/>
    </xf>
    <xf numFmtId="0" fontId="26" fillId="0" borderId="299" xfId="0" applyFont="1" applyBorder="1" applyAlignment="1">
      <alignment horizontal="center" vertical="top"/>
    </xf>
    <xf numFmtId="15" fontId="25" fillId="0" borderId="300" xfId="0" applyNumberFormat="1" applyFont="1" applyBorder="1" applyAlignment="1">
      <alignment horizontal="center" vertical="top"/>
    </xf>
    <xf numFmtId="0" fontId="25" fillId="0" borderId="298" xfId="0" applyFont="1" applyBorder="1" applyAlignment="1">
      <alignment horizontal="right" vertical="top"/>
    </xf>
    <xf numFmtId="17" fontId="25" fillId="0" borderId="298" xfId="0" applyNumberFormat="1" applyFont="1" applyBorder="1" applyAlignment="1">
      <alignment vertical="top"/>
    </xf>
    <xf numFmtId="0" fontId="7" fillId="6" borderId="242" xfId="0" applyFont="1" applyFill="1" applyBorder="1" applyAlignment="1">
      <alignment vertical="top" wrapText="1"/>
    </xf>
    <xf numFmtId="49" fontId="6" fillId="6" borderId="299" xfId="0" applyNumberFormat="1" applyFont="1" applyFill="1" applyBorder="1" applyAlignment="1">
      <alignment horizontal="left" vertical="top" wrapText="1"/>
    </xf>
    <xf numFmtId="17" fontId="7" fillId="6" borderId="298" xfId="0" applyNumberFormat="1" applyFont="1" applyFill="1" applyBorder="1" applyAlignment="1">
      <alignment vertical="top" wrapText="1"/>
    </xf>
    <xf numFmtId="0" fontId="7" fillId="6" borderId="298" xfId="0" applyFont="1" applyFill="1" applyBorder="1" applyAlignment="1">
      <alignment horizontal="left" vertical="top" wrapText="1"/>
    </xf>
    <xf numFmtId="17" fontId="7" fillId="10" borderId="298" xfId="0" applyNumberFormat="1" applyFont="1" applyFill="1" applyBorder="1" applyAlignment="1">
      <alignment vertical="top" wrapText="1"/>
    </xf>
    <xf numFmtId="166" fontId="7" fillId="6" borderId="300" xfId="0" applyNumberFormat="1" applyFont="1" applyFill="1" applyBorder="1" applyAlignment="1">
      <alignment horizontal="center" vertical="top" wrapText="1"/>
    </xf>
    <xf numFmtId="166" fontId="7" fillId="6" borderId="298" xfId="0" applyNumberFormat="1" applyFont="1" applyFill="1" applyBorder="1" applyAlignment="1">
      <alignment horizontal="center" vertical="top" wrapText="1"/>
    </xf>
    <xf numFmtId="0" fontId="26" fillId="6" borderId="299" xfId="0" applyFont="1" applyFill="1" applyBorder="1" applyAlignment="1">
      <alignment horizontal="center" vertical="top" wrapText="1"/>
    </xf>
    <xf numFmtId="15" fontId="25" fillId="6" borderId="300" xfId="0" applyNumberFormat="1" applyFont="1" applyFill="1" applyBorder="1" applyAlignment="1">
      <alignment horizontal="center" vertical="top" wrapText="1"/>
    </xf>
    <xf numFmtId="0" fontId="25" fillId="6" borderId="298" xfId="0" applyFont="1" applyFill="1" applyBorder="1" applyAlignment="1">
      <alignment horizontal="right" vertical="top" wrapText="1"/>
    </xf>
    <xf numFmtId="17" fontId="25" fillId="6" borderId="298" xfId="0" applyNumberFormat="1" applyFont="1" applyFill="1" applyBorder="1" applyAlignment="1">
      <alignment vertical="top" wrapText="1"/>
    </xf>
    <xf numFmtId="17" fontId="25" fillId="10" borderId="298" xfId="0" applyNumberFormat="1" applyFont="1" applyFill="1" applyBorder="1" applyAlignment="1">
      <alignment vertical="top" wrapText="1"/>
    </xf>
    <xf numFmtId="0" fontId="8" fillId="6" borderId="299" xfId="0" applyFont="1" applyFill="1" applyBorder="1" applyAlignment="1">
      <alignment vertical="top" wrapText="1"/>
    </xf>
    <xf numFmtId="17" fontId="6" fillId="6" borderId="298" xfId="0" applyNumberFormat="1" applyFont="1" applyFill="1" applyBorder="1" applyAlignment="1">
      <alignment horizontal="left" vertical="top" wrapText="1"/>
    </xf>
    <xf numFmtId="17" fontId="7" fillId="10" borderId="298" xfId="0" applyNumberFormat="1" applyFont="1" applyFill="1" applyBorder="1" applyAlignment="1">
      <alignment horizontal="right" vertical="top" wrapText="1"/>
    </xf>
    <xf numFmtId="17" fontId="7" fillId="10" borderId="298" xfId="0" applyNumberFormat="1" applyFont="1" applyFill="1" applyBorder="1" applyAlignment="1">
      <alignment horizontal="left" vertical="top" wrapText="1"/>
    </xf>
    <xf numFmtId="0" fontId="11" fillId="6" borderId="298" xfId="0" applyFont="1" applyFill="1" applyBorder="1" applyAlignment="1">
      <alignment vertical="top"/>
    </xf>
    <xf numFmtId="44" fontId="24" fillId="6" borderId="299" xfId="0" applyNumberFormat="1" applyFont="1" applyFill="1" applyBorder="1" applyAlignment="1">
      <alignment vertical="top" wrapText="1"/>
    </xf>
    <xf numFmtId="17" fontId="24" fillId="6" borderId="298" xfId="0" applyNumberFormat="1" applyFont="1" applyFill="1" applyBorder="1" applyAlignment="1">
      <alignment vertical="top" wrapText="1"/>
    </xf>
    <xf numFmtId="17" fontId="25" fillId="6" borderId="298" xfId="0" applyNumberFormat="1" applyFont="1" applyFill="1" applyBorder="1" applyAlignment="1">
      <alignment vertical="top"/>
    </xf>
    <xf numFmtId="17" fontId="25" fillId="10" borderId="298" xfId="0" applyNumberFormat="1" applyFont="1" applyFill="1" applyBorder="1" applyAlignment="1">
      <alignment vertical="top"/>
    </xf>
    <xf numFmtId="0" fontId="8" fillId="0" borderId="299" xfId="0" applyFont="1" applyBorder="1" applyAlignment="1">
      <alignment vertical="top" wrapText="1"/>
    </xf>
    <xf numFmtId="0" fontId="24" fillId="0" borderId="298" xfId="0" applyFont="1" applyBorder="1" applyAlignment="1">
      <alignment vertical="top" wrapText="1"/>
    </xf>
    <xf numFmtId="17" fontId="7" fillId="0" borderId="298" xfId="0" applyNumberFormat="1" applyFont="1" applyBorder="1" applyAlignment="1">
      <alignment horizontal="left" vertical="top" wrapText="1"/>
    </xf>
    <xf numFmtId="17" fontId="7" fillId="0" borderId="298" xfId="0" applyNumberFormat="1" applyFont="1" applyBorder="1" applyAlignment="1">
      <alignment horizontal="right" vertical="top" wrapText="1"/>
    </xf>
    <xf numFmtId="166" fontId="12" fillId="0" borderId="299" xfId="0" applyNumberFormat="1" applyFont="1" applyBorder="1" applyAlignment="1">
      <alignment horizontal="left" vertical="top" wrapText="1"/>
    </xf>
    <xf numFmtId="166" fontId="12" fillId="0" borderId="300" xfId="0" applyNumberFormat="1" applyFont="1" applyBorder="1" applyAlignment="1">
      <alignment horizontal="center" vertical="top" wrapText="1"/>
    </xf>
    <xf numFmtId="0" fontId="25" fillId="0" borderId="299" xfId="0" applyFont="1" applyBorder="1" applyAlignment="1">
      <alignment horizontal="center" vertical="top" wrapText="1"/>
    </xf>
    <xf numFmtId="0" fontId="25" fillId="0" borderId="298" xfId="0" applyFont="1" applyBorder="1" applyAlignment="1">
      <alignment vertical="top" wrapText="1"/>
    </xf>
    <xf numFmtId="44" fontId="25" fillId="0" borderId="299" xfId="0" applyNumberFormat="1" applyFont="1" applyBorder="1" applyAlignment="1">
      <alignment vertical="top" wrapText="1"/>
    </xf>
    <xf numFmtId="0" fontId="25" fillId="0" borderId="300" xfId="0" applyFont="1" applyBorder="1" applyAlignment="1">
      <alignment vertical="top" wrapText="1"/>
    </xf>
    <xf numFmtId="0" fontId="12" fillId="6" borderId="298" xfId="0" applyFont="1" applyFill="1" applyBorder="1" applyAlignment="1">
      <alignment vertical="top" wrapText="1"/>
    </xf>
    <xf numFmtId="166" fontId="12" fillId="6" borderId="298" xfId="0" applyNumberFormat="1" applyFont="1" applyFill="1" applyBorder="1" applyAlignment="1">
      <alignment horizontal="center" vertical="top" wrapText="1"/>
    </xf>
    <xf numFmtId="44" fontId="25" fillId="6" borderId="299" xfId="0" applyNumberFormat="1" applyFont="1" applyFill="1" applyBorder="1" applyAlignment="1">
      <alignment vertical="top" wrapText="1"/>
    </xf>
    <xf numFmtId="0" fontId="25" fillId="6" borderId="298" xfId="0" applyFont="1" applyFill="1" applyBorder="1" applyAlignment="1">
      <alignment vertical="top" wrapText="1"/>
    </xf>
    <xf numFmtId="0" fontId="25" fillId="6" borderId="300" xfId="0" applyFont="1" applyFill="1" applyBorder="1" applyAlignment="1">
      <alignment vertical="top" wrapText="1"/>
    </xf>
    <xf numFmtId="0" fontId="75" fillId="0" borderId="63" xfId="0" applyFont="1" applyBorder="1" applyAlignment="1">
      <alignment horizontal="center" vertical="top" wrapText="1"/>
    </xf>
    <xf numFmtId="0" fontId="24" fillId="0" borderId="22" xfId="0" applyFont="1" applyBorder="1" applyAlignment="1">
      <alignment horizontal="center" vertical="top" wrapText="1"/>
    </xf>
    <xf numFmtId="0" fontId="5" fillId="0" borderId="298" xfId="0" applyFont="1" applyBorder="1" applyAlignment="1">
      <alignment vertical="top" wrapText="1"/>
    </xf>
    <xf numFmtId="14" fontId="5" fillId="0" borderId="298" xfId="0" applyNumberFormat="1" applyFont="1" applyBorder="1" applyAlignment="1">
      <alignment horizontal="center" vertical="top" wrapText="1"/>
    </xf>
    <xf numFmtId="0" fontId="33" fillId="0" borderId="298" xfId="0" applyFont="1" applyBorder="1" applyAlignment="1">
      <alignment vertical="top" wrapText="1"/>
    </xf>
    <xf numFmtId="4" fontId="33" fillId="0" borderId="298" xfId="0" applyNumberFormat="1" applyFont="1" applyBorder="1" applyAlignment="1">
      <alignment vertical="top" wrapText="1"/>
    </xf>
    <xf numFmtId="4" fontId="33" fillId="10" borderId="298" xfId="0" applyNumberFormat="1" applyFont="1" applyFill="1" applyBorder="1" applyAlignment="1">
      <alignment vertical="top" wrapText="1"/>
    </xf>
    <xf numFmtId="4" fontId="32" fillId="0" borderId="300" xfId="0" applyNumberFormat="1" applyFont="1" applyBorder="1" applyAlignment="1">
      <alignment vertical="top" wrapText="1"/>
    </xf>
    <xf numFmtId="4" fontId="28" fillId="0" borderId="298" xfId="0" applyNumberFormat="1" applyFont="1" applyBorder="1" applyAlignment="1">
      <alignment vertical="top" wrapText="1"/>
    </xf>
    <xf numFmtId="182" fontId="28" fillId="0" borderId="298" xfId="1" applyNumberFormat="1" applyFont="1" applyFill="1" applyBorder="1" applyAlignment="1" applyProtection="1">
      <alignment horizontal="center" vertical="top" wrapText="1"/>
    </xf>
    <xf numFmtId="40" fontId="28" fillId="0" borderId="300" xfId="0" applyNumberFormat="1" applyFont="1" applyBorder="1" applyAlignment="1">
      <alignment vertical="top" wrapText="1"/>
    </xf>
    <xf numFmtId="8" fontId="29" fillId="27" borderId="3" xfId="2" applyNumberFormat="1" applyFont="1" applyFill="1" applyBorder="1" applyAlignment="1" applyProtection="1">
      <alignment vertical="top" wrapText="1"/>
    </xf>
    <xf numFmtId="8" fontId="29" fillId="27" borderId="295" xfId="2" applyNumberFormat="1" applyFont="1" applyFill="1" applyBorder="1" applyAlignment="1" applyProtection="1">
      <alignment vertical="top" wrapText="1"/>
    </xf>
    <xf numFmtId="44" fontId="26" fillId="0" borderId="3" xfId="0" applyNumberFormat="1" applyFont="1" applyBorder="1" applyAlignment="1">
      <alignment vertical="top" wrapText="1"/>
    </xf>
    <xf numFmtId="0" fontId="14" fillId="15" borderId="303" xfId="0" applyFont="1" applyFill="1" applyBorder="1" applyAlignment="1">
      <alignment horizontal="center" vertical="top" wrapText="1"/>
    </xf>
    <xf numFmtId="0" fontId="14" fillId="15" borderId="304" xfId="0" applyFont="1" applyFill="1" applyBorder="1" applyAlignment="1">
      <alignment horizontal="center" vertical="top" wrapText="1"/>
    </xf>
    <xf numFmtId="14" fontId="5" fillId="15" borderId="304" xfId="0" applyNumberFormat="1" applyFont="1" applyFill="1" applyBorder="1" applyAlignment="1">
      <alignment horizontal="center" vertical="top" wrapText="1"/>
    </xf>
    <xf numFmtId="165" fontId="14" fillId="15" borderId="304" xfId="0" applyNumberFormat="1" applyFont="1" applyFill="1" applyBorder="1" applyAlignment="1">
      <alignment horizontal="center" vertical="top" wrapText="1"/>
    </xf>
    <xf numFmtId="182" fontId="5" fillId="15" borderId="304" xfId="1" applyNumberFormat="1" applyFont="1" applyFill="1" applyBorder="1" applyAlignment="1" applyProtection="1">
      <alignment horizontal="center" vertical="top" wrapText="1"/>
    </xf>
    <xf numFmtId="0" fontId="5" fillId="15" borderId="302" xfId="0" applyFont="1" applyFill="1" applyBorder="1" applyAlignment="1">
      <alignment vertical="top" wrapText="1"/>
    </xf>
    <xf numFmtId="0" fontId="5" fillId="15" borderId="303" xfId="0" applyFont="1" applyFill="1" applyBorder="1" applyAlignment="1">
      <alignment vertical="top" wrapText="1"/>
    </xf>
    <xf numFmtId="0" fontId="5" fillId="15" borderId="304" xfId="0" applyFont="1" applyFill="1" applyBorder="1" applyAlignment="1">
      <alignment vertical="top" wrapText="1"/>
    </xf>
    <xf numFmtId="14" fontId="5" fillId="15" borderId="302" xfId="0" applyNumberFormat="1" applyFont="1" applyFill="1" applyBorder="1" applyAlignment="1">
      <alignment horizontal="center" vertical="top" wrapText="1"/>
    </xf>
    <xf numFmtId="0" fontId="33" fillId="15" borderId="303" xfId="0" applyFont="1" applyFill="1" applyBorder="1" applyAlignment="1">
      <alignment vertical="top" wrapText="1"/>
    </xf>
    <xf numFmtId="0" fontId="33" fillId="15" borderId="302" xfId="0" applyFont="1" applyFill="1" applyBorder="1" applyAlignment="1">
      <alignment vertical="top" wrapText="1"/>
    </xf>
    <xf numFmtId="4" fontId="5" fillId="15" borderId="303" xfId="0" applyNumberFormat="1" applyFont="1" applyFill="1" applyBorder="1" applyAlignment="1">
      <alignment vertical="top" wrapText="1"/>
    </xf>
    <xf numFmtId="4" fontId="32" fillId="15" borderId="304" xfId="0" applyNumberFormat="1" applyFont="1" applyFill="1" applyBorder="1" applyAlignment="1">
      <alignment vertical="top" wrapText="1"/>
    </xf>
    <xf numFmtId="4" fontId="33" fillId="15" borderId="302" xfId="0" applyNumberFormat="1" applyFont="1" applyFill="1" applyBorder="1" applyAlignment="1">
      <alignment vertical="top" wrapText="1"/>
    </xf>
    <xf numFmtId="4" fontId="14" fillId="15" borderId="303" xfId="0" applyNumberFormat="1" applyFont="1" applyFill="1" applyBorder="1" applyAlignment="1">
      <alignment vertical="top" wrapText="1"/>
    </xf>
    <xf numFmtId="4" fontId="32" fillId="15" borderId="305" xfId="0" applyNumberFormat="1" applyFont="1" applyFill="1" applyBorder="1" applyAlignment="1">
      <alignment vertical="top" wrapText="1"/>
    </xf>
    <xf numFmtId="4" fontId="28" fillId="15" borderId="302" xfId="0" applyNumberFormat="1" applyFont="1" applyFill="1" applyBorder="1" applyAlignment="1">
      <alignment vertical="top" wrapText="1"/>
    </xf>
    <xf numFmtId="0" fontId="28" fillId="15" borderId="303" xfId="0" applyFont="1" applyFill="1" applyBorder="1" applyAlignment="1">
      <alignment horizontal="center" vertical="top" wrapText="1"/>
    </xf>
    <xf numFmtId="173" fontId="28" fillId="15" borderId="304" xfId="0" applyNumberFormat="1" applyFont="1" applyFill="1" applyBorder="1" applyAlignment="1">
      <alignment horizontal="center" vertical="top" wrapText="1"/>
    </xf>
    <xf numFmtId="165" fontId="28" fillId="15" borderId="304" xfId="0" applyNumberFormat="1" applyFont="1" applyFill="1" applyBorder="1" applyAlignment="1">
      <alignment horizontal="center" vertical="top" wrapText="1"/>
    </xf>
    <xf numFmtId="182" fontId="28" fillId="15" borderId="302" xfId="1" applyNumberFormat="1" applyFont="1" applyFill="1" applyBorder="1" applyAlignment="1" applyProtection="1">
      <alignment horizontal="center" vertical="top" wrapText="1"/>
    </xf>
    <xf numFmtId="40" fontId="33" fillId="15" borderId="303" xfId="0" applyNumberFormat="1" applyFont="1" applyFill="1" applyBorder="1" applyAlignment="1">
      <alignment vertical="top" wrapText="1"/>
    </xf>
    <xf numFmtId="40" fontId="33" fillId="15" borderId="304" xfId="0" applyNumberFormat="1" applyFont="1" applyFill="1" applyBorder="1" applyAlignment="1">
      <alignment vertical="top" wrapText="1"/>
    </xf>
    <xf numFmtId="40" fontId="28" fillId="15" borderId="306" xfId="0" applyNumberFormat="1" applyFont="1" applyFill="1" applyBorder="1" applyAlignment="1">
      <alignment vertical="top" wrapText="1"/>
    </xf>
    <xf numFmtId="0" fontId="5" fillId="15" borderId="307" xfId="0" applyFont="1" applyFill="1" applyBorder="1" applyAlignment="1">
      <alignment vertical="top" wrapText="1"/>
    </xf>
    <xf numFmtId="0" fontId="28" fillId="15" borderId="308" xfId="0" applyFont="1" applyFill="1" applyBorder="1" applyAlignment="1">
      <alignment horizontal="center" vertical="top" wrapText="1"/>
    </xf>
    <xf numFmtId="8" fontId="32" fillId="15" borderId="0" xfId="0" applyNumberFormat="1" applyFont="1" applyFill="1" applyAlignment="1">
      <alignment vertical="top" wrapText="1"/>
    </xf>
    <xf numFmtId="0" fontId="14" fillId="15" borderId="310" xfId="0" applyFont="1" applyFill="1" applyBorder="1" applyAlignment="1">
      <alignment horizontal="center" vertical="top" wrapText="1"/>
    </xf>
    <xf numFmtId="14" fontId="5" fillId="15" borderId="310" xfId="0" applyNumberFormat="1" applyFont="1" applyFill="1" applyBorder="1" applyAlignment="1">
      <alignment horizontal="center" vertical="top" wrapText="1"/>
    </xf>
    <xf numFmtId="0" fontId="5" fillId="15" borderId="310" xfId="0" applyFont="1" applyFill="1" applyBorder="1" applyAlignment="1">
      <alignment horizontal="center" vertical="top" wrapText="1"/>
    </xf>
    <xf numFmtId="165" fontId="5" fillId="15" borderId="310" xfId="0" applyNumberFormat="1" applyFont="1" applyFill="1" applyBorder="1" applyAlignment="1">
      <alignment horizontal="center" vertical="top" wrapText="1"/>
    </xf>
    <xf numFmtId="182" fontId="5" fillId="15" borderId="310" xfId="1" applyNumberFormat="1" applyFont="1" applyFill="1" applyBorder="1" applyAlignment="1" applyProtection="1">
      <alignment horizontal="center" vertical="top" wrapText="1"/>
    </xf>
    <xf numFmtId="0" fontId="5" fillId="15" borderId="309" xfId="0" applyFont="1" applyFill="1" applyBorder="1" applyAlignment="1">
      <alignment vertical="top" wrapText="1"/>
    </xf>
    <xf numFmtId="0" fontId="5" fillId="15" borderId="310" xfId="0" applyFont="1" applyFill="1" applyBorder="1" applyAlignment="1">
      <alignment vertical="top" wrapText="1"/>
    </xf>
    <xf numFmtId="14" fontId="5" fillId="15" borderId="309" xfId="0" applyNumberFormat="1" applyFont="1" applyFill="1" applyBorder="1" applyAlignment="1">
      <alignment horizontal="center" vertical="top" wrapText="1"/>
    </xf>
    <xf numFmtId="0" fontId="33" fillId="15" borderId="309" xfId="0" applyFont="1" applyFill="1" applyBorder="1" applyAlignment="1">
      <alignment vertical="top" wrapText="1"/>
    </xf>
    <xf numFmtId="4" fontId="32" fillId="15" borderId="310" xfId="0" applyNumberFormat="1" applyFont="1" applyFill="1" applyBorder="1" applyAlignment="1">
      <alignment vertical="top" wrapText="1"/>
    </xf>
    <xf numFmtId="4" fontId="33" fillId="15" borderId="309" xfId="0" applyNumberFormat="1" applyFont="1" applyFill="1" applyBorder="1" applyAlignment="1">
      <alignment vertical="top" wrapText="1"/>
    </xf>
    <xf numFmtId="4" fontId="32" fillId="15" borderId="311" xfId="0" applyNumberFormat="1" applyFont="1" applyFill="1" applyBorder="1" applyAlignment="1">
      <alignment vertical="top" wrapText="1"/>
    </xf>
    <xf numFmtId="4" fontId="28" fillId="15" borderId="309" xfId="0" applyNumberFormat="1" applyFont="1" applyFill="1" applyBorder="1" applyAlignment="1">
      <alignment vertical="top" wrapText="1"/>
    </xf>
    <xf numFmtId="173" fontId="28" fillId="15" borderId="310" xfId="0" applyNumberFormat="1" applyFont="1" applyFill="1" applyBorder="1" applyAlignment="1">
      <alignment horizontal="center" vertical="top" wrapText="1"/>
    </xf>
    <xf numFmtId="0" fontId="28" fillId="15" borderId="310" xfId="0" applyFont="1" applyFill="1" applyBorder="1" applyAlignment="1">
      <alignment horizontal="center" vertical="top" wrapText="1"/>
    </xf>
    <xf numFmtId="165" fontId="29" fillId="15" borderId="33" xfId="0" applyNumberFormat="1" applyFont="1" applyFill="1" applyBorder="1" applyAlignment="1">
      <alignment horizontal="center" vertical="top" wrapText="1"/>
    </xf>
    <xf numFmtId="182" fontId="29" fillId="15" borderId="2" xfId="1" applyNumberFormat="1" applyFont="1" applyFill="1" applyBorder="1" applyAlignment="1" applyProtection="1">
      <alignment horizontal="center" vertical="top" wrapText="1"/>
    </xf>
    <xf numFmtId="40" fontId="33" fillId="15" borderId="310" xfId="0" applyNumberFormat="1" applyFont="1" applyFill="1" applyBorder="1" applyAlignment="1">
      <alignment vertical="top" wrapText="1"/>
    </xf>
    <xf numFmtId="40" fontId="28" fillId="15" borderId="311" xfId="0" applyNumberFormat="1" applyFont="1" applyFill="1" applyBorder="1" applyAlignment="1">
      <alignment vertical="top" wrapText="1"/>
    </xf>
    <xf numFmtId="8" fontId="28" fillId="27" borderId="292" xfId="2" applyNumberFormat="1" applyFont="1" applyFill="1" applyBorder="1" applyAlignment="1" applyProtection="1">
      <alignment vertical="top" wrapText="1"/>
    </xf>
    <xf numFmtId="0" fontId="7" fillId="0" borderId="309" xfId="0" applyFont="1" applyBorder="1" applyAlignment="1">
      <alignment vertical="top" wrapText="1"/>
    </xf>
    <xf numFmtId="0" fontId="7" fillId="0" borderId="311" xfId="0" applyFont="1" applyBorder="1" applyAlignment="1">
      <alignment vertical="top" wrapText="1"/>
    </xf>
    <xf numFmtId="17" fontId="7" fillId="0" borderId="309" xfId="0" applyNumberFormat="1" applyFont="1" applyBorder="1" applyAlignment="1">
      <alignment horizontal="right" vertical="top" wrapText="1"/>
    </xf>
    <xf numFmtId="17" fontId="6" fillId="0" borderId="309" xfId="0" applyNumberFormat="1" applyFont="1" applyBorder="1" applyAlignment="1">
      <alignment horizontal="left" vertical="top" wrapText="1"/>
    </xf>
    <xf numFmtId="0" fontId="26" fillId="0" borderId="309" xfId="0" applyFont="1" applyBorder="1" applyAlignment="1">
      <alignment vertical="top" wrapText="1"/>
    </xf>
    <xf numFmtId="166" fontId="12" fillId="0" borderId="311" xfId="0" applyNumberFormat="1" applyFont="1" applyBorder="1" applyAlignment="1">
      <alignment horizontal="center" vertical="top" wrapText="1"/>
    </xf>
    <xf numFmtId="166" fontId="12" fillId="0" borderId="309" xfId="0" applyNumberFormat="1" applyFont="1" applyBorder="1" applyAlignment="1">
      <alignment horizontal="center" vertical="top" wrapText="1"/>
    </xf>
    <xf numFmtId="0" fontId="24" fillId="0" borderId="299" xfId="0" applyFont="1" applyBorder="1" applyAlignment="1">
      <alignment horizontal="center" vertical="top" wrapText="1"/>
    </xf>
    <xf numFmtId="15" fontId="25" fillId="0" borderId="311" xfId="0" applyNumberFormat="1" applyFont="1" applyBorder="1" applyAlignment="1">
      <alignment horizontal="center" vertical="top" wrapText="1"/>
    </xf>
    <xf numFmtId="0" fontId="25" fillId="0" borderId="309" xfId="0" applyFont="1" applyBorder="1" applyAlignment="1">
      <alignment horizontal="right" vertical="top" wrapText="1"/>
    </xf>
    <xf numFmtId="17" fontId="25" fillId="0" borderId="309" xfId="0" applyNumberFormat="1" applyFont="1" applyBorder="1" applyAlignment="1">
      <alignment vertical="top" wrapText="1"/>
    </xf>
    <xf numFmtId="17" fontId="25" fillId="10" borderId="309" xfId="0" applyNumberFormat="1" applyFont="1" applyFill="1" applyBorder="1" applyAlignment="1">
      <alignment vertical="top" wrapText="1"/>
    </xf>
    <xf numFmtId="0" fontId="25" fillId="0" borderId="309" xfId="0" applyFont="1" applyBorder="1" applyAlignment="1">
      <alignment vertical="top" wrapText="1"/>
    </xf>
    <xf numFmtId="0" fontId="25" fillId="0" borderId="311" xfId="0" applyFont="1" applyBorder="1" applyAlignment="1">
      <alignment vertical="top" wrapText="1"/>
    </xf>
    <xf numFmtId="0" fontId="24" fillId="0" borderId="63" xfId="0" applyFont="1" applyBorder="1" applyAlignment="1">
      <alignment horizontal="center" vertical="top" wrapText="1"/>
    </xf>
    <xf numFmtId="0" fontId="14" fillId="0" borderId="313" xfId="0" applyFont="1" applyBorder="1" applyAlignment="1">
      <alignment horizontal="center" vertical="top" wrapText="1"/>
    </xf>
    <xf numFmtId="14" fontId="5" fillId="0" borderId="313" xfId="0" applyNumberFormat="1" applyFont="1" applyBorder="1" applyAlignment="1">
      <alignment horizontal="center" vertical="top" wrapText="1"/>
    </xf>
    <xf numFmtId="0" fontId="5" fillId="0" borderId="313" xfId="0" applyFont="1" applyBorder="1" applyAlignment="1">
      <alignment horizontal="center" vertical="top" wrapText="1"/>
    </xf>
    <xf numFmtId="165" fontId="5" fillId="0" borderId="313" xfId="0" applyNumberFormat="1" applyFont="1" applyBorder="1" applyAlignment="1">
      <alignment horizontal="center" vertical="top" wrapText="1"/>
    </xf>
    <xf numFmtId="182" fontId="5" fillId="0" borderId="313" xfId="1" applyNumberFormat="1" applyFont="1" applyFill="1" applyBorder="1" applyAlignment="1" applyProtection="1">
      <alignment horizontal="center" vertical="top" wrapText="1"/>
    </xf>
    <xf numFmtId="0" fontId="5" fillId="0" borderId="312" xfId="0" applyFont="1" applyBorder="1" applyAlignment="1">
      <alignment vertical="top" wrapText="1"/>
    </xf>
    <xf numFmtId="0" fontId="5" fillId="0" borderId="313" xfId="0" applyFont="1" applyBorder="1" applyAlignment="1">
      <alignment vertical="top" wrapText="1"/>
    </xf>
    <xf numFmtId="14" fontId="5" fillId="0" borderId="312" xfId="0" applyNumberFormat="1" applyFont="1" applyBorder="1" applyAlignment="1">
      <alignment horizontal="center" vertical="top" wrapText="1"/>
    </xf>
    <xf numFmtId="0" fontId="33" fillId="0" borderId="312" xfId="0" applyFont="1" applyBorder="1" applyAlignment="1">
      <alignment vertical="top" wrapText="1"/>
    </xf>
    <xf numFmtId="4" fontId="32" fillId="0" borderId="313" xfId="0" applyNumberFormat="1" applyFont="1" applyBorder="1" applyAlignment="1">
      <alignment vertical="top" wrapText="1"/>
    </xf>
    <xf numFmtId="4" fontId="33" fillId="0" borderId="312" xfId="0" applyNumberFormat="1" applyFont="1" applyBorder="1" applyAlignment="1">
      <alignment vertical="top" wrapText="1"/>
    </xf>
    <xf numFmtId="4" fontId="32" fillId="0" borderId="314" xfId="0" applyNumberFormat="1" applyFont="1" applyBorder="1" applyAlignment="1">
      <alignment vertical="top" wrapText="1"/>
    </xf>
    <xf numFmtId="4" fontId="28" fillId="0" borderId="312" xfId="0" applyNumberFormat="1" applyFont="1" applyBorder="1" applyAlignment="1">
      <alignment vertical="top" wrapText="1"/>
    </xf>
    <xf numFmtId="173" fontId="28" fillId="0" borderId="313" xfId="0" applyNumberFormat="1" applyFont="1" applyBorder="1" applyAlignment="1">
      <alignment horizontal="center" vertical="top" wrapText="1"/>
    </xf>
    <xf numFmtId="0" fontId="28" fillId="0" borderId="313" xfId="0" applyFont="1" applyBorder="1" applyAlignment="1">
      <alignment horizontal="center" vertical="top" wrapText="1"/>
    </xf>
    <xf numFmtId="182" fontId="28" fillId="0" borderId="2" xfId="1" applyNumberFormat="1" applyFont="1" applyFill="1" applyBorder="1" applyAlignment="1" applyProtection="1">
      <alignment horizontal="center" vertical="top" wrapText="1"/>
    </xf>
    <xf numFmtId="40" fontId="33" fillId="0" borderId="313" xfId="0" applyNumberFormat="1" applyFont="1" applyBorder="1" applyAlignment="1">
      <alignment vertical="top" wrapText="1"/>
    </xf>
    <xf numFmtId="40" fontId="28" fillId="0" borderId="314" xfId="0" applyNumberFormat="1" applyFont="1" applyBorder="1" applyAlignment="1">
      <alignment vertical="top" wrapText="1"/>
    </xf>
    <xf numFmtId="0" fontId="5" fillId="21" borderId="198" xfId="0" applyFont="1" applyFill="1" applyBorder="1" applyAlignment="1">
      <alignment horizontal="center" vertical="top" wrapText="1"/>
    </xf>
    <xf numFmtId="40" fontId="5" fillId="0" borderId="0" xfId="0" applyNumberFormat="1" applyFont="1" applyAlignment="1">
      <alignment vertical="top" wrapText="1"/>
    </xf>
    <xf numFmtId="0" fontId="14" fillId="15" borderId="68" xfId="0" applyFont="1" applyFill="1" applyBorder="1" applyAlignment="1">
      <alignment horizontal="center" vertical="top" wrapText="1"/>
    </xf>
    <xf numFmtId="0" fontId="14" fillId="15" borderId="69" xfId="0" applyFont="1" applyFill="1" applyBorder="1" applyAlignment="1">
      <alignment horizontal="center" vertical="top" wrapText="1"/>
    </xf>
    <xf numFmtId="14" fontId="5" fillId="15" borderId="69" xfId="0" applyNumberFormat="1" applyFont="1" applyFill="1" applyBorder="1" applyAlignment="1">
      <alignment horizontal="center" vertical="top" wrapText="1"/>
    </xf>
    <xf numFmtId="0" fontId="5" fillId="15" borderId="69" xfId="0" applyFont="1" applyFill="1" applyBorder="1" applyAlignment="1">
      <alignment horizontal="center" vertical="top" wrapText="1"/>
    </xf>
    <xf numFmtId="165" fontId="5" fillId="15" borderId="69" xfId="0" applyNumberFormat="1" applyFont="1" applyFill="1" applyBorder="1" applyAlignment="1">
      <alignment horizontal="center" vertical="top" wrapText="1"/>
    </xf>
    <xf numFmtId="182" fontId="5" fillId="15" borderId="69" xfId="1" applyNumberFormat="1" applyFont="1" applyFill="1" applyBorder="1" applyAlignment="1" applyProtection="1">
      <alignment horizontal="center" vertical="top" wrapText="1"/>
    </xf>
    <xf numFmtId="0" fontId="5" fillId="15" borderId="58" xfId="0" applyFont="1" applyFill="1" applyBorder="1" applyAlignment="1">
      <alignment vertical="top" wrapText="1"/>
    </xf>
    <xf numFmtId="0" fontId="5" fillId="15" borderId="68" xfId="0" applyFont="1" applyFill="1" applyBorder="1" applyAlignment="1">
      <alignment vertical="top" wrapText="1"/>
    </xf>
    <xf numFmtId="0" fontId="5" fillId="15" borderId="69" xfId="0" applyFont="1" applyFill="1" applyBorder="1" applyAlignment="1">
      <alignment vertical="top" wrapText="1"/>
    </xf>
    <xf numFmtId="14" fontId="5" fillId="15" borderId="58" xfId="0" applyNumberFormat="1" applyFont="1" applyFill="1" applyBorder="1" applyAlignment="1">
      <alignment horizontal="center" vertical="top" wrapText="1"/>
    </xf>
    <xf numFmtId="0" fontId="33" fillId="15" borderId="68" xfId="0" applyFont="1" applyFill="1" applyBorder="1" applyAlignment="1">
      <alignment vertical="top" wrapText="1"/>
    </xf>
    <xf numFmtId="0" fontId="33" fillId="15" borderId="58" xfId="0" applyFont="1" applyFill="1" applyBorder="1" applyAlignment="1">
      <alignment vertical="top" wrapText="1"/>
    </xf>
    <xf numFmtId="4" fontId="5" fillId="15" borderId="68" xfId="0" applyNumberFormat="1" applyFont="1" applyFill="1" applyBorder="1" applyAlignment="1">
      <alignment vertical="top" wrapText="1"/>
    </xf>
    <xf numFmtId="4" fontId="32" fillId="15" borderId="69" xfId="0" applyNumberFormat="1" applyFont="1" applyFill="1" applyBorder="1" applyAlignment="1">
      <alignment vertical="top" wrapText="1"/>
    </xf>
    <xf numFmtId="4" fontId="33" fillId="15" borderId="58" xfId="0" applyNumberFormat="1" applyFont="1" applyFill="1" applyBorder="1" applyAlignment="1">
      <alignment vertical="top" wrapText="1"/>
    </xf>
    <xf numFmtId="4" fontId="14" fillId="15" borderId="68" xfId="0" applyNumberFormat="1" applyFont="1" applyFill="1" applyBorder="1" applyAlignment="1">
      <alignment vertical="top" wrapText="1"/>
    </xf>
    <xf numFmtId="4" fontId="32" fillId="15" borderId="57" xfId="0" applyNumberFormat="1" applyFont="1" applyFill="1" applyBorder="1" applyAlignment="1">
      <alignment vertical="top" wrapText="1"/>
    </xf>
    <xf numFmtId="4" fontId="28" fillId="15" borderId="58" xfId="0" applyNumberFormat="1" applyFont="1" applyFill="1" applyBorder="1" applyAlignment="1">
      <alignment vertical="top" wrapText="1"/>
    </xf>
    <xf numFmtId="0" fontId="28" fillId="15" borderId="68" xfId="0" applyFont="1" applyFill="1" applyBorder="1" applyAlignment="1">
      <alignment horizontal="center" vertical="top" wrapText="1"/>
    </xf>
    <xf numFmtId="173" fontId="28" fillId="15" borderId="69" xfId="0" applyNumberFormat="1" applyFont="1" applyFill="1" applyBorder="1" applyAlignment="1">
      <alignment horizontal="center" vertical="top" wrapText="1"/>
    </xf>
    <xf numFmtId="0" fontId="28" fillId="15" borderId="69" xfId="0" applyFont="1" applyFill="1" applyBorder="1" applyAlignment="1">
      <alignment horizontal="center" vertical="top" wrapText="1"/>
    </xf>
    <xf numFmtId="165" fontId="28" fillId="15" borderId="69" xfId="0" applyNumberFormat="1" applyFont="1" applyFill="1" applyBorder="1" applyAlignment="1">
      <alignment horizontal="center" vertical="top" wrapText="1"/>
    </xf>
    <xf numFmtId="182" fontId="28" fillId="15" borderId="58" xfId="1" applyNumberFormat="1" applyFont="1" applyFill="1" applyBorder="1" applyAlignment="1" applyProtection="1">
      <alignment horizontal="center" vertical="top" wrapText="1"/>
    </xf>
    <xf numFmtId="40" fontId="33" fillId="15" borderId="68" xfId="0" applyNumberFormat="1" applyFont="1" applyFill="1" applyBorder="1" applyAlignment="1">
      <alignment vertical="top" wrapText="1"/>
    </xf>
    <xf numFmtId="40" fontId="33" fillId="15" borderId="69" xfId="0" applyNumberFormat="1" applyFont="1" applyFill="1" applyBorder="1" applyAlignment="1">
      <alignment vertical="top" wrapText="1"/>
    </xf>
    <xf numFmtId="40" fontId="28" fillId="15" borderId="57" xfId="0" applyNumberFormat="1" applyFont="1" applyFill="1" applyBorder="1" applyAlignment="1">
      <alignment vertical="top" wrapText="1"/>
    </xf>
    <xf numFmtId="0" fontId="5" fillId="15" borderId="50" xfId="0" applyFont="1" applyFill="1" applyBorder="1" applyAlignment="1">
      <alignment vertical="top" wrapText="1"/>
    </xf>
    <xf numFmtId="17" fontId="14" fillId="15" borderId="54" xfId="0" applyNumberFormat="1" applyFont="1" applyFill="1" applyBorder="1" applyAlignment="1">
      <alignment horizontal="right" vertical="top" wrapText="1"/>
    </xf>
    <xf numFmtId="40" fontId="14" fillId="15" borderId="55" xfId="0" applyNumberFormat="1" applyFont="1" applyFill="1" applyBorder="1" applyAlignment="1">
      <alignment vertical="top" wrapText="1"/>
    </xf>
    <xf numFmtId="8" fontId="33" fillId="0" borderId="55" xfId="0" applyNumberFormat="1" applyFont="1" applyBorder="1" applyAlignment="1">
      <alignment vertical="top" wrapText="1"/>
    </xf>
    <xf numFmtId="0" fontId="5" fillId="0" borderId="290" xfId="0" applyFont="1" applyBorder="1" applyAlignment="1">
      <alignment vertical="top" wrapText="1"/>
    </xf>
    <xf numFmtId="0" fontId="7" fillId="0" borderId="317" xfId="0" applyFont="1" applyBorder="1" applyAlignment="1">
      <alignment vertical="top" wrapText="1"/>
    </xf>
    <xf numFmtId="0" fontId="7" fillId="0" borderId="319" xfId="0" applyFont="1" applyBorder="1" applyAlignment="1">
      <alignment vertical="top" wrapText="1"/>
    </xf>
    <xf numFmtId="44" fontId="7" fillId="0" borderId="317" xfId="0" applyNumberFormat="1" applyFont="1" applyBorder="1" applyAlignment="1">
      <alignment vertical="top"/>
    </xf>
    <xf numFmtId="0" fontId="7" fillId="0" borderId="318" xfId="0" applyFont="1" applyBorder="1" applyAlignment="1">
      <alignment vertical="top"/>
    </xf>
    <xf numFmtId="44" fontId="6" fillId="0" borderId="317" xfId="0" applyNumberFormat="1" applyFont="1" applyBorder="1" applyAlignment="1">
      <alignment vertical="top"/>
    </xf>
    <xf numFmtId="0" fontId="6" fillId="0" borderId="318" xfId="0" applyFont="1" applyBorder="1" applyAlignment="1">
      <alignment horizontal="left" vertical="top"/>
    </xf>
    <xf numFmtId="0" fontId="7" fillId="0" borderId="318" xfId="0" applyFont="1" applyBorder="1" applyAlignment="1">
      <alignment horizontal="left" vertical="top"/>
    </xf>
    <xf numFmtId="0" fontId="26" fillId="0" borderId="315" xfId="0" applyFont="1" applyBorder="1" applyAlignment="1">
      <alignment horizontal="center" vertical="top"/>
    </xf>
    <xf numFmtId="15" fontId="25" fillId="0" borderId="319" xfId="0" applyNumberFormat="1" applyFont="1" applyBorder="1" applyAlignment="1">
      <alignment horizontal="center" vertical="top"/>
    </xf>
    <xf numFmtId="44" fontId="25" fillId="0" borderId="317" xfId="2" applyFont="1" applyFill="1" applyBorder="1" applyAlignment="1" applyProtection="1">
      <alignment vertical="top"/>
    </xf>
    <xf numFmtId="0" fontId="25" fillId="0" borderId="318" xfId="0" applyFont="1" applyBorder="1" applyAlignment="1">
      <alignment vertical="top"/>
    </xf>
    <xf numFmtId="44" fontId="25" fillId="0" borderId="315" xfId="0" applyNumberFormat="1" applyFont="1" applyBorder="1" applyAlignment="1">
      <alignment vertical="top"/>
    </xf>
    <xf numFmtId="44" fontId="25" fillId="0" borderId="317" xfId="0" applyNumberFormat="1" applyFont="1" applyBorder="1" applyAlignment="1">
      <alignment vertical="top"/>
    </xf>
    <xf numFmtId="44" fontId="7" fillId="10" borderId="317" xfId="0" applyNumberFormat="1" applyFont="1" applyFill="1" applyBorder="1" applyAlignment="1">
      <alignment vertical="top"/>
    </xf>
    <xf numFmtId="0" fontId="7" fillId="10" borderId="318" xfId="0" applyFont="1" applyFill="1" applyBorder="1" applyAlignment="1">
      <alignment horizontal="right" vertical="top"/>
    </xf>
    <xf numFmtId="0" fontId="7" fillId="10" borderId="318" xfId="0" applyFont="1" applyFill="1" applyBorder="1" applyAlignment="1">
      <alignment horizontal="left" vertical="top"/>
    </xf>
    <xf numFmtId="44" fontId="25" fillId="10" borderId="317" xfId="0" applyNumberFormat="1" applyFont="1" applyFill="1" applyBorder="1" applyAlignment="1">
      <alignment vertical="top"/>
    </xf>
    <xf numFmtId="0" fontId="25" fillId="10" borderId="318" xfId="0" applyFont="1" applyFill="1" applyBorder="1" applyAlignment="1">
      <alignment vertical="top"/>
    </xf>
    <xf numFmtId="0" fontId="25" fillId="0" borderId="319" xfId="0" applyFont="1" applyBorder="1" applyAlignment="1">
      <alignment vertical="top" wrapText="1"/>
    </xf>
    <xf numFmtId="0" fontId="25" fillId="0" borderId="316" xfId="0" applyFont="1" applyBorder="1" applyAlignment="1">
      <alignment vertical="top" wrapText="1"/>
    </xf>
    <xf numFmtId="0" fontId="26" fillId="0" borderId="316" xfId="0" applyFont="1" applyBorder="1" applyAlignment="1">
      <alignment horizontal="center" vertical="top" wrapText="1"/>
    </xf>
    <xf numFmtId="0" fontId="7" fillId="0" borderId="318" xfId="0" applyFont="1" applyBorder="1" applyAlignment="1">
      <alignment vertical="top" wrapText="1"/>
    </xf>
    <xf numFmtId="49" fontId="6" fillId="0" borderId="315" xfId="0" applyNumberFormat="1" applyFont="1" applyBorder="1" applyAlignment="1">
      <alignment horizontal="left" vertical="top"/>
    </xf>
    <xf numFmtId="0" fontId="5" fillId="15" borderId="35" xfId="0" applyFont="1" applyFill="1" applyBorder="1" applyAlignment="1">
      <alignment horizontal="center" vertical="top" wrapText="1"/>
    </xf>
    <xf numFmtId="14" fontId="33" fillId="15" borderId="27" xfId="0" applyNumberFormat="1" applyFont="1" applyFill="1" applyBorder="1" applyAlignment="1">
      <alignment horizontal="center" vertical="top" wrapText="1"/>
    </xf>
    <xf numFmtId="0" fontId="14" fillId="0" borderId="321" xfId="0" applyFont="1" applyBorder="1" applyAlignment="1">
      <alignment horizontal="center" vertical="top" wrapText="1"/>
    </xf>
    <xf numFmtId="14" fontId="5" fillId="0" borderId="321" xfId="0" applyNumberFormat="1" applyFont="1" applyBorder="1" applyAlignment="1">
      <alignment horizontal="center" vertical="top" wrapText="1"/>
    </xf>
    <xf numFmtId="165" fontId="5" fillId="0" borderId="321" xfId="0" applyNumberFormat="1" applyFont="1" applyBorder="1" applyAlignment="1">
      <alignment horizontal="center" vertical="top" wrapText="1"/>
    </xf>
    <xf numFmtId="182" fontId="5" fillId="0" borderId="321" xfId="1" applyNumberFormat="1" applyFont="1" applyFill="1" applyBorder="1" applyAlignment="1" applyProtection="1">
      <alignment horizontal="center" vertical="top" wrapText="1"/>
    </xf>
    <xf numFmtId="0" fontId="5" fillId="0" borderId="320" xfId="0" applyFont="1" applyBorder="1" applyAlignment="1">
      <alignment vertical="top" wrapText="1"/>
    </xf>
    <xf numFmtId="0" fontId="5" fillId="0" borderId="321" xfId="0" applyFont="1" applyBorder="1" applyAlignment="1">
      <alignment vertical="top" wrapText="1"/>
    </xf>
    <xf numFmtId="14" fontId="5" fillId="0" borderId="320" xfId="0" applyNumberFormat="1" applyFont="1" applyBorder="1" applyAlignment="1">
      <alignment horizontal="center" vertical="top" wrapText="1"/>
    </xf>
    <xf numFmtId="0" fontId="33" fillId="0" borderId="320" xfId="0" applyFont="1" applyBorder="1" applyAlignment="1">
      <alignment vertical="top" wrapText="1"/>
    </xf>
    <xf numFmtId="4" fontId="32" fillId="0" borderId="321" xfId="0" applyNumberFormat="1" applyFont="1" applyBorder="1" applyAlignment="1">
      <alignment vertical="top" wrapText="1"/>
    </xf>
    <xf numFmtId="4" fontId="33" fillId="0" borderId="320" xfId="0" applyNumberFormat="1" applyFont="1" applyBorder="1" applyAlignment="1">
      <alignment vertical="top" wrapText="1"/>
    </xf>
    <xf numFmtId="4" fontId="32" fillId="10" borderId="321" xfId="0" applyNumberFormat="1" applyFont="1" applyFill="1" applyBorder="1" applyAlignment="1">
      <alignment vertical="top" wrapText="1"/>
    </xf>
    <xf numFmtId="4" fontId="33" fillId="10" borderId="320" xfId="0" applyNumberFormat="1" applyFont="1" applyFill="1" applyBorder="1" applyAlignment="1">
      <alignment vertical="top" wrapText="1"/>
    </xf>
    <xf numFmtId="4" fontId="32" fillId="0" borderId="322" xfId="0" applyNumberFormat="1" applyFont="1" applyBorder="1" applyAlignment="1">
      <alignment vertical="top" wrapText="1"/>
    </xf>
    <xf numFmtId="4" fontId="28" fillId="0" borderId="320" xfId="0" applyNumberFormat="1" applyFont="1" applyBorder="1" applyAlignment="1">
      <alignment vertical="top" wrapText="1"/>
    </xf>
    <xf numFmtId="173" fontId="28" fillId="0" borderId="321" xfId="0" applyNumberFormat="1" applyFont="1" applyBorder="1" applyAlignment="1">
      <alignment horizontal="center" vertical="top" wrapText="1"/>
    </xf>
    <xf numFmtId="0" fontId="28" fillId="0" borderId="321" xfId="0" applyFont="1" applyBorder="1" applyAlignment="1">
      <alignment horizontal="center" vertical="top" wrapText="1"/>
    </xf>
    <xf numFmtId="165" fontId="28" fillId="0" borderId="321" xfId="0" applyNumberFormat="1" applyFont="1" applyBorder="1" applyAlignment="1">
      <alignment horizontal="center" vertical="top" wrapText="1"/>
    </xf>
    <xf numFmtId="182" fontId="28" fillId="0" borderId="320" xfId="1" applyNumberFormat="1" applyFont="1" applyFill="1" applyBorder="1" applyAlignment="1" applyProtection="1">
      <alignment horizontal="center" vertical="top" wrapText="1"/>
    </xf>
    <xf numFmtId="40" fontId="33" fillId="0" borderId="321" xfId="0" applyNumberFormat="1" applyFont="1" applyBorder="1" applyAlignment="1">
      <alignment vertical="top" wrapText="1"/>
    </xf>
    <xf numFmtId="40" fontId="28" fillId="0" borderId="322" xfId="0" applyNumberFormat="1" applyFont="1" applyBorder="1" applyAlignment="1">
      <alignment vertical="top" wrapText="1"/>
    </xf>
    <xf numFmtId="165" fontId="29" fillId="10" borderId="35" xfId="0" applyNumberFormat="1" applyFont="1" applyFill="1" applyBorder="1" applyAlignment="1">
      <alignment horizontal="center" vertical="top" wrapText="1"/>
    </xf>
    <xf numFmtId="182" fontId="29" fillId="10" borderId="27" xfId="1" applyNumberFormat="1" applyFont="1" applyFill="1" applyBorder="1" applyAlignment="1" applyProtection="1">
      <alignment horizontal="center" vertical="top" wrapText="1"/>
    </xf>
    <xf numFmtId="0" fontId="24" fillId="15" borderId="63" xfId="0" applyFont="1" applyFill="1" applyBorder="1" applyAlignment="1">
      <alignment horizontal="center" vertical="top" wrapText="1"/>
    </xf>
    <xf numFmtId="3" fontId="28" fillId="15" borderId="23" xfId="0" applyNumberFormat="1" applyFont="1" applyFill="1" applyBorder="1" applyAlignment="1">
      <alignment horizontal="center" vertical="top" wrapText="1"/>
    </xf>
    <xf numFmtId="165" fontId="5" fillId="18" borderId="35" xfId="0" applyNumberFormat="1" applyFont="1" applyFill="1" applyBorder="1" applyAlignment="1">
      <alignment horizontal="center" vertical="top" wrapText="1"/>
    </xf>
    <xf numFmtId="165" fontId="5" fillId="21" borderId="35" xfId="0" applyNumberFormat="1" applyFont="1" applyFill="1" applyBorder="1" applyAlignment="1">
      <alignment horizontal="center" vertical="top" wrapText="1"/>
    </xf>
    <xf numFmtId="0" fontId="14" fillId="15" borderId="321" xfId="0" applyFont="1" applyFill="1" applyBorder="1" applyAlignment="1">
      <alignment horizontal="center" vertical="top" wrapText="1"/>
    </xf>
    <xf numFmtId="14" fontId="5" fillId="15" borderId="321" xfId="0" applyNumberFormat="1" applyFont="1" applyFill="1" applyBorder="1" applyAlignment="1">
      <alignment horizontal="center" vertical="top" wrapText="1"/>
    </xf>
    <xf numFmtId="165" fontId="14" fillId="15" borderId="33" xfId="0" applyNumberFormat="1" applyFont="1" applyFill="1" applyBorder="1" applyAlignment="1">
      <alignment horizontal="center" vertical="top" wrapText="1"/>
    </xf>
    <xf numFmtId="0" fontId="5" fillId="15" borderId="320" xfId="0" applyFont="1" applyFill="1" applyBorder="1" applyAlignment="1">
      <alignment vertical="top" wrapText="1"/>
    </xf>
    <xf numFmtId="0" fontId="5" fillId="15" borderId="321" xfId="0" applyFont="1" applyFill="1" applyBorder="1" applyAlignment="1">
      <alignment vertical="top" wrapText="1"/>
    </xf>
    <xf numFmtId="14" fontId="5" fillId="15" borderId="320" xfId="0" applyNumberFormat="1" applyFont="1" applyFill="1" applyBorder="1" applyAlignment="1">
      <alignment horizontal="center" vertical="top" wrapText="1"/>
    </xf>
    <xf numFmtId="0" fontId="33" fillId="15" borderId="320" xfId="0" applyFont="1" applyFill="1" applyBorder="1" applyAlignment="1">
      <alignment vertical="top" wrapText="1"/>
    </xf>
    <xf numFmtId="4" fontId="32" fillId="15" borderId="321" xfId="0" applyNumberFormat="1" applyFont="1" applyFill="1" applyBorder="1" applyAlignment="1">
      <alignment vertical="top" wrapText="1"/>
    </xf>
    <xf numFmtId="4" fontId="33" fillId="15" borderId="320" xfId="0" applyNumberFormat="1" applyFont="1" applyFill="1" applyBorder="1" applyAlignment="1">
      <alignment vertical="top" wrapText="1"/>
    </xf>
    <xf numFmtId="4" fontId="32" fillId="15" borderId="322" xfId="0" applyNumberFormat="1" applyFont="1" applyFill="1" applyBorder="1" applyAlignment="1">
      <alignment vertical="top" wrapText="1"/>
    </xf>
    <xf numFmtId="4" fontId="28" fillId="15" borderId="320" xfId="0" applyNumberFormat="1" applyFont="1" applyFill="1" applyBorder="1" applyAlignment="1">
      <alignment vertical="top" wrapText="1"/>
    </xf>
    <xf numFmtId="173" fontId="28" fillId="15" borderId="321" xfId="0" applyNumberFormat="1" applyFont="1" applyFill="1" applyBorder="1" applyAlignment="1">
      <alignment horizontal="center" vertical="top" wrapText="1"/>
    </xf>
    <xf numFmtId="0" fontId="28" fillId="15" borderId="321" xfId="0" applyFont="1" applyFill="1" applyBorder="1" applyAlignment="1">
      <alignment horizontal="center" vertical="top" wrapText="1"/>
    </xf>
    <xf numFmtId="40" fontId="33" fillId="15" borderId="321" xfId="0" applyNumberFormat="1" applyFont="1" applyFill="1" applyBorder="1" applyAlignment="1">
      <alignment vertical="top" wrapText="1"/>
    </xf>
    <xf numFmtId="40" fontId="28" fillId="15" borderId="324" xfId="0" applyNumberFormat="1" applyFont="1" applyFill="1" applyBorder="1" applyAlignment="1">
      <alignment vertical="top" wrapText="1"/>
    </xf>
    <xf numFmtId="44" fontId="33" fillId="0" borderId="3" xfId="0" applyNumberFormat="1" applyFont="1" applyBorder="1" applyAlignment="1">
      <alignment vertical="top" wrapText="1"/>
    </xf>
    <xf numFmtId="44" fontId="26" fillId="0" borderId="3" xfId="2" applyFont="1" applyFill="1" applyBorder="1" applyAlignment="1" applyProtection="1">
      <alignment vertical="top" wrapText="1"/>
    </xf>
    <xf numFmtId="44" fontId="32" fillId="0" borderId="3" xfId="2" applyFont="1" applyFill="1" applyBorder="1" applyAlignment="1" applyProtection="1">
      <alignment vertical="top" wrapText="1"/>
    </xf>
    <xf numFmtId="4" fontId="5" fillId="18" borderId="63" xfId="0" applyNumberFormat="1" applyFont="1" applyFill="1" applyBorder="1" applyAlignment="1">
      <alignment vertical="top" wrapText="1"/>
    </xf>
    <xf numFmtId="4" fontId="33" fillId="18" borderId="34" xfId="0" applyNumberFormat="1" applyFont="1" applyFill="1" applyBorder="1" applyAlignment="1">
      <alignment vertical="top" wrapText="1"/>
    </xf>
    <xf numFmtId="4" fontId="14" fillId="18" borderId="63" xfId="0" applyNumberFormat="1" applyFont="1" applyFill="1" applyBorder="1" applyAlignment="1">
      <alignment vertical="top" wrapText="1"/>
    </xf>
    <xf numFmtId="4" fontId="32" fillId="18" borderId="258" xfId="0" applyNumberFormat="1" applyFont="1" applyFill="1" applyBorder="1" applyAlignment="1">
      <alignment vertical="top" wrapText="1"/>
    </xf>
    <xf numFmtId="4" fontId="28" fillId="18" borderId="34" xfId="0" applyNumberFormat="1" applyFont="1" applyFill="1" applyBorder="1" applyAlignment="1">
      <alignment vertical="top" wrapText="1"/>
    </xf>
    <xf numFmtId="0" fontId="28" fillId="18" borderId="63" xfId="0" applyFont="1" applyFill="1" applyBorder="1" applyAlignment="1">
      <alignment horizontal="center" vertical="top" wrapText="1"/>
    </xf>
    <xf numFmtId="173" fontId="28" fillId="18" borderId="23" xfId="0" applyNumberFormat="1" applyFont="1" applyFill="1" applyBorder="1" applyAlignment="1">
      <alignment horizontal="center" vertical="top" wrapText="1"/>
    </xf>
    <xf numFmtId="0" fontId="28" fillId="18" borderId="23" xfId="0" applyFont="1" applyFill="1" applyBorder="1" applyAlignment="1">
      <alignment horizontal="center" vertical="top" wrapText="1"/>
    </xf>
    <xf numFmtId="40" fontId="33" fillId="18" borderId="63" xfId="0" applyNumberFormat="1" applyFont="1" applyFill="1" applyBorder="1" applyAlignment="1">
      <alignment vertical="top" wrapText="1"/>
    </xf>
    <xf numFmtId="40" fontId="33" fillId="18" borderId="23" xfId="0" applyNumberFormat="1" applyFont="1" applyFill="1" applyBorder="1" applyAlignment="1">
      <alignment vertical="top" wrapText="1"/>
    </xf>
    <xf numFmtId="40" fontId="28" fillId="18" borderId="201" xfId="0" applyNumberFormat="1" applyFont="1" applyFill="1" applyBorder="1" applyAlignment="1">
      <alignment vertical="top" wrapText="1"/>
    </xf>
    <xf numFmtId="4" fontId="32" fillId="18" borderId="252" xfId="0" applyNumberFormat="1" applyFont="1" applyFill="1" applyBorder="1" applyAlignment="1">
      <alignment vertical="top" wrapText="1"/>
    </xf>
    <xf numFmtId="0" fontId="28" fillId="18" borderId="63" xfId="0" applyFont="1" applyFill="1" applyBorder="1" applyAlignment="1" applyProtection="1">
      <alignment horizontal="center" vertical="top" wrapText="1"/>
      <protection locked="0"/>
    </xf>
    <xf numFmtId="173" fontId="28" fillId="18" borderId="23" xfId="0" applyNumberFormat="1" applyFont="1" applyFill="1" applyBorder="1" applyAlignment="1" applyProtection="1">
      <alignment horizontal="center" vertical="top" wrapText="1"/>
      <protection locked="0"/>
    </xf>
    <xf numFmtId="0" fontId="28" fillId="18" borderId="23" xfId="0" applyFont="1" applyFill="1" applyBorder="1" applyAlignment="1" applyProtection="1">
      <alignment horizontal="center" vertical="top" wrapText="1"/>
      <protection locked="0"/>
    </xf>
    <xf numFmtId="165" fontId="28" fillId="18" borderId="35" xfId="0" applyNumberFormat="1" applyFont="1" applyFill="1" applyBorder="1" applyAlignment="1">
      <alignment horizontal="center" vertical="top" wrapText="1"/>
    </xf>
    <xf numFmtId="182" fontId="28" fillId="18" borderId="27" xfId="1" applyNumberFormat="1" applyFont="1" applyFill="1" applyBorder="1" applyAlignment="1" applyProtection="1">
      <alignment horizontal="center" vertical="top" wrapText="1"/>
    </xf>
    <xf numFmtId="0" fontId="5" fillId="18" borderId="132" xfId="0" applyFont="1" applyFill="1" applyBorder="1" applyAlignment="1">
      <alignment vertical="top" wrapText="1"/>
    </xf>
    <xf numFmtId="0" fontId="14" fillId="0" borderId="326" xfId="0" applyFont="1" applyBorder="1" applyAlignment="1">
      <alignment horizontal="center" vertical="top" wrapText="1"/>
    </xf>
    <xf numFmtId="14" fontId="5" fillId="0" borderId="326" xfId="0" applyNumberFormat="1" applyFont="1" applyBorder="1" applyAlignment="1">
      <alignment horizontal="center" vertical="top" wrapText="1"/>
    </xf>
    <xf numFmtId="0" fontId="5" fillId="0" borderId="326" xfId="0" applyFont="1" applyBorder="1" applyAlignment="1">
      <alignment horizontal="center" vertical="top" wrapText="1"/>
    </xf>
    <xf numFmtId="165" fontId="5" fillId="0" borderId="326" xfId="0" applyNumberFormat="1" applyFont="1" applyBorder="1" applyAlignment="1">
      <alignment horizontal="center" vertical="top" wrapText="1"/>
    </xf>
    <xf numFmtId="182" fontId="5" fillId="0" borderId="326" xfId="1" applyNumberFormat="1" applyFont="1" applyFill="1" applyBorder="1" applyAlignment="1" applyProtection="1">
      <alignment horizontal="center" vertical="top" wrapText="1"/>
    </xf>
    <xf numFmtId="0" fontId="5" fillId="0" borderId="325" xfId="0" applyFont="1" applyBorder="1" applyAlignment="1">
      <alignment vertical="top" wrapText="1"/>
    </xf>
    <xf numFmtId="0" fontId="5" fillId="0" borderId="326" xfId="0" applyFont="1" applyBorder="1" applyAlignment="1">
      <alignment vertical="top" wrapText="1"/>
    </xf>
    <xf numFmtId="14" fontId="5" fillId="0" borderId="325" xfId="0" applyNumberFormat="1" applyFont="1" applyBorder="1" applyAlignment="1">
      <alignment horizontal="center" vertical="top" wrapText="1"/>
    </xf>
    <xf numFmtId="0" fontId="33" fillId="0" borderId="325" xfId="0" applyFont="1" applyBorder="1" applyAlignment="1">
      <alignment vertical="top" wrapText="1"/>
    </xf>
    <xf numFmtId="4" fontId="32" fillId="0" borderId="326" xfId="0" applyNumberFormat="1" applyFont="1" applyBorder="1" applyAlignment="1">
      <alignment vertical="top" wrapText="1"/>
    </xf>
    <xf numFmtId="4" fontId="33" fillId="0" borderId="325" xfId="0" applyNumberFormat="1" applyFont="1" applyBorder="1" applyAlignment="1">
      <alignment vertical="top" wrapText="1"/>
    </xf>
    <xf numFmtId="4" fontId="32" fillId="0" borderId="327" xfId="0" applyNumberFormat="1" applyFont="1" applyBorder="1" applyAlignment="1">
      <alignment vertical="top" wrapText="1"/>
    </xf>
    <xf numFmtId="4" fontId="28" fillId="0" borderId="325" xfId="0" applyNumberFormat="1" applyFont="1" applyBorder="1" applyAlignment="1">
      <alignment vertical="top" wrapText="1"/>
    </xf>
    <xf numFmtId="173" fontId="28" fillId="0" borderId="326" xfId="0" applyNumberFormat="1" applyFont="1" applyBorder="1" applyAlignment="1">
      <alignment horizontal="center" vertical="top" wrapText="1"/>
    </xf>
    <xf numFmtId="0" fontId="28" fillId="0" borderId="326" xfId="0" applyFont="1" applyBorder="1" applyAlignment="1">
      <alignment horizontal="center" vertical="top" wrapText="1"/>
    </xf>
    <xf numFmtId="40" fontId="33" fillId="0" borderId="326" xfId="0" applyNumberFormat="1" applyFont="1" applyBorder="1" applyAlignment="1">
      <alignment vertical="top" wrapText="1"/>
    </xf>
    <xf numFmtId="40" fontId="28" fillId="0" borderId="327" xfId="0" applyNumberFormat="1" applyFont="1" applyBorder="1" applyAlignment="1">
      <alignment vertical="top" wrapText="1"/>
    </xf>
    <xf numFmtId="0" fontId="14" fillId="15" borderId="330" xfId="0" applyFont="1" applyFill="1" applyBorder="1" applyAlignment="1">
      <alignment horizontal="center" vertical="top" wrapText="1"/>
    </xf>
    <xf numFmtId="0" fontId="14" fillId="15" borderId="328" xfId="0" applyFont="1" applyFill="1" applyBorder="1" applyAlignment="1">
      <alignment horizontal="center" vertical="top" wrapText="1"/>
    </xf>
    <xf numFmtId="14" fontId="5" fillId="15" borderId="328" xfId="0" applyNumberFormat="1" applyFont="1" applyFill="1" applyBorder="1" applyAlignment="1">
      <alignment horizontal="center" vertical="top" wrapText="1"/>
    </xf>
    <xf numFmtId="165" fontId="5" fillId="15" borderId="328" xfId="0" applyNumberFormat="1" applyFont="1" applyFill="1" applyBorder="1" applyAlignment="1">
      <alignment horizontal="center" vertical="top" wrapText="1"/>
    </xf>
    <xf numFmtId="182" fontId="5" fillId="15" borderId="328" xfId="1" applyNumberFormat="1" applyFont="1" applyFill="1" applyBorder="1" applyAlignment="1" applyProtection="1">
      <alignment horizontal="center" vertical="top" wrapText="1"/>
    </xf>
    <xf numFmtId="0" fontId="5" fillId="15" borderId="329" xfId="0" applyFont="1" applyFill="1" applyBorder="1" applyAlignment="1">
      <alignment vertical="top" wrapText="1"/>
    </xf>
    <xf numFmtId="0" fontId="5" fillId="15" borderId="330" xfId="0" applyFont="1" applyFill="1" applyBorder="1" applyAlignment="1">
      <alignment vertical="top" wrapText="1"/>
    </xf>
    <xf numFmtId="0" fontId="5" fillId="15" borderId="328" xfId="0" applyFont="1" applyFill="1" applyBorder="1" applyAlignment="1">
      <alignment vertical="top" wrapText="1"/>
    </xf>
    <xf numFmtId="14" fontId="5" fillId="15" borderId="329" xfId="0" applyNumberFormat="1" applyFont="1" applyFill="1" applyBorder="1" applyAlignment="1">
      <alignment horizontal="center" vertical="top" wrapText="1"/>
    </xf>
    <xf numFmtId="0" fontId="32" fillId="15" borderId="330" xfId="0" applyFont="1" applyFill="1" applyBorder="1" applyAlignment="1">
      <alignment vertical="top" wrapText="1"/>
    </xf>
    <xf numFmtId="0" fontId="33" fillId="15" borderId="329" xfId="0" applyFont="1" applyFill="1" applyBorder="1" applyAlignment="1">
      <alignment vertical="top" wrapText="1"/>
    </xf>
    <xf numFmtId="4" fontId="5" fillId="15" borderId="330" xfId="0" applyNumberFormat="1" applyFont="1" applyFill="1" applyBorder="1" applyAlignment="1">
      <alignment vertical="top" wrapText="1"/>
    </xf>
    <xf numFmtId="4" fontId="32" fillId="15" borderId="328" xfId="0" applyNumberFormat="1" applyFont="1" applyFill="1" applyBorder="1" applyAlignment="1">
      <alignment vertical="top" wrapText="1"/>
    </xf>
    <xf numFmtId="4" fontId="32" fillId="15" borderId="329" xfId="0" applyNumberFormat="1" applyFont="1" applyFill="1" applyBorder="1" applyAlignment="1">
      <alignment vertical="top" wrapText="1"/>
    </xf>
    <xf numFmtId="4" fontId="33" fillId="15" borderId="329" xfId="0" applyNumberFormat="1" applyFont="1" applyFill="1" applyBorder="1" applyAlignment="1">
      <alignment vertical="top" wrapText="1"/>
    </xf>
    <xf numFmtId="4" fontId="14" fillId="15" borderId="330" xfId="0" applyNumberFormat="1" applyFont="1" applyFill="1" applyBorder="1" applyAlignment="1">
      <alignment vertical="top" wrapText="1"/>
    </xf>
    <xf numFmtId="4" fontId="32" fillId="15" borderId="331" xfId="0" applyNumberFormat="1" applyFont="1" applyFill="1" applyBorder="1" applyAlignment="1">
      <alignment vertical="top" wrapText="1"/>
    </xf>
    <xf numFmtId="4" fontId="29" fillId="15" borderId="329" xfId="0" applyNumberFormat="1" applyFont="1" applyFill="1" applyBorder="1" applyAlignment="1">
      <alignment vertical="top" wrapText="1"/>
    </xf>
    <xf numFmtId="0" fontId="29" fillId="15" borderId="330" xfId="0" applyFont="1" applyFill="1" applyBorder="1" applyAlignment="1">
      <alignment horizontal="center" vertical="top" wrapText="1"/>
    </xf>
    <xf numFmtId="173" fontId="29" fillId="15" borderId="328" xfId="0" applyNumberFormat="1" applyFont="1" applyFill="1" applyBorder="1" applyAlignment="1">
      <alignment horizontal="center" vertical="top" wrapText="1"/>
    </xf>
    <xf numFmtId="0" fontId="29" fillId="15" borderId="328" xfId="0" applyFont="1" applyFill="1" applyBorder="1" applyAlignment="1">
      <alignment horizontal="center" vertical="top" wrapText="1"/>
    </xf>
    <xf numFmtId="182" fontId="29" fillId="15" borderId="244" xfId="1" applyNumberFormat="1" applyFont="1" applyFill="1" applyBorder="1" applyAlignment="1" applyProtection="1">
      <alignment horizontal="center" vertical="top" wrapText="1"/>
    </xf>
    <xf numFmtId="40" fontId="32" fillId="15" borderId="203" xfId="0" applyNumberFormat="1" applyFont="1" applyFill="1" applyBorder="1" applyAlignment="1">
      <alignment vertical="top" wrapText="1"/>
    </xf>
    <xf numFmtId="40" fontId="32" fillId="15" borderId="23" xfId="0" applyNumberFormat="1" applyFont="1" applyFill="1" applyBorder="1" applyAlignment="1">
      <alignment vertical="top" wrapText="1"/>
    </xf>
    <xf numFmtId="40" fontId="29" fillId="15" borderId="201" xfId="0" applyNumberFormat="1" applyFont="1" applyFill="1" applyBorder="1" applyAlignment="1">
      <alignment vertical="top" wrapText="1"/>
    </xf>
    <xf numFmtId="0" fontId="14" fillId="15" borderId="161" xfId="0" applyFont="1" applyFill="1" applyBorder="1" applyAlignment="1">
      <alignment horizontal="center" vertical="top" wrapText="1"/>
    </xf>
    <xf numFmtId="0" fontId="14" fillId="15" borderId="159" xfId="0" applyFont="1" applyFill="1" applyBorder="1" applyAlignment="1">
      <alignment horizontal="center" vertical="top" wrapText="1"/>
    </xf>
    <xf numFmtId="14" fontId="5" fillId="15" borderId="159" xfId="0" applyNumberFormat="1" applyFont="1" applyFill="1" applyBorder="1" applyAlignment="1">
      <alignment horizontal="center" vertical="top" wrapText="1"/>
    </xf>
    <xf numFmtId="165" fontId="5" fillId="15" borderId="159" xfId="0" applyNumberFormat="1" applyFont="1" applyFill="1" applyBorder="1" applyAlignment="1">
      <alignment horizontal="center" vertical="top" wrapText="1"/>
    </xf>
    <xf numFmtId="182" fontId="5" fillId="15" borderId="159" xfId="1" applyNumberFormat="1" applyFont="1" applyFill="1" applyBorder="1" applyAlignment="1" applyProtection="1">
      <alignment horizontal="center" vertical="top" wrapText="1"/>
    </xf>
    <xf numFmtId="0" fontId="5" fillId="15" borderId="160" xfId="0" applyFont="1" applyFill="1" applyBorder="1" applyAlignment="1">
      <alignment vertical="top" wrapText="1"/>
    </xf>
    <xf numFmtId="0" fontId="5" fillId="15" borderId="161" xfId="0" applyFont="1" applyFill="1" applyBorder="1" applyAlignment="1">
      <alignment vertical="top" wrapText="1"/>
    </xf>
    <xf numFmtId="0" fontId="5" fillId="15" borderId="159" xfId="0" applyFont="1" applyFill="1" applyBorder="1" applyAlignment="1">
      <alignment vertical="top" wrapText="1"/>
    </xf>
    <xf numFmtId="14" fontId="5" fillId="15" borderId="160" xfId="0" applyNumberFormat="1" applyFont="1" applyFill="1" applyBorder="1" applyAlignment="1">
      <alignment horizontal="center" vertical="top" wrapText="1"/>
    </xf>
    <xf numFmtId="0" fontId="33" fillId="15" borderId="161" xfId="0" applyFont="1" applyFill="1" applyBorder="1" applyAlignment="1">
      <alignment vertical="top" wrapText="1"/>
    </xf>
    <xf numFmtId="0" fontId="33" fillId="15" borderId="160" xfId="0" applyFont="1" applyFill="1" applyBorder="1" applyAlignment="1">
      <alignment vertical="top" wrapText="1"/>
    </xf>
    <xf numFmtId="4" fontId="14" fillId="15" borderId="161" xfId="0" applyNumberFormat="1" applyFont="1" applyFill="1" applyBorder="1" applyAlignment="1">
      <alignment vertical="top" wrapText="1"/>
    </xf>
    <xf numFmtId="0" fontId="28" fillId="15" borderId="161" xfId="0" applyFont="1" applyFill="1" applyBorder="1" applyAlignment="1">
      <alignment horizontal="center" vertical="top" wrapText="1"/>
    </xf>
    <xf numFmtId="173" fontId="28" fillId="15" borderId="159" xfId="0" applyNumberFormat="1" applyFont="1" applyFill="1" applyBorder="1" applyAlignment="1">
      <alignment horizontal="center" vertical="top" wrapText="1"/>
    </xf>
    <xf numFmtId="0" fontId="28" fillId="15" borderId="159" xfId="0" applyFont="1" applyFill="1" applyBorder="1" applyAlignment="1">
      <alignment horizontal="center" vertical="top" wrapText="1"/>
    </xf>
    <xf numFmtId="165" fontId="28" fillId="15" borderId="159" xfId="0" applyNumberFormat="1" applyFont="1" applyFill="1" applyBorder="1" applyAlignment="1">
      <alignment horizontal="center" vertical="top" wrapText="1"/>
    </xf>
    <xf numFmtId="182" fontId="28" fillId="15" borderId="160" xfId="1" applyNumberFormat="1" applyFont="1" applyFill="1" applyBorder="1" applyAlignment="1" applyProtection="1">
      <alignment horizontal="center" vertical="top" wrapText="1"/>
    </xf>
    <xf numFmtId="0" fontId="14" fillId="15" borderId="333" xfId="0" applyFont="1" applyFill="1" applyBorder="1" applyAlignment="1">
      <alignment horizontal="center" vertical="top" wrapText="1"/>
    </xf>
    <xf numFmtId="14" fontId="5" fillId="15" borderId="333" xfId="0" applyNumberFormat="1" applyFont="1" applyFill="1" applyBorder="1" applyAlignment="1">
      <alignment horizontal="center" vertical="top" wrapText="1"/>
    </xf>
    <xf numFmtId="165" fontId="89" fillId="15" borderId="333" xfId="0" applyNumberFormat="1" applyFont="1" applyFill="1" applyBorder="1" applyAlignment="1">
      <alignment horizontal="center" vertical="top" wrapText="1"/>
    </xf>
    <xf numFmtId="182" fontId="89" fillId="15" borderId="333" xfId="1" applyNumberFormat="1" applyFont="1" applyFill="1" applyBorder="1" applyAlignment="1" applyProtection="1">
      <alignment horizontal="center" vertical="top" wrapText="1"/>
    </xf>
    <xf numFmtId="0" fontId="5" fillId="15" borderId="332" xfId="0" applyFont="1" applyFill="1" applyBorder="1" applyAlignment="1">
      <alignment vertical="top" wrapText="1"/>
    </xf>
    <xf numFmtId="0" fontId="5" fillId="15" borderId="333" xfId="0" applyFont="1" applyFill="1" applyBorder="1" applyAlignment="1">
      <alignment vertical="top" wrapText="1"/>
    </xf>
    <xf numFmtId="14" fontId="5" fillId="15" borderId="332" xfId="0" applyNumberFormat="1" applyFont="1" applyFill="1" applyBorder="1" applyAlignment="1">
      <alignment horizontal="center" vertical="top" wrapText="1"/>
    </xf>
    <xf numFmtId="0" fontId="33" fillId="15" borderId="332" xfId="0" applyFont="1" applyFill="1" applyBorder="1" applyAlignment="1">
      <alignment vertical="top" wrapText="1"/>
    </xf>
    <xf numFmtId="4" fontId="32" fillId="0" borderId="333" xfId="0" applyNumberFormat="1" applyFont="1" applyBorder="1" applyAlignment="1">
      <alignment vertical="top" wrapText="1"/>
    </xf>
    <xf numFmtId="4" fontId="33" fillId="0" borderId="332" xfId="0" applyNumberFormat="1" applyFont="1" applyBorder="1" applyAlignment="1">
      <alignment vertical="top" wrapText="1"/>
    </xf>
    <xf numFmtId="4" fontId="32" fillId="15" borderId="333" xfId="0" applyNumberFormat="1" applyFont="1" applyFill="1" applyBorder="1" applyAlignment="1">
      <alignment vertical="top" wrapText="1"/>
    </xf>
    <xf numFmtId="4" fontId="32" fillId="15" borderId="334" xfId="0" applyNumberFormat="1" applyFont="1" applyFill="1" applyBorder="1" applyAlignment="1">
      <alignment vertical="top" wrapText="1"/>
    </xf>
    <xf numFmtId="4" fontId="28" fillId="15" borderId="332" xfId="0" applyNumberFormat="1" applyFont="1" applyFill="1" applyBorder="1" applyAlignment="1">
      <alignment vertical="top" wrapText="1"/>
    </xf>
    <xf numFmtId="0" fontId="24" fillId="15" borderId="239" xfId="0" applyFont="1" applyFill="1" applyBorder="1" applyAlignment="1">
      <alignment horizontal="center" vertical="top" wrapText="1"/>
    </xf>
    <xf numFmtId="173" fontId="28" fillId="15" borderId="333" xfId="0" applyNumberFormat="1" applyFont="1" applyFill="1" applyBorder="1" applyAlignment="1">
      <alignment horizontal="center" vertical="top" wrapText="1"/>
    </xf>
    <xf numFmtId="0" fontId="28" fillId="15" borderId="333" xfId="0" applyFont="1" applyFill="1" applyBorder="1" applyAlignment="1">
      <alignment horizontal="center" vertical="top" wrapText="1"/>
    </xf>
    <xf numFmtId="165" fontId="29" fillId="15" borderId="333" xfId="0" applyNumberFormat="1" applyFont="1" applyFill="1" applyBorder="1" applyAlignment="1">
      <alignment horizontal="center" vertical="top" wrapText="1"/>
    </xf>
    <xf numFmtId="182" fontId="29" fillId="15" borderId="332" xfId="1" applyNumberFormat="1" applyFont="1" applyFill="1" applyBorder="1" applyAlignment="1" applyProtection="1">
      <alignment horizontal="center" vertical="top" wrapText="1"/>
    </xf>
    <xf numFmtId="40" fontId="33" fillId="15" borderId="333" xfId="0" applyNumberFormat="1" applyFont="1" applyFill="1" applyBorder="1" applyAlignment="1">
      <alignment vertical="top" wrapText="1"/>
    </xf>
    <xf numFmtId="40" fontId="28" fillId="15" borderId="334" xfId="0" applyNumberFormat="1" applyFont="1" applyFill="1" applyBorder="1" applyAlignment="1">
      <alignment vertical="top" wrapText="1"/>
    </xf>
    <xf numFmtId="0" fontId="5" fillId="0" borderId="295" xfId="0" applyFont="1" applyBorder="1" applyAlignment="1">
      <alignment vertical="top" wrapText="1"/>
    </xf>
    <xf numFmtId="44" fontId="6" fillId="15" borderId="54" xfId="0" applyNumberFormat="1" applyFont="1" applyFill="1" applyBorder="1" applyAlignment="1">
      <alignment vertical="top" wrapText="1"/>
    </xf>
    <xf numFmtId="0" fontId="7" fillId="10" borderId="58" xfId="0" applyFont="1" applyFill="1" applyBorder="1" applyAlignment="1">
      <alignment horizontal="left" vertical="top" wrapText="1"/>
    </xf>
    <xf numFmtId="166" fontId="7" fillId="0" borderId="29" xfId="0" applyNumberFormat="1" applyFont="1" applyBorder="1" applyAlignment="1">
      <alignment horizontal="center" vertical="top"/>
    </xf>
    <xf numFmtId="166" fontId="7" fillId="0" borderId="27" xfId="0" applyNumberFormat="1" applyFont="1" applyBorder="1" applyAlignment="1">
      <alignment horizontal="center" vertical="top"/>
    </xf>
    <xf numFmtId="0" fontId="7" fillId="0" borderId="316" xfId="0" applyFont="1" applyBorder="1" applyAlignment="1">
      <alignment vertical="top"/>
    </xf>
    <xf numFmtId="0" fontId="25" fillId="0" borderId="278" xfId="0" applyFont="1" applyBorder="1" applyAlignment="1">
      <alignment vertical="top" wrapText="1"/>
    </xf>
    <xf numFmtId="166" fontId="7" fillId="0" borderId="315" xfId="0" applyNumberFormat="1" applyFont="1" applyBorder="1" applyAlignment="1">
      <alignment horizontal="left" vertical="top" wrapText="1"/>
    </xf>
    <xf numFmtId="166" fontId="7" fillId="0" borderId="319" xfId="0" applyNumberFormat="1" applyFont="1" applyBorder="1" applyAlignment="1">
      <alignment horizontal="center" vertical="top"/>
    </xf>
    <xf numFmtId="166" fontId="7" fillId="0" borderId="318" xfId="0" applyNumberFormat="1" applyFont="1" applyBorder="1" applyAlignment="1">
      <alignment horizontal="center" vertical="top"/>
    </xf>
    <xf numFmtId="44" fontId="7" fillId="10" borderId="21" xfId="0" applyNumberFormat="1" applyFont="1" applyFill="1" applyBorder="1" applyAlignment="1">
      <alignment horizontal="right" vertical="top" wrapText="1"/>
    </xf>
    <xf numFmtId="44" fontId="7" fillId="10" borderId="36" xfId="0" applyNumberFormat="1" applyFont="1" applyFill="1" applyBorder="1" applyAlignment="1">
      <alignment horizontal="right" vertical="top" wrapText="1"/>
    </xf>
    <xf numFmtId="17" fontId="7" fillId="10" borderId="309" xfId="0" applyNumberFormat="1" applyFont="1" applyFill="1" applyBorder="1" applyAlignment="1">
      <alignment horizontal="right" vertical="top" wrapText="1"/>
    </xf>
    <xf numFmtId="17" fontId="7" fillId="10" borderId="309" xfId="0" applyNumberFormat="1" applyFont="1" applyFill="1" applyBorder="1" applyAlignment="1">
      <alignment vertical="top" wrapText="1"/>
    </xf>
    <xf numFmtId="0" fontId="25" fillId="0" borderId="318" xfId="0" applyFont="1" applyBorder="1" applyAlignment="1">
      <alignment horizontal="right" vertical="top" wrapText="1"/>
    </xf>
    <xf numFmtId="0" fontId="14" fillId="0" borderId="336" xfId="0" applyFont="1" applyBorder="1" applyAlignment="1">
      <alignment horizontal="center" vertical="top" wrapText="1"/>
    </xf>
    <xf numFmtId="0" fontId="14" fillId="0" borderId="337" xfId="0" applyFont="1" applyBorder="1" applyAlignment="1">
      <alignment horizontal="center" vertical="top" wrapText="1"/>
    </xf>
    <xf numFmtId="14" fontId="5" fillId="0" borderId="337" xfId="0" applyNumberFormat="1" applyFont="1" applyBorder="1" applyAlignment="1">
      <alignment horizontal="center" vertical="top" wrapText="1"/>
    </xf>
    <xf numFmtId="165" fontId="5" fillId="0" borderId="337" xfId="0" applyNumberFormat="1" applyFont="1" applyBorder="1" applyAlignment="1">
      <alignment horizontal="center" vertical="top" wrapText="1"/>
    </xf>
    <xf numFmtId="182" fontId="5" fillId="0" borderId="337" xfId="1" applyNumberFormat="1" applyFont="1" applyFill="1" applyBorder="1" applyAlignment="1" applyProtection="1">
      <alignment horizontal="center" vertical="top" wrapText="1"/>
    </xf>
    <xf numFmtId="0" fontId="5" fillId="0" borderId="335" xfId="0" applyFont="1" applyBorder="1" applyAlignment="1">
      <alignment vertical="top" wrapText="1"/>
    </xf>
    <xf numFmtId="0" fontId="5" fillId="0" borderId="336" xfId="0" applyFont="1" applyBorder="1" applyAlignment="1">
      <alignment vertical="top" wrapText="1"/>
    </xf>
    <xf numFmtId="0" fontId="5" fillId="0" borderId="337" xfId="0" applyFont="1" applyBorder="1" applyAlignment="1">
      <alignment vertical="top" wrapText="1"/>
    </xf>
    <xf numFmtId="14" fontId="5" fillId="0" borderId="335" xfId="0" applyNumberFormat="1" applyFont="1" applyBorder="1" applyAlignment="1">
      <alignment horizontal="center" vertical="top" wrapText="1"/>
    </xf>
    <xf numFmtId="0" fontId="32" fillId="0" borderId="336" xfId="0" applyFont="1" applyBorder="1" applyAlignment="1">
      <alignment vertical="top" wrapText="1"/>
    </xf>
    <xf numFmtId="0" fontId="33" fillId="0" borderId="335" xfId="0" applyFont="1" applyBorder="1" applyAlignment="1">
      <alignment vertical="top" wrapText="1"/>
    </xf>
    <xf numFmtId="4" fontId="5" fillId="0" borderId="336" xfId="0" applyNumberFormat="1" applyFont="1" applyBorder="1" applyAlignment="1">
      <alignment vertical="top" wrapText="1"/>
    </xf>
    <xf numFmtId="4" fontId="32" fillId="0" borderId="337" xfId="0" applyNumberFormat="1" applyFont="1" applyBorder="1" applyAlignment="1">
      <alignment vertical="top" wrapText="1"/>
    </xf>
    <xf numFmtId="4" fontId="33" fillId="0" borderId="335" xfId="0" applyNumberFormat="1" applyFont="1" applyBorder="1" applyAlignment="1">
      <alignment vertical="top" wrapText="1"/>
    </xf>
    <xf numFmtId="4" fontId="5" fillId="10" borderId="336" xfId="0" applyNumberFormat="1" applyFont="1" applyFill="1" applyBorder="1" applyAlignment="1">
      <alignment vertical="top" wrapText="1"/>
    </xf>
    <xf numFmtId="4" fontId="32" fillId="10" borderId="337" xfId="0" applyNumberFormat="1" applyFont="1" applyFill="1" applyBorder="1" applyAlignment="1">
      <alignment vertical="top" wrapText="1"/>
    </xf>
    <xf numFmtId="4" fontId="33" fillId="10" borderId="335" xfId="0" applyNumberFormat="1" applyFont="1" applyFill="1" applyBorder="1" applyAlignment="1">
      <alignment vertical="top" wrapText="1"/>
    </xf>
    <xf numFmtId="4" fontId="14" fillId="0" borderId="336" xfId="0" applyNumberFormat="1" applyFont="1" applyBorder="1" applyAlignment="1">
      <alignment vertical="top" wrapText="1"/>
    </xf>
    <xf numFmtId="4" fontId="32" fillId="0" borderId="338" xfId="0" applyNumberFormat="1" applyFont="1" applyBorder="1" applyAlignment="1">
      <alignment vertical="top" wrapText="1"/>
    </xf>
    <xf numFmtId="4" fontId="28" fillId="0" borderId="335" xfId="0" applyNumberFormat="1" applyFont="1" applyBorder="1" applyAlignment="1">
      <alignment vertical="top" wrapText="1"/>
    </xf>
    <xf numFmtId="0" fontId="28" fillId="0" borderId="336" xfId="0" applyFont="1" applyBorder="1" applyAlignment="1">
      <alignment horizontal="center" vertical="top" wrapText="1"/>
    </xf>
    <xf numFmtId="173" fontId="28" fillId="0" borderId="337" xfId="0" applyNumberFormat="1" applyFont="1" applyBorder="1" applyAlignment="1">
      <alignment horizontal="center" vertical="top" wrapText="1"/>
    </xf>
    <xf numFmtId="165" fontId="28" fillId="0" borderId="337" xfId="0" applyNumberFormat="1" applyFont="1" applyBorder="1" applyAlignment="1">
      <alignment horizontal="center" vertical="top" wrapText="1"/>
    </xf>
    <xf numFmtId="182" fontId="28" fillId="0" borderId="335" xfId="1" applyNumberFormat="1" applyFont="1" applyFill="1" applyBorder="1" applyAlignment="1" applyProtection="1">
      <alignment horizontal="center" vertical="top" wrapText="1"/>
    </xf>
    <xf numFmtId="40" fontId="33" fillId="0" borderId="336" xfId="0" applyNumberFormat="1" applyFont="1" applyBorder="1" applyAlignment="1">
      <alignment vertical="top" wrapText="1"/>
    </xf>
    <xf numFmtId="40" fontId="33" fillId="0" borderId="337" xfId="0" applyNumberFormat="1" applyFont="1" applyBorder="1" applyAlignment="1">
      <alignment vertical="top" wrapText="1"/>
    </xf>
    <xf numFmtId="40" fontId="33" fillId="10" borderId="337" xfId="0" applyNumberFormat="1" applyFont="1" applyFill="1" applyBorder="1" applyAlignment="1">
      <alignment vertical="top" wrapText="1"/>
    </xf>
    <xf numFmtId="40" fontId="28" fillId="0" borderId="339" xfId="0" applyNumberFormat="1" applyFont="1" applyBorder="1" applyAlignment="1">
      <alignment vertical="top" wrapText="1"/>
    </xf>
    <xf numFmtId="0" fontId="5" fillId="0" borderId="340" xfId="0" applyFont="1" applyBorder="1" applyAlignment="1">
      <alignment vertical="top" wrapText="1"/>
    </xf>
    <xf numFmtId="0" fontId="28" fillId="0" borderId="337" xfId="0" applyFont="1" applyBorder="1" applyAlignment="1">
      <alignment horizontal="center" vertical="top" wrapText="1"/>
    </xf>
    <xf numFmtId="0" fontId="14" fillId="0" borderId="333" xfId="0" applyFont="1" applyBorder="1" applyAlignment="1">
      <alignment horizontal="center" vertical="top" wrapText="1"/>
    </xf>
    <xf numFmtId="14" fontId="5" fillId="0" borderId="333" xfId="0" applyNumberFormat="1" applyFont="1" applyBorder="1" applyAlignment="1">
      <alignment horizontal="center" vertical="top" wrapText="1"/>
    </xf>
    <xf numFmtId="182" fontId="5" fillId="0" borderId="33" xfId="1" applyNumberFormat="1" applyFont="1" applyFill="1" applyBorder="1" applyAlignment="1" applyProtection="1">
      <alignment horizontal="center" vertical="top" wrapText="1"/>
    </xf>
    <xf numFmtId="0" fontId="5" fillId="0" borderId="332" xfId="0" applyFont="1" applyBorder="1" applyAlignment="1">
      <alignment vertical="top" wrapText="1"/>
    </xf>
    <xf numFmtId="0" fontId="5" fillId="0" borderId="333" xfId="0" applyFont="1" applyBorder="1" applyAlignment="1">
      <alignment vertical="top" wrapText="1"/>
    </xf>
    <xf numFmtId="14" fontId="5" fillId="0" borderId="332" xfId="0" applyNumberFormat="1" applyFont="1" applyBorder="1" applyAlignment="1">
      <alignment horizontal="center" vertical="top" wrapText="1"/>
    </xf>
    <xf numFmtId="0" fontId="33" fillId="0" borderId="332" xfId="0" applyFont="1" applyBorder="1" applyAlignment="1">
      <alignment vertical="top" wrapText="1"/>
    </xf>
    <xf numFmtId="4" fontId="32" fillId="0" borderId="334" xfId="0" applyNumberFormat="1" applyFont="1" applyBorder="1" applyAlignment="1">
      <alignment vertical="top" wrapText="1"/>
    </xf>
    <xf numFmtId="4" fontId="28" fillId="0" borderId="332" xfId="0" applyNumberFormat="1" applyFont="1" applyBorder="1" applyAlignment="1">
      <alignment vertical="top" wrapText="1"/>
    </xf>
    <xf numFmtId="173" fontId="28" fillId="0" borderId="333" xfId="0" applyNumberFormat="1" applyFont="1" applyBorder="1" applyAlignment="1">
      <alignment horizontal="center" vertical="top" wrapText="1"/>
    </xf>
    <xf numFmtId="0" fontId="28" fillId="0" borderId="333" xfId="0" applyFont="1" applyBorder="1" applyAlignment="1">
      <alignment horizontal="center" vertical="top" wrapText="1"/>
    </xf>
    <xf numFmtId="40" fontId="33" fillId="0" borderId="333" xfId="0" applyNumberFormat="1" applyFont="1" applyBorder="1" applyAlignment="1">
      <alignment vertical="top" wrapText="1"/>
    </xf>
    <xf numFmtId="40" fontId="28" fillId="0" borderId="334" xfId="0" applyNumberFormat="1" applyFont="1" applyBorder="1" applyAlignment="1">
      <alignment vertical="top" wrapText="1"/>
    </xf>
    <xf numFmtId="0" fontId="25" fillId="0" borderId="341" xfId="0" applyFont="1" applyBorder="1" applyAlignment="1">
      <alignment vertical="top" wrapText="1"/>
    </xf>
    <xf numFmtId="0" fontId="26" fillId="0" borderId="341" xfId="0" applyFont="1" applyBorder="1" applyAlignment="1">
      <alignment horizontal="center" vertical="top" wrapText="1"/>
    </xf>
    <xf numFmtId="49" fontId="6" fillId="0" borderId="341" xfId="0" applyNumberFormat="1" applyFont="1" applyBorder="1" applyAlignment="1">
      <alignment horizontal="left" vertical="top" wrapText="1"/>
    </xf>
    <xf numFmtId="0" fontId="7" fillId="0" borderId="341" xfId="0" applyFont="1" applyBorder="1" applyAlignment="1">
      <alignment vertical="top"/>
    </xf>
    <xf numFmtId="0" fontId="7" fillId="0" borderId="342" xfId="0" applyFont="1" applyBorder="1" applyAlignment="1">
      <alignment vertical="top" wrapText="1"/>
    </xf>
    <xf numFmtId="0" fontId="7" fillId="0" borderId="343" xfId="0" applyFont="1" applyBorder="1" applyAlignment="1">
      <alignment vertical="top" wrapText="1"/>
    </xf>
    <xf numFmtId="0" fontId="7" fillId="0" borderId="344" xfId="0" applyFont="1" applyBorder="1" applyAlignment="1">
      <alignment vertical="top" wrapText="1"/>
    </xf>
    <xf numFmtId="44" fontId="7" fillId="0" borderId="342" xfId="0" applyNumberFormat="1" applyFont="1" applyBorder="1" applyAlignment="1">
      <alignment vertical="top"/>
    </xf>
    <xf numFmtId="0" fontId="7" fillId="0" borderId="343" xfId="0" applyFont="1" applyBorder="1" applyAlignment="1">
      <alignment vertical="top"/>
    </xf>
    <xf numFmtId="44" fontId="6" fillId="0" borderId="342" xfId="0" applyNumberFormat="1" applyFont="1" applyBorder="1" applyAlignment="1">
      <alignment vertical="top"/>
    </xf>
    <xf numFmtId="0" fontId="6" fillId="0" borderId="343" xfId="0" applyFont="1" applyBorder="1" applyAlignment="1">
      <alignment horizontal="left" vertical="top"/>
    </xf>
    <xf numFmtId="0" fontId="7" fillId="0" borderId="343" xfId="0" applyFont="1" applyBorder="1" applyAlignment="1">
      <alignment horizontal="left" vertical="top"/>
    </xf>
    <xf numFmtId="44" fontId="7" fillId="10" borderId="342" xfId="0" applyNumberFormat="1" applyFont="1" applyFill="1" applyBorder="1" applyAlignment="1">
      <alignment vertical="top"/>
    </xf>
    <xf numFmtId="0" fontId="7" fillId="10" borderId="343" xfId="0" applyFont="1" applyFill="1" applyBorder="1" applyAlignment="1">
      <alignment horizontal="right" vertical="top"/>
    </xf>
    <xf numFmtId="0" fontId="7" fillId="10" borderId="343" xfId="0" applyFont="1" applyFill="1" applyBorder="1" applyAlignment="1">
      <alignment horizontal="left" vertical="top"/>
    </xf>
    <xf numFmtId="0" fontId="7" fillId="0" borderId="344" xfId="0" applyFont="1" applyBorder="1" applyAlignment="1">
      <alignment vertical="top"/>
    </xf>
    <xf numFmtId="44" fontId="6" fillId="0" borderId="341" xfId="2" applyFont="1" applyFill="1" applyBorder="1" applyAlignment="1" applyProtection="1">
      <alignment vertical="top" wrapText="1"/>
    </xf>
    <xf numFmtId="166" fontId="7" fillId="10" borderId="345" xfId="0" applyNumberFormat="1" applyFont="1" applyFill="1" applyBorder="1" applyAlignment="1">
      <alignment horizontal="left" vertical="top"/>
    </xf>
    <xf numFmtId="166" fontId="7" fillId="10" borderId="344" xfId="0" applyNumberFormat="1" applyFont="1" applyFill="1" applyBorder="1" applyAlignment="1">
      <alignment horizontal="center" vertical="top"/>
    </xf>
    <xf numFmtId="166" fontId="7" fillId="10" borderId="343" xfId="0" applyNumberFormat="1" applyFont="1" applyFill="1" applyBorder="1" applyAlignment="1">
      <alignment horizontal="center" vertical="top"/>
    </xf>
    <xf numFmtId="0" fontId="26" fillId="0" borderId="345" xfId="0" applyFont="1" applyBorder="1" applyAlignment="1">
      <alignment horizontal="center" vertical="top"/>
    </xf>
    <xf numFmtId="15" fontId="25" fillId="0" borderId="344" xfId="0" applyNumberFormat="1" applyFont="1" applyBorder="1" applyAlignment="1">
      <alignment horizontal="center" vertical="top"/>
    </xf>
    <xf numFmtId="0" fontId="25" fillId="0" borderId="343" xfId="0" applyFont="1" applyBorder="1" applyAlignment="1">
      <alignment horizontal="right" vertical="top"/>
    </xf>
    <xf numFmtId="44" fontId="25" fillId="0" borderId="342" xfId="2" applyFont="1" applyFill="1" applyBorder="1" applyAlignment="1" applyProtection="1">
      <alignment vertical="top"/>
    </xf>
    <xf numFmtId="0" fontId="25" fillId="0" borderId="343" xfId="0" applyFont="1" applyBorder="1" applyAlignment="1">
      <alignment vertical="top"/>
    </xf>
    <xf numFmtId="44" fontId="25" fillId="0" borderId="345" xfId="0" applyNumberFormat="1" applyFont="1" applyBorder="1" applyAlignment="1">
      <alignment vertical="top"/>
    </xf>
    <xf numFmtId="44" fontId="25" fillId="0" borderId="342" xfId="0" applyNumberFormat="1" applyFont="1" applyBorder="1" applyAlignment="1">
      <alignment vertical="top"/>
    </xf>
    <xf numFmtId="44" fontId="25" fillId="10" borderId="342" xfId="0" applyNumberFormat="1" applyFont="1" applyFill="1" applyBorder="1" applyAlignment="1">
      <alignment vertical="top"/>
    </xf>
    <xf numFmtId="0" fontId="25" fillId="10" borderId="343" xfId="0" applyFont="1" applyFill="1" applyBorder="1" applyAlignment="1">
      <alignment vertical="top"/>
    </xf>
    <xf numFmtId="0" fontId="25" fillId="0" borderId="343" xfId="0" applyFont="1" applyBorder="1" applyAlignment="1">
      <alignment vertical="top" wrapText="1"/>
    </xf>
    <xf numFmtId="0" fontId="25" fillId="0" borderId="344" xfId="0" applyFont="1" applyBorder="1" applyAlignment="1">
      <alignment vertical="top"/>
    </xf>
    <xf numFmtId="44" fontId="26" fillId="0" borderId="341" xfId="2" applyFont="1" applyFill="1" applyBorder="1" applyAlignment="1" applyProtection="1">
      <alignment horizontal="left" vertical="top" wrapText="1"/>
    </xf>
    <xf numFmtId="0" fontId="14" fillId="15" borderId="350" xfId="0" applyFont="1" applyFill="1" applyBorder="1" applyAlignment="1">
      <alignment horizontal="center" vertical="top" wrapText="1"/>
    </xf>
    <xf numFmtId="0" fontId="14" fillId="15" borderId="347" xfId="0" applyFont="1" applyFill="1" applyBorder="1" applyAlignment="1">
      <alignment horizontal="center" vertical="top" wrapText="1"/>
    </xf>
    <xf numFmtId="14" fontId="5" fillId="15" borderId="347" xfId="0" applyNumberFormat="1" applyFont="1" applyFill="1" applyBorder="1" applyAlignment="1">
      <alignment horizontal="center" vertical="top" wrapText="1"/>
    </xf>
    <xf numFmtId="165" fontId="5" fillId="15" borderId="347" xfId="0" applyNumberFormat="1" applyFont="1" applyFill="1" applyBorder="1" applyAlignment="1">
      <alignment horizontal="center" vertical="top" wrapText="1"/>
    </xf>
    <xf numFmtId="182" fontId="5" fillId="15" borderId="347" xfId="1" applyNumberFormat="1" applyFont="1" applyFill="1" applyBorder="1" applyAlignment="1" applyProtection="1">
      <alignment horizontal="center" vertical="top" wrapText="1"/>
    </xf>
    <xf numFmtId="0" fontId="5" fillId="15" borderId="346" xfId="0" applyFont="1" applyFill="1" applyBorder="1" applyAlignment="1">
      <alignment vertical="top" wrapText="1"/>
    </xf>
    <xf numFmtId="0" fontId="5" fillId="15" borderId="350" xfId="0" applyFont="1" applyFill="1" applyBorder="1" applyAlignment="1">
      <alignment vertical="top" wrapText="1"/>
    </xf>
    <xf numFmtId="0" fontId="5" fillId="15" borderId="347" xfId="0" applyFont="1" applyFill="1" applyBorder="1" applyAlignment="1">
      <alignment vertical="top" wrapText="1"/>
    </xf>
    <xf numFmtId="14" fontId="5" fillId="15" borderId="346" xfId="0" applyNumberFormat="1" applyFont="1" applyFill="1" applyBorder="1" applyAlignment="1">
      <alignment horizontal="center" vertical="top" wrapText="1"/>
    </xf>
    <xf numFmtId="0" fontId="33" fillId="15" borderId="350" xfId="0" applyFont="1" applyFill="1" applyBorder="1" applyAlignment="1">
      <alignment vertical="top" wrapText="1"/>
    </xf>
    <xf numFmtId="0" fontId="33" fillId="15" borderId="346" xfId="0" applyFont="1" applyFill="1" applyBorder="1" applyAlignment="1">
      <alignment vertical="top" wrapText="1"/>
    </xf>
    <xf numFmtId="4" fontId="5" fillId="15" borderId="350" xfId="0" applyNumberFormat="1" applyFont="1" applyFill="1" applyBorder="1" applyAlignment="1">
      <alignment vertical="top" wrapText="1"/>
    </xf>
    <xf numFmtId="4" fontId="32" fillId="15" borderId="347" xfId="0" applyNumberFormat="1" applyFont="1" applyFill="1" applyBorder="1" applyAlignment="1">
      <alignment vertical="top" wrapText="1"/>
    </xf>
    <xf numFmtId="4" fontId="33" fillId="15" borderId="346" xfId="0" applyNumberFormat="1" applyFont="1" applyFill="1" applyBorder="1" applyAlignment="1">
      <alignment vertical="top" wrapText="1"/>
    </xf>
    <xf numFmtId="4" fontId="14" fillId="15" borderId="350" xfId="0" applyNumberFormat="1" applyFont="1" applyFill="1" applyBorder="1" applyAlignment="1">
      <alignment vertical="top" wrapText="1"/>
    </xf>
    <xf numFmtId="4" fontId="32" fillId="15" borderId="351" xfId="0" applyNumberFormat="1" applyFont="1" applyFill="1" applyBorder="1" applyAlignment="1">
      <alignment vertical="top" wrapText="1"/>
    </xf>
    <xf numFmtId="4" fontId="28" fillId="15" borderId="346" xfId="0" applyNumberFormat="1" applyFont="1" applyFill="1" applyBorder="1" applyAlignment="1">
      <alignment vertical="top" wrapText="1"/>
    </xf>
    <xf numFmtId="0" fontId="28" fillId="15" borderId="350" xfId="0" applyFont="1" applyFill="1" applyBorder="1" applyAlignment="1">
      <alignment horizontal="center" vertical="top" wrapText="1"/>
    </xf>
    <xf numFmtId="165" fontId="28" fillId="15" borderId="347" xfId="0" applyNumberFormat="1" applyFont="1" applyFill="1" applyBorder="1" applyAlignment="1">
      <alignment horizontal="center" vertical="top" wrapText="1"/>
    </xf>
    <xf numFmtId="182" fontId="28" fillId="15" borderId="346" xfId="1" applyNumberFormat="1" applyFont="1" applyFill="1" applyBorder="1" applyAlignment="1" applyProtection="1">
      <alignment horizontal="center" vertical="top" wrapText="1"/>
    </xf>
    <xf numFmtId="40" fontId="33" fillId="15" borderId="350" xfId="0" applyNumberFormat="1" applyFont="1" applyFill="1" applyBorder="1" applyAlignment="1">
      <alignment vertical="top" wrapText="1"/>
    </xf>
    <xf numFmtId="40" fontId="33" fillId="15" borderId="347" xfId="0" applyNumberFormat="1" applyFont="1" applyFill="1" applyBorder="1" applyAlignment="1">
      <alignment vertical="top" wrapText="1"/>
    </xf>
    <xf numFmtId="40" fontId="28" fillId="15" borderId="348" xfId="0" applyNumberFormat="1" applyFont="1" applyFill="1" applyBorder="1" applyAlignment="1">
      <alignment vertical="top" wrapText="1"/>
    </xf>
    <xf numFmtId="0" fontId="5" fillId="15" borderId="349" xfId="0" applyFont="1" applyFill="1" applyBorder="1" applyAlignment="1">
      <alignment vertical="top" wrapText="1"/>
    </xf>
    <xf numFmtId="173" fontId="28" fillId="15" borderId="347" xfId="0" applyNumberFormat="1" applyFont="1" applyFill="1" applyBorder="1" applyAlignment="1">
      <alignment horizontal="center" vertical="top" wrapText="1"/>
    </xf>
    <xf numFmtId="0" fontId="28" fillId="15" borderId="347" xfId="0" applyFont="1" applyFill="1" applyBorder="1" applyAlignment="1">
      <alignment horizontal="center" vertical="top" wrapText="1"/>
    </xf>
    <xf numFmtId="0" fontId="5" fillId="0" borderId="293" xfId="0" applyFont="1" applyBorder="1" applyAlignment="1">
      <alignment vertical="top" wrapText="1"/>
    </xf>
    <xf numFmtId="165" fontId="5" fillId="15" borderId="333" xfId="0" applyNumberFormat="1" applyFont="1" applyFill="1" applyBorder="1" applyAlignment="1">
      <alignment horizontal="center" vertical="top" wrapText="1"/>
    </xf>
    <xf numFmtId="182" fontId="5" fillId="15" borderId="333" xfId="1" applyNumberFormat="1" applyFont="1" applyFill="1" applyBorder="1" applyAlignment="1" applyProtection="1">
      <alignment horizontal="center" vertical="top" wrapText="1"/>
    </xf>
    <xf numFmtId="0" fontId="5" fillId="15" borderId="343" xfId="0" applyFont="1" applyFill="1" applyBorder="1" applyAlignment="1">
      <alignment vertical="top" wrapText="1"/>
    </xf>
    <xf numFmtId="14" fontId="5" fillId="15" borderId="343" xfId="0" applyNumberFormat="1" applyFont="1" applyFill="1" applyBorder="1" applyAlignment="1">
      <alignment horizontal="center" vertical="top" wrapText="1"/>
    </xf>
    <xf numFmtId="0" fontId="33" fillId="15" borderId="343" xfId="0" applyFont="1" applyFill="1" applyBorder="1" applyAlignment="1">
      <alignment vertical="top" wrapText="1"/>
    </xf>
    <xf numFmtId="4" fontId="33" fillId="15" borderId="343" xfId="0" applyNumberFormat="1" applyFont="1" applyFill="1" applyBorder="1" applyAlignment="1">
      <alignment vertical="top" wrapText="1"/>
    </xf>
    <xf numFmtId="4" fontId="32" fillId="15" borderId="344" xfId="0" applyNumberFormat="1" applyFont="1" applyFill="1" applyBorder="1" applyAlignment="1">
      <alignment vertical="top" wrapText="1"/>
    </xf>
    <xf numFmtId="4" fontId="28" fillId="15" borderId="343" xfId="0" applyNumberFormat="1" applyFont="1" applyFill="1" applyBorder="1" applyAlignment="1">
      <alignment vertical="top" wrapText="1"/>
    </xf>
    <xf numFmtId="165" fontId="28" fillId="15" borderId="333" xfId="0" applyNumberFormat="1" applyFont="1" applyFill="1" applyBorder="1" applyAlignment="1">
      <alignment horizontal="center" vertical="top" wrapText="1"/>
    </xf>
    <xf numFmtId="182" fontId="28" fillId="15" borderId="343" xfId="1" applyNumberFormat="1" applyFont="1" applyFill="1" applyBorder="1" applyAlignment="1" applyProtection="1">
      <alignment horizontal="center" vertical="top" wrapText="1"/>
    </xf>
    <xf numFmtId="40" fontId="28" fillId="15" borderId="344" xfId="0" applyNumberFormat="1" applyFont="1" applyFill="1" applyBorder="1" applyAlignment="1">
      <alignment vertical="top" wrapText="1"/>
    </xf>
    <xf numFmtId="0" fontId="5" fillId="15" borderId="341" xfId="0" applyFont="1" applyFill="1" applyBorder="1" applyAlignment="1">
      <alignment vertical="top" wrapText="1"/>
    </xf>
    <xf numFmtId="0" fontId="14" fillId="0" borderId="353" xfId="0" applyFont="1" applyBorder="1" applyAlignment="1">
      <alignment horizontal="center" vertical="top" wrapText="1"/>
    </xf>
    <xf numFmtId="0" fontId="14" fillId="0" borderId="354" xfId="0" applyFont="1" applyBorder="1" applyAlignment="1">
      <alignment horizontal="center" vertical="top" wrapText="1"/>
    </xf>
    <xf numFmtId="14" fontId="5" fillId="0" borderId="354" xfId="0" applyNumberFormat="1" applyFont="1" applyBorder="1" applyAlignment="1">
      <alignment horizontal="center" vertical="top" wrapText="1"/>
    </xf>
    <xf numFmtId="165" fontId="5" fillId="0" borderId="354" xfId="0" applyNumberFormat="1" applyFont="1" applyBorder="1" applyAlignment="1">
      <alignment horizontal="center" vertical="top" wrapText="1"/>
    </xf>
    <xf numFmtId="182" fontId="5" fillId="0" borderId="354" xfId="1" applyNumberFormat="1" applyFont="1" applyFill="1" applyBorder="1" applyAlignment="1" applyProtection="1">
      <alignment horizontal="center" vertical="top" wrapText="1"/>
    </xf>
    <xf numFmtId="0" fontId="5" fillId="0" borderId="352" xfId="0" applyFont="1" applyBorder="1" applyAlignment="1">
      <alignment vertical="top" wrapText="1"/>
    </xf>
    <xf numFmtId="0" fontId="5" fillId="0" borderId="353" xfId="0" applyFont="1" applyBorder="1" applyAlignment="1">
      <alignment vertical="top" wrapText="1"/>
    </xf>
    <xf numFmtId="0" fontId="5" fillId="0" borderId="354" xfId="0" applyFont="1" applyBorder="1" applyAlignment="1">
      <alignment vertical="top" wrapText="1"/>
    </xf>
    <xf numFmtId="14" fontId="5" fillId="0" borderId="352" xfId="0" applyNumberFormat="1" applyFont="1" applyBorder="1" applyAlignment="1">
      <alignment horizontal="center" vertical="top" wrapText="1"/>
    </xf>
    <xf numFmtId="0" fontId="32" fillId="0" borderId="353" xfId="0" applyFont="1" applyBorder="1" applyAlignment="1">
      <alignment vertical="top" wrapText="1"/>
    </xf>
    <xf numFmtId="0" fontId="33" fillId="0" borderId="352" xfId="0" applyFont="1" applyBorder="1" applyAlignment="1">
      <alignment vertical="top" wrapText="1"/>
    </xf>
    <xf numFmtId="4" fontId="5" fillId="0" borderId="353" xfId="0" applyNumberFormat="1" applyFont="1" applyBorder="1" applyAlignment="1">
      <alignment vertical="top" wrapText="1"/>
    </xf>
    <xf numFmtId="4" fontId="32" fillId="0" borderId="354" xfId="0" applyNumberFormat="1" applyFont="1" applyBorder="1" applyAlignment="1">
      <alignment vertical="top" wrapText="1"/>
    </xf>
    <xf numFmtId="4" fontId="33" fillId="0" borderId="352" xfId="0" applyNumberFormat="1" applyFont="1" applyBorder="1" applyAlignment="1">
      <alignment vertical="top" wrapText="1"/>
    </xf>
    <xf numFmtId="4" fontId="14" fillId="0" borderId="353" xfId="0" applyNumberFormat="1" applyFont="1" applyBorder="1" applyAlignment="1">
      <alignment vertical="top" wrapText="1"/>
    </xf>
    <xf numFmtId="4" fontId="32" fillId="0" borderId="355" xfId="0" applyNumberFormat="1" applyFont="1" applyBorder="1" applyAlignment="1">
      <alignment vertical="top" wrapText="1"/>
    </xf>
    <xf numFmtId="4" fontId="28" fillId="0" borderId="352" xfId="0" applyNumberFormat="1" applyFont="1" applyBorder="1" applyAlignment="1">
      <alignment vertical="top" wrapText="1"/>
    </xf>
    <xf numFmtId="0" fontId="29" fillId="0" borderId="353" xfId="0" applyFont="1" applyBorder="1" applyAlignment="1">
      <alignment horizontal="center" vertical="top" wrapText="1"/>
    </xf>
    <xf numFmtId="173" fontId="29" fillId="0" borderId="354" xfId="0" applyNumberFormat="1" applyFont="1" applyBorder="1" applyAlignment="1">
      <alignment horizontal="center" vertical="top" wrapText="1"/>
    </xf>
    <xf numFmtId="0" fontId="29" fillId="0" borderId="354" xfId="0" applyFont="1" applyBorder="1" applyAlignment="1">
      <alignment horizontal="center" vertical="top" wrapText="1"/>
    </xf>
    <xf numFmtId="165" fontId="28" fillId="0" borderId="354" xfId="0" applyNumberFormat="1" applyFont="1" applyBorder="1" applyAlignment="1">
      <alignment horizontal="center" vertical="top" wrapText="1"/>
    </xf>
    <xf numFmtId="182" fontId="28" fillId="0" borderId="352" xfId="1" applyNumberFormat="1" applyFont="1" applyFill="1" applyBorder="1" applyAlignment="1" applyProtection="1">
      <alignment horizontal="center" vertical="top" wrapText="1"/>
    </xf>
    <xf numFmtId="40" fontId="33" fillId="0" borderId="353" xfId="0" applyNumberFormat="1" applyFont="1" applyBorder="1" applyAlignment="1">
      <alignment vertical="top" wrapText="1"/>
    </xf>
    <xf numFmtId="40" fontId="33" fillId="0" borderId="354" xfId="0" applyNumberFormat="1" applyFont="1" applyBorder="1" applyAlignment="1">
      <alignment vertical="top" wrapText="1"/>
    </xf>
    <xf numFmtId="40" fontId="28" fillId="0" borderId="355" xfId="0" applyNumberFormat="1" applyFont="1" applyBorder="1" applyAlignment="1">
      <alignment vertical="top" wrapText="1"/>
    </xf>
    <xf numFmtId="0" fontId="5" fillId="0" borderId="356" xfId="0" applyFont="1" applyBorder="1" applyAlignment="1">
      <alignment vertical="top" wrapText="1"/>
    </xf>
    <xf numFmtId="182" fontId="5" fillId="15" borderId="32" xfId="1" applyNumberFormat="1" applyFont="1" applyFill="1" applyBorder="1" applyAlignment="1" applyProtection="1">
      <alignment horizontal="center" vertical="top" wrapText="1"/>
    </xf>
    <xf numFmtId="0" fontId="5" fillId="15" borderId="1" xfId="0" applyFont="1" applyFill="1" applyBorder="1" applyAlignment="1">
      <alignment vertical="top" wrapText="1"/>
    </xf>
    <xf numFmtId="0" fontId="33" fillId="15" borderId="31" xfId="0" applyFont="1" applyFill="1" applyBorder="1" applyAlignment="1">
      <alignment vertical="top" wrapText="1"/>
    </xf>
    <xf numFmtId="165" fontId="28" fillId="15" borderId="32" xfId="0" applyNumberFormat="1" applyFont="1" applyFill="1" applyBorder="1" applyAlignment="1">
      <alignment horizontal="center" vertical="top" wrapText="1"/>
    </xf>
    <xf numFmtId="182" fontId="28" fillId="15" borderId="31" xfId="1" applyNumberFormat="1" applyFont="1" applyFill="1" applyBorder="1" applyAlignment="1" applyProtection="1">
      <alignment horizontal="center" vertical="top" wrapText="1"/>
    </xf>
    <xf numFmtId="0" fontId="14" fillId="15" borderId="359" xfId="0" applyFont="1" applyFill="1" applyBorder="1" applyAlignment="1">
      <alignment horizontal="center" vertical="top" wrapText="1"/>
    </xf>
    <xf numFmtId="14" fontId="5" fillId="15" borderId="359" xfId="0" applyNumberFormat="1" applyFont="1" applyFill="1" applyBorder="1" applyAlignment="1">
      <alignment horizontal="center" vertical="top" wrapText="1"/>
    </xf>
    <xf numFmtId="165" fontId="5" fillId="15" borderId="359" xfId="0" applyNumberFormat="1" applyFont="1" applyFill="1" applyBorder="1" applyAlignment="1">
      <alignment horizontal="center" vertical="top" wrapText="1"/>
    </xf>
    <xf numFmtId="182" fontId="5" fillId="15" borderId="359" xfId="1" applyNumberFormat="1" applyFont="1" applyFill="1" applyBorder="1" applyAlignment="1" applyProtection="1">
      <alignment horizontal="center" vertical="top" wrapText="1"/>
    </xf>
    <xf numFmtId="0" fontId="5" fillId="15" borderId="357" xfId="0" applyFont="1" applyFill="1" applyBorder="1" applyAlignment="1">
      <alignment vertical="top" wrapText="1"/>
    </xf>
    <xf numFmtId="0" fontId="5" fillId="15" borderId="358" xfId="0" applyFont="1" applyFill="1" applyBorder="1" applyAlignment="1">
      <alignment vertical="top" wrapText="1"/>
    </xf>
    <xf numFmtId="0" fontId="5" fillId="15" borderId="359" xfId="0" applyFont="1" applyFill="1" applyBorder="1" applyAlignment="1">
      <alignment vertical="top" wrapText="1"/>
    </xf>
    <xf numFmtId="14" fontId="5" fillId="15" borderId="357" xfId="0" applyNumberFormat="1" applyFont="1" applyFill="1" applyBorder="1" applyAlignment="1">
      <alignment horizontal="center" vertical="top" wrapText="1"/>
    </xf>
    <xf numFmtId="0" fontId="33" fillId="15" borderId="357" xfId="0" applyFont="1" applyFill="1" applyBorder="1" applyAlignment="1">
      <alignment vertical="top" wrapText="1"/>
    </xf>
    <xf numFmtId="4" fontId="5" fillId="15" borderId="358" xfId="0" applyNumberFormat="1" applyFont="1" applyFill="1" applyBorder="1" applyAlignment="1">
      <alignment vertical="top" wrapText="1"/>
    </xf>
    <xf numFmtId="4" fontId="32" fillId="15" borderId="359" xfId="0" applyNumberFormat="1" applyFont="1" applyFill="1" applyBorder="1" applyAlignment="1">
      <alignment vertical="top" wrapText="1"/>
    </xf>
    <xf numFmtId="4" fontId="33" fillId="15" borderId="357" xfId="0" applyNumberFormat="1" applyFont="1" applyFill="1" applyBorder="1" applyAlignment="1">
      <alignment vertical="top" wrapText="1"/>
    </xf>
    <xf numFmtId="4" fontId="14" fillId="15" borderId="358" xfId="0" applyNumberFormat="1" applyFont="1" applyFill="1" applyBorder="1" applyAlignment="1">
      <alignment vertical="top" wrapText="1"/>
    </xf>
    <xf numFmtId="4" fontId="32" fillId="15" borderId="360" xfId="0" applyNumberFormat="1" applyFont="1" applyFill="1" applyBorder="1" applyAlignment="1">
      <alignment vertical="top" wrapText="1"/>
    </xf>
    <xf numFmtId="4" fontId="28" fillId="15" borderId="357" xfId="0" applyNumberFormat="1" applyFont="1" applyFill="1" applyBorder="1" applyAlignment="1">
      <alignment vertical="top" wrapText="1"/>
    </xf>
    <xf numFmtId="0" fontId="33" fillId="15" borderId="358" xfId="0" applyFont="1" applyFill="1" applyBorder="1" applyAlignment="1">
      <alignment horizontal="center" vertical="top" wrapText="1"/>
    </xf>
    <xf numFmtId="173" fontId="33" fillId="15" borderId="359" xfId="0" applyNumberFormat="1" applyFont="1" applyFill="1" applyBorder="1" applyAlignment="1">
      <alignment horizontal="center" vertical="top" wrapText="1"/>
    </xf>
    <xf numFmtId="40" fontId="33" fillId="15" borderId="358" xfId="0" applyNumberFormat="1" applyFont="1" applyFill="1" applyBorder="1" applyAlignment="1">
      <alignment vertical="top" wrapText="1"/>
    </xf>
    <xf numFmtId="40" fontId="33" fillId="15" borderId="359" xfId="0" applyNumberFormat="1" applyFont="1" applyFill="1" applyBorder="1" applyAlignment="1">
      <alignment vertical="top" wrapText="1"/>
    </xf>
    <xf numFmtId="40" fontId="28" fillId="15" borderId="360" xfId="0" applyNumberFormat="1" applyFont="1" applyFill="1" applyBorder="1" applyAlignment="1">
      <alignment vertical="top" wrapText="1"/>
    </xf>
    <xf numFmtId="0" fontId="32" fillId="15" borderId="361" xfId="0" applyFont="1" applyFill="1" applyBorder="1" applyAlignment="1">
      <alignment vertical="top" wrapText="1"/>
    </xf>
    <xf numFmtId="165" fontId="29" fillId="15" borderId="359" xfId="0" applyNumberFormat="1" applyFont="1" applyFill="1" applyBorder="1" applyAlignment="1">
      <alignment horizontal="center" vertical="top" wrapText="1"/>
    </xf>
    <xf numFmtId="182" fontId="29" fillId="15" borderId="357" xfId="1" applyNumberFormat="1" applyFont="1" applyFill="1" applyBorder="1" applyAlignment="1" applyProtection="1">
      <alignment horizontal="center" vertical="top" wrapText="1"/>
    </xf>
    <xf numFmtId="0" fontId="28" fillId="15" borderId="359" xfId="0" applyFont="1" applyFill="1" applyBorder="1" applyAlignment="1">
      <alignment horizontal="center" vertical="top" wrapText="1"/>
    </xf>
    <xf numFmtId="14" fontId="33" fillId="15" borderId="34" xfId="0" applyNumberFormat="1" applyFont="1" applyFill="1" applyBorder="1" applyAlignment="1">
      <alignment horizontal="center" vertical="top" wrapText="1"/>
    </xf>
    <xf numFmtId="0" fontId="5" fillId="15" borderId="348" xfId="0" applyFont="1" applyFill="1" applyBorder="1" applyAlignment="1">
      <alignment vertical="top" wrapText="1"/>
    </xf>
    <xf numFmtId="184" fontId="5" fillId="15" borderId="23" xfId="0" applyNumberFormat="1" applyFont="1" applyFill="1" applyBorder="1" applyAlignment="1">
      <alignment vertical="top" wrapText="1"/>
    </xf>
    <xf numFmtId="165" fontId="89" fillId="15" borderId="35" xfId="0" applyNumberFormat="1" applyFont="1" applyFill="1" applyBorder="1" applyAlignment="1">
      <alignment horizontal="center" vertical="top" wrapText="1"/>
    </xf>
    <xf numFmtId="182" fontId="89" fillId="15" borderId="35" xfId="1" applyNumberFormat="1" applyFont="1" applyFill="1" applyBorder="1" applyAlignment="1" applyProtection="1">
      <alignment horizontal="center" vertical="top" wrapText="1"/>
    </xf>
    <xf numFmtId="0" fontId="5" fillId="15" borderId="277" xfId="0" applyFont="1" applyFill="1" applyBorder="1" applyAlignment="1">
      <alignment vertical="top" wrapText="1"/>
    </xf>
    <xf numFmtId="0" fontId="14" fillId="15" borderId="353" xfId="0" applyFont="1" applyFill="1" applyBorder="1" applyAlignment="1">
      <alignment horizontal="center" vertical="top" wrapText="1"/>
    </xf>
    <xf numFmtId="0" fontId="14" fillId="15" borderId="354" xfId="0" applyFont="1" applyFill="1" applyBorder="1" applyAlignment="1">
      <alignment horizontal="center" vertical="top" wrapText="1"/>
    </xf>
    <xf numFmtId="14" fontId="5" fillId="15" borderId="354" xfId="0" applyNumberFormat="1" applyFont="1" applyFill="1" applyBorder="1" applyAlignment="1">
      <alignment horizontal="center" vertical="top" wrapText="1"/>
    </xf>
    <xf numFmtId="0" fontId="5" fillId="15" borderId="354" xfId="0" applyFont="1" applyFill="1" applyBorder="1" applyAlignment="1">
      <alignment horizontal="center" vertical="top" wrapText="1"/>
    </xf>
    <xf numFmtId="165" fontId="5" fillId="15" borderId="354" xfId="0" applyNumberFormat="1" applyFont="1" applyFill="1" applyBorder="1" applyAlignment="1">
      <alignment horizontal="center" vertical="top" wrapText="1"/>
    </xf>
    <xf numFmtId="182" fontId="5" fillId="15" borderId="354" xfId="1" applyNumberFormat="1" applyFont="1" applyFill="1" applyBorder="1" applyAlignment="1" applyProtection="1">
      <alignment horizontal="center" vertical="top" wrapText="1"/>
    </xf>
    <xf numFmtId="0" fontId="5" fillId="15" borderId="355" xfId="0" applyFont="1" applyFill="1" applyBorder="1" applyAlignment="1">
      <alignment vertical="top" wrapText="1"/>
    </xf>
    <xf numFmtId="0" fontId="5" fillId="15" borderId="353" xfId="0" applyFont="1" applyFill="1" applyBorder="1" applyAlignment="1">
      <alignment vertical="top" wrapText="1"/>
    </xf>
    <xf numFmtId="0" fontId="5" fillId="15" borderId="354" xfId="0" applyFont="1" applyFill="1" applyBorder="1" applyAlignment="1">
      <alignment vertical="top" wrapText="1"/>
    </xf>
    <xf numFmtId="14" fontId="5" fillId="15" borderId="352" xfId="0" applyNumberFormat="1" applyFont="1" applyFill="1" applyBorder="1" applyAlignment="1">
      <alignment horizontal="center" vertical="top" wrapText="1"/>
    </xf>
    <xf numFmtId="0" fontId="5" fillId="15" borderId="352" xfId="0" applyFont="1" applyFill="1" applyBorder="1" applyAlignment="1">
      <alignment vertical="top" wrapText="1"/>
    </xf>
    <xf numFmtId="0" fontId="33" fillId="15" borderId="353" xfId="0" applyFont="1" applyFill="1" applyBorder="1" applyAlignment="1">
      <alignment vertical="top" wrapText="1"/>
    </xf>
    <xf numFmtId="0" fontId="33" fillId="15" borderId="352" xfId="0" applyFont="1" applyFill="1" applyBorder="1" applyAlignment="1">
      <alignment vertical="top" wrapText="1"/>
    </xf>
    <xf numFmtId="4" fontId="5" fillId="15" borderId="353" xfId="0" applyNumberFormat="1" applyFont="1" applyFill="1" applyBorder="1" applyAlignment="1">
      <alignment vertical="top" wrapText="1"/>
    </xf>
    <xf numFmtId="4" fontId="32" fillId="15" borderId="354" xfId="0" applyNumberFormat="1" applyFont="1" applyFill="1" applyBorder="1" applyAlignment="1">
      <alignment vertical="top" wrapText="1"/>
    </xf>
    <xf numFmtId="4" fontId="33" fillId="15" borderId="352" xfId="0" applyNumberFormat="1" applyFont="1" applyFill="1" applyBorder="1" applyAlignment="1">
      <alignment vertical="top" wrapText="1"/>
    </xf>
    <xf numFmtId="4" fontId="14" fillId="15" borderId="353" xfId="0" applyNumberFormat="1" applyFont="1" applyFill="1" applyBorder="1" applyAlignment="1">
      <alignment vertical="top" wrapText="1"/>
    </xf>
    <xf numFmtId="4" fontId="32" fillId="15" borderId="355" xfId="0" applyNumberFormat="1" applyFont="1" applyFill="1" applyBorder="1" applyAlignment="1">
      <alignment vertical="top" wrapText="1"/>
    </xf>
    <xf numFmtId="4" fontId="28" fillId="15" borderId="352" xfId="0" applyNumberFormat="1" applyFont="1" applyFill="1" applyBorder="1" applyAlignment="1">
      <alignment vertical="top" wrapText="1"/>
    </xf>
    <xf numFmtId="0" fontId="28" fillId="15" borderId="353" xfId="0" applyFont="1" applyFill="1" applyBorder="1" applyAlignment="1">
      <alignment horizontal="center" vertical="top" wrapText="1"/>
    </xf>
    <xf numFmtId="173" fontId="28" fillId="15" borderId="354" xfId="0" applyNumberFormat="1" applyFont="1" applyFill="1" applyBorder="1" applyAlignment="1">
      <alignment horizontal="center" vertical="top" wrapText="1"/>
    </xf>
    <xf numFmtId="0" fontId="28" fillId="15" borderId="354" xfId="0" applyFont="1" applyFill="1" applyBorder="1" applyAlignment="1">
      <alignment horizontal="center" vertical="top" wrapText="1"/>
    </xf>
    <xf numFmtId="40" fontId="33" fillId="15" borderId="353" xfId="0" applyNumberFormat="1" applyFont="1" applyFill="1" applyBorder="1" applyAlignment="1">
      <alignment vertical="top" wrapText="1"/>
    </xf>
    <xf numFmtId="40" fontId="33" fillId="15" borderId="354" xfId="0" applyNumberFormat="1" applyFont="1" applyFill="1" applyBorder="1" applyAlignment="1">
      <alignment vertical="top" wrapText="1"/>
    </xf>
    <xf numFmtId="40" fontId="28" fillId="15" borderId="368" xfId="0" applyNumberFormat="1" applyFont="1" applyFill="1" applyBorder="1" applyAlignment="1">
      <alignment vertical="top" wrapText="1"/>
    </xf>
    <xf numFmtId="0" fontId="5" fillId="15" borderId="356" xfId="0" applyFont="1" applyFill="1" applyBorder="1" applyAlignment="1">
      <alignment vertical="top" wrapText="1"/>
    </xf>
    <xf numFmtId="0" fontId="32" fillId="0" borderId="279" xfId="0" applyFont="1" applyBorder="1" applyAlignment="1">
      <alignment vertical="top" wrapText="1"/>
    </xf>
    <xf numFmtId="0" fontId="26" fillId="15" borderId="52" xfId="0" applyFont="1" applyFill="1" applyBorder="1" applyAlignment="1">
      <alignment horizontal="center" vertical="top" wrapText="1"/>
    </xf>
    <xf numFmtId="0" fontId="14" fillId="0" borderId="279" xfId="0" applyFont="1" applyBorder="1" applyAlignment="1">
      <alignment horizontal="center" vertical="top" wrapText="1"/>
    </xf>
    <xf numFmtId="0" fontId="5" fillId="0" borderId="277" xfId="0" applyFont="1" applyBorder="1" applyAlignment="1">
      <alignment vertical="top" wrapText="1"/>
    </xf>
    <xf numFmtId="165" fontId="29" fillId="0" borderId="284" xfId="0" applyNumberFormat="1" applyFont="1" applyBorder="1" applyAlignment="1">
      <alignment horizontal="center" vertical="top" wrapText="1"/>
    </xf>
    <xf numFmtId="182" fontId="29" fillId="0" borderId="277" xfId="1" applyNumberFormat="1" applyFont="1" applyFill="1" applyBorder="1" applyAlignment="1" applyProtection="1">
      <alignment horizontal="center" vertical="top" wrapText="1"/>
    </xf>
    <xf numFmtId="40" fontId="28" fillId="0" borderId="286" xfId="0" applyNumberFormat="1" applyFont="1" applyBorder="1" applyAlignment="1">
      <alignment vertical="top" wrapText="1"/>
    </xf>
    <xf numFmtId="0" fontId="5" fillId="15" borderId="366" xfId="0" applyFont="1" applyFill="1" applyBorder="1" applyAlignment="1">
      <alignment horizontal="center" vertical="top" wrapText="1"/>
    </xf>
    <xf numFmtId="0" fontId="14" fillId="15" borderId="366" xfId="0" applyFont="1" applyFill="1" applyBorder="1" applyAlignment="1">
      <alignment horizontal="center" vertical="top" wrapText="1"/>
    </xf>
    <xf numFmtId="14" fontId="5" fillId="15" borderId="366" xfId="0" applyNumberFormat="1" applyFont="1" applyFill="1" applyBorder="1" applyAlignment="1">
      <alignment horizontal="center" vertical="top" wrapText="1"/>
    </xf>
    <xf numFmtId="0" fontId="5" fillId="15" borderId="364" xfId="0" applyFont="1" applyFill="1" applyBorder="1" applyAlignment="1">
      <alignment vertical="top" wrapText="1"/>
    </xf>
    <xf numFmtId="0" fontId="5" fillId="15" borderId="366" xfId="0" applyFont="1" applyFill="1" applyBorder="1" applyAlignment="1">
      <alignment vertical="top" wrapText="1"/>
    </xf>
    <xf numFmtId="14" fontId="5" fillId="15" borderId="362" xfId="0" applyNumberFormat="1" applyFont="1" applyFill="1" applyBorder="1" applyAlignment="1">
      <alignment horizontal="center" vertical="top" wrapText="1"/>
    </xf>
    <xf numFmtId="0" fontId="5" fillId="15" borderId="362" xfId="0" applyFont="1" applyFill="1" applyBorder="1" applyAlignment="1">
      <alignment vertical="top" wrapText="1"/>
    </xf>
    <xf numFmtId="0" fontId="33" fillId="15" borderId="362" xfId="0" applyFont="1" applyFill="1" applyBorder="1" applyAlignment="1">
      <alignment vertical="top" wrapText="1"/>
    </xf>
    <xf numFmtId="4" fontId="5" fillId="15" borderId="317" xfId="0" applyNumberFormat="1" applyFont="1" applyFill="1" applyBorder="1" applyAlignment="1">
      <alignment vertical="top" wrapText="1"/>
    </xf>
    <xf numFmtId="4" fontId="33" fillId="15" borderId="365" xfId="0" applyNumberFormat="1" applyFont="1" applyFill="1" applyBorder="1" applyAlignment="1">
      <alignment vertical="top" wrapText="1"/>
    </xf>
    <xf numFmtId="4" fontId="5" fillId="15" borderId="365" xfId="0" applyNumberFormat="1" applyFont="1" applyFill="1" applyBorder="1" applyAlignment="1">
      <alignment vertical="top" wrapText="1"/>
    </xf>
    <xf numFmtId="0" fontId="28" fillId="15" borderId="364" xfId="0" applyFont="1" applyFill="1" applyBorder="1" applyAlignment="1">
      <alignment horizontal="center" vertical="top" wrapText="1"/>
    </xf>
    <xf numFmtId="173" fontId="28" fillId="15" borderId="366" xfId="0" applyNumberFormat="1" applyFont="1" applyFill="1" applyBorder="1" applyAlignment="1">
      <alignment horizontal="center" vertical="top" wrapText="1"/>
    </xf>
    <xf numFmtId="0" fontId="28" fillId="15" borderId="366" xfId="0" applyFont="1" applyFill="1" applyBorder="1" applyAlignment="1">
      <alignment horizontal="center" vertical="top" wrapText="1"/>
    </xf>
    <xf numFmtId="0" fontId="5" fillId="15" borderId="363" xfId="0" applyFont="1" applyFill="1" applyBorder="1" applyAlignment="1">
      <alignment vertical="top" wrapText="1"/>
    </xf>
    <xf numFmtId="40" fontId="32" fillId="0" borderId="63" xfId="0" applyNumberFormat="1" applyFont="1" applyBorder="1" applyAlignment="1">
      <alignment vertical="top" wrapText="1"/>
    </xf>
    <xf numFmtId="40" fontId="32" fillId="0" borderId="23" xfId="0" applyNumberFormat="1" applyFont="1" applyBorder="1" applyAlignment="1">
      <alignment vertical="top" wrapText="1"/>
    </xf>
    <xf numFmtId="0" fontId="14" fillId="0" borderId="370" xfId="0" applyFont="1" applyBorder="1" applyAlignment="1">
      <alignment horizontal="center" vertical="top" wrapText="1"/>
    </xf>
    <xf numFmtId="14" fontId="5" fillId="0" borderId="370" xfId="0" applyNumberFormat="1" applyFont="1" applyBorder="1" applyAlignment="1">
      <alignment horizontal="center" vertical="top" wrapText="1"/>
    </xf>
    <xf numFmtId="0" fontId="5" fillId="0" borderId="370" xfId="0" applyFont="1" applyBorder="1" applyAlignment="1">
      <alignment horizontal="center" vertical="top" wrapText="1"/>
    </xf>
    <xf numFmtId="165" fontId="5" fillId="0" borderId="370" xfId="0" applyNumberFormat="1" applyFont="1" applyBorder="1" applyAlignment="1">
      <alignment horizontal="center" vertical="top" wrapText="1"/>
    </xf>
    <xf numFmtId="182" fontId="5" fillId="0" borderId="370" xfId="1" applyNumberFormat="1" applyFont="1" applyFill="1" applyBorder="1" applyAlignment="1" applyProtection="1">
      <alignment horizontal="center" vertical="top" wrapText="1"/>
    </xf>
    <xf numFmtId="0" fontId="5" fillId="0" borderId="369" xfId="0" applyFont="1" applyBorder="1" applyAlignment="1">
      <alignment vertical="top" wrapText="1"/>
    </xf>
    <xf numFmtId="184" fontId="5" fillId="0" borderId="370" xfId="0" applyNumberFormat="1" applyFont="1" applyBorder="1" applyAlignment="1">
      <alignment vertical="top" wrapText="1"/>
    </xf>
    <xf numFmtId="0" fontId="5" fillId="0" borderId="369" xfId="0" applyFont="1" applyBorder="1" applyAlignment="1">
      <alignment horizontal="center" vertical="top" wrapText="1"/>
    </xf>
    <xf numFmtId="0" fontId="5" fillId="0" borderId="370" xfId="0" applyFont="1" applyBorder="1" applyAlignment="1">
      <alignment vertical="top" wrapText="1"/>
    </xf>
    <xf numFmtId="0" fontId="33" fillId="0" borderId="369" xfId="0" applyFont="1" applyBorder="1" applyAlignment="1">
      <alignment vertical="top" wrapText="1"/>
    </xf>
    <xf numFmtId="4" fontId="32" fillId="0" borderId="370" xfId="0" applyNumberFormat="1" applyFont="1" applyBorder="1" applyAlignment="1">
      <alignment vertical="top" wrapText="1"/>
    </xf>
    <xf numFmtId="4" fontId="33" fillId="0" borderId="369" xfId="0" applyNumberFormat="1" applyFont="1" applyBorder="1" applyAlignment="1">
      <alignment vertical="top" wrapText="1"/>
    </xf>
    <xf numFmtId="4" fontId="32" fillId="0" borderId="371" xfId="0" applyNumberFormat="1" applyFont="1" applyBorder="1" applyAlignment="1">
      <alignment vertical="top" wrapText="1"/>
    </xf>
    <xf numFmtId="4" fontId="28" fillId="0" borderId="369" xfId="0" applyNumberFormat="1" applyFont="1" applyBorder="1" applyAlignment="1">
      <alignment vertical="top" wrapText="1"/>
    </xf>
    <xf numFmtId="0" fontId="28" fillId="0" borderId="353" xfId="0" applyFont="1" applyBorder="1" applyAlignment="1">
      <alignment horizontal="center" vertical="top" wrapText="1"/>
    </xf>
    <xf numFmtId="173" fontId="28" fillId="0" borderId="370" xfId="0" applyNumberFormat="1" applyFont="1" applyBorder="1" applyAlignment="1">
      <alignment horizontal="center" vertical="top" wrapText="1"/>
    </xf>
    <xf numFmtId="0" fontId="28" fillId="0" borderId="370" xfId="0" applyFont="1" applyBorder="1" applyAlignment="1">
      <alignment horizontal="center" vertical="top" wrapText="1"/>
    </xf>
    <xf numFmtId="165" fontId="29" fillId="0" borderId="370" xfId="0" applyNumberFormat="1" applyFont="1" applyBorder="1" applyAlignment="1">
      <alignment horizontal="center" vertical="top" wrapText="1"/>
    </xf>
    <xf numFmtId="182" fontId="29" fillId="0" borderId="369" xfId="1" applyNumberFormat="1" applyFont="1" applyFill="1" applyBorder="1" applyAlignment="1" applyProtection="1">
      <alignment horizontal="center" vertical="top" wrapText="1"/>
    </xf>
    <xf numFmtId="40" fontId="33" fillId="0" borderId="370" xfId="0" applyNumberFormat="1" applyFont="1" applyBorder="1" applyAlignment="1">
      <alignment vertical="top" wrapText="1"/>
    </xf>
    <xf numFmtId="40" fontId="28" fillId="0" borderId="371" xfId="0" applyNumberFormat="1" applyFont="1" applyBorder="1" applyAlignment="1">
      <alignment vertical="top" wrapText="1"/>
    </xf>
    <xf numFmtId="0" fontId="25" fillId="15" borderId="316" xfId="0" applyFont="1" applyFill="1" applyBorder="1" applyAlignment="1">
      <alignment vertical="top" wrapText="1"/>
    </xf>
    <xf numFmtId="0" fontId="26" fillId="15" borderId="316" xfId="0" applyFont="1" applyFill="1" applyBorder="1" applyAlignment="1">
      <alignment horizontal="center" vertical="top" wrapText="1"/>
    </xf>
    <xf numFmtId="49" fontId="6" fillId="15" borderId="315" xfId="0" applyNumberFormat="1" applyFont="1" applyFill="1" applyBorder="1" applyAlignment="1">
      <alignment horizontal="left" vertical="top"/>
    </xf>
    <xf numFmtId="0" fontId="7" fillId="15" borderId="316" xfId="0" applyFont="1" applyFill="1" applyBorder="1" applyAlignment="1">
      <alignment vertical="top" wrapText="1"/>
    </xf>
    <xf numFmtId="0" fontId="7" fillId="15" borderId="317" xfId="0" applyFont="1" applyFill="1" applyBorder="1" applyAlignment="1">
      <alignment vertical="top" wrapText="1"/>
    </xf>
    <xf numFmtId="0" fontId="7" fillId="15" borderId="318" xfId="0" applyFont="1" applyFill="1" applyBorder="1" applyAlignment="1">
      <alignment vertical="top" wrapText="1"/>
    </xf>
    <xf numFmtId="0" fontId="7" fillId="15" borderId="319" xfId="0" applyFont="1" applyFill="1" applyBorder="1" applyAlignment="1">
      <alignment vertical="top" wrapText="1"/>
    </xf>
    <xf numFmtId="44" fontId="7" fillId="15" borderId="317" xfId="0" applyNumberFormat="1" applyFont="1" applyFill="1" applyBorder="1" applyAlignment="1">
      <alignment vertical="top"/>
    </xf>
    <xf numFmtId="0" fontId="7" fillId="15" borderId="318" xfId="0" applyFont="1" applyFill="1" applyBorder="1" applyAlignment="1">
      <alignment vertical="top"/>
    </xf>
    <xf numFmtId="44" fontId="6" fillId="15" borderId="317" xfId="0" applyNumberFormat="1" applyFont="1" applyFill="1" applyBorder="1" applyAlignment="1">
      <alignment vertical="top"/>
    </xf>
    <xf numFmtId="0" fontId="6" fillId="15" borderId="318" xfId="0" applyFont="1" applyFill="1" applyBorder="1" applyAlignment="1">
      <alignment horizontal="left" vertical="top"/>
    </xf>
    <xf numFmtId="0" fontId="7" fillId="15" borderId="318" xfId="0" applyFont="1" applyFill="1" applyBorder="1" applyAlignment="1">
      <alignment horizontal="left" vertical="top"/>
    </xf>
    <xf numFmtId="0" fontId="7" fillId="15" borderId="319" xfId="0" applyFont="1" applyFill="1" applyBorder="1" applyAlignment="1">
      <alignment vertical="top"/>
    </xf>
    <xf numFmtId="166" fontId="7" fillId="15" borderId="315" xfId="0" applyNumberFormat="1" applyFont="1" applyFill="1" applyBorder="1" applyAlignment="1">
      <alignment horizontal="left" vertical="top" wrapText="1"/>
    </xf>
    <xf numFmtId="166" fontId="7" fillId="15" borderId="319" xfId="0" applyNumberFormat="1" applyFont="1" applyFill="1" applyBorder="1" applyAlignment="1">
      <alignment horizontal="center" vertical="top"/>
    </xf>
    <xf numFmtId="166" fontId="7" fillId="15" borderId="318" xfId="0" applyNumberFormat="1" applyFont="1" applyFill="1" applyBorder="1" applyAlignment="1">
      <alignment horizontal="center" vertical="top"/>
    </xf>
    <xf numFmtId="0" fontId="26" fillId="15" borderId="315" xfId="0" applyFont="1" applyFill="1" applyBorder="1" applyAlignment="1">
      <alignment horizontal="center" vertical="top"/>
    </xf>
    <xf numFmtId="44" fontId="25" fillId="15" borderId="317" xfId="2" applyFont="1" applyFill="1" applyBorder="1" applyAlignment="1" applyProtection="1">
      <alignment vertical="top"/>
    </xf>
    <xf numFmtId="0" fontId="25" fillId="15" borderId="318" xfId="0" applyFont="1" applyFill="1" applyBorder="1" applyAlignment="1">
      <alignment vertical="top"/>
    </xf>
    <xf numFmtId="44" fontId="25" fillId="15" borderId="315" xfId="0" applyNumberFormat="1" applyFont="1" applyFill="1" applyBorder="1" applyAlignment="1">
      <alignment vertical="top"/>
    </xf>
    <xf numFmtId="44" fontId="25" fillId="15" borderId="317" xfId="0" applyNumberFormat="1" applyFont="1" applyFill="1" applyBorder="1" applyAlignment="1">
      <alignment vertical="top"/>
    </xf>
    <xf numFmtId="0" fontId="25" fillId="15" borderId="318" xfId="0" applyFont="1" applyFill="1" applyBorder="1" applyAlignment="1">
      <alignment vertical="top" wrapText="1"/>
    </xf>
    <xf numFmtId="0" fontId="25" fillId="15" borderId="319" xfId="0" applyFont="1" applyFill="1" applyBorder="1" applyAlignment="1">
      <alignment vertical="top"/>
    </xf>
    <xf numFmtId="44" fontId="26" fillId="15" borderId="316" xfId="2" applyFont="1" applyFill="1" applyBorder="1" applyAlignment="1" applyProtection="1">
      <alignment horizontal="left" vertical="top" wrapText="1"/>
    </xf>
    <xf numFmtId="15" fontId="26" fillId="15" borderId="319" xfId="0" applyNumberFormat="1" applyFont="1" applyFill="1" applyBorder="1" applyAlignment="1">
      <alignment horizontal="center" vertical="top"/>
    </xf>
    <xf numFmtId="0" fontId="26" fillId="15" borderId="318" xfId="0" applyFont="1" applyFill="1" applyBorder="1" applyAlignment="1">
      <alignment horizontal="right" vertical="top"/>
    </xf>
    <xf numFmtId="0" fontId="25" fillId="15" borderId="90" xfId="0" applyFont="1" applyFill="1" applyBorder="1" applyAlignment="1">
      <alignment vertical="top" wrapText="1"/>
    </xf>
    <xf numFmtId="0" fontId="7" fillId="15" borderId="23" xfId="0" applyFont="1" applyFill="1" applyBorder="1" applyAlignment="1">
      <alignment vertical="top" wrapText="1"/>
    </xf>
    <xf numFmtId="44" fontId="25" fillId="15" borderId="90" xfId="0" applyNumberFormat="1" applyFont="1" applyFill="1" applyBorder="1" applyAlignment="1">
      <alignment vertical="top" wrapText="1"/>
    </xf>
    <xf numFmtId="44" fontId="26" fillId="15" borderId="90" xfId="0" applyNumberFormat="1" applyFont="1" applyFill="1" applyBorder="1" applyAlignment="1">
      <alignment vertical="top" wrapText="1"/>
    </xf>
    <xf numFmtId="44" fontId="7" fillId="15" borderId="90" xfId="0" applyNumberFormat="1" applyFont="1" applyFill="1" applyBorder="1" applyAlignment="1">
      <alignment vertical="top" wrapText="1"/>
    </xf>
    <xf numFmtId="0" fontId="7" fillId="15" borderId="105" xfId="0" applyFont="1" applyFill="1" applyBorder="1" applyAlignment="1">
      <alignment horizontal="left" vertical="top" wrapText="1"/>
    </xf>
    <xf numFmtId="0" fontId="7" fillId="15" borderId="105" xfId="0" applyFont="1" applyFill="1" applyBorder="1" applyAlignment="1">
      <alignment vertical="top" wrapText="1"/>
    </xf>
    <xf numFmtId="0" fontId="7" fillId="15" borderId="107" xfId="0" applyFont="1" applyFill="1" applyBorder="1" applyAlignment="1">
      <alignment vertical="top" wrapText="1"/>
    </xf>
    <xf numFmtId="0" fontId="26" fillId="15" borderId="106" xfId="0" applyFont="1" applyFill="1" applyBorder="1" applyAlignment="1">
      <alignment horizontal="center" vertical="top" wrapText="1"/>
    </xf>
    <xf numFmtId="44" fontId="25" fillId="15" borderId="90" xfId="2" applyFont="1" applyFill="1" applyBorder="1" applyAlignment="1" applyProtection="1">
      <alignment vertical="top" wrapText="1"/>
    </xf>
    <xf numFmtId="0" fontId="25" fillId="15" borderId="105" xfId="0" applyFont="1" applyFill="1" applyBorder="1" applyAlignment="1">
      <alignment vertical="top" wrapText="1"/>
    </xf>
    <xf numFmtId="44" fontId="25" fillId="15" borderId="106" xfId="0" applyNumberFormat="1" applyFont="1" applyFill="1" applyBorder="1" applyAlignment="1">
      <alignment vertical="top" wrapText="1"/>
    </xf>
    <xf numFmtId="0" fontId="25" fillId="15" borderId="107" xfId="0" applyFont="1" applyFill="1" applyBorder="1" applyAlignment="1">
      <alignment vertical="top" wrapText="1"/>
    </xf>
    <xf numFmtId="17" fontId="25" fillId="15" borderId="105" xfId="0" applyNumberFormat="1" applyFont="1" applyFill="1" applyBorder="1" applyAlignment="1">
      <alignment vertical="top" wrapText="1"/>
    </xf>
    <xf numFmtId="15" fontId="26" fillId="15" borderId="107" xfId="0" applyNumberFormat="1" applyFont="1" applyFill="1" applyBorder="1" applyAlignment="1">
      <alignment horizontal="center" vertical="top" wrapText="1"/>
    </xf>
    <xf numFmtId="0" fontId="26" fillId="15" borderId="105" xfId="0" applyFont="1" applyFill="1" applyBorder="1" applyAlignment="1">
      <alignment horizontal="right" vertical="top" wrapText="1"/>
    </xf>
    <xf numFmtId="14" fontId="33" fillId="15" borderId="23" xfId="0" applyNumberFormat="1" applyFont="1" applyFill="1" applyBorder="1" applyAlignment="1">
      <alignment horizontal="center" vertical="top" wrapText="1"/>
    </xf>
    <xf numFmtId="182" fontId="33" fillId="15" borderId="23" xfId="1" applyNumberFormat="1" applyFont="1" applyFill="1" applyBorder="1" applyAlignment="1" applyProtection="1">
      <alignment horizontal="center" vertical="top" wrapText="1"/>
    </xf>
    <xf numFmtId="0" fontId="5" fillId="15" borderId="119" xfId="0" applyFont="1" applyFill="1" applyBorder="1" applyAlignment="1">
      <alignment vertical="top" wrapText="1"/>
    </xf>
    <xf numFmtId="14" fontId="5" fillId="15" borderId="236" xfId="0" applyNumberFormat="1" applyFont="1" applyFill="1" applyBorder="1" applyAlignment="1">
      <alignment horizontal="center" vertical="top" wrapText="1"/>
    </xf>
    <xf numFmtId="0" fontId="89" fillId="15" borderId="63" xfId="0" applyFont="1" applyFill="1" applyBorder="1" applyAlignment="1">
      <alignment vertical="top" wrapText="1"/>
    </xf>
    <xf numFmtId="0" fontId="32" fillId="15" borderId="63" xfId="0" applyFont="1" applyFill="1" applyBorder="1" applyAlignment="1">
      <alignment horizontal="center" vertical="top" wrapText="1"/>
    </xf>
    <xf numFmtId="173" fontId="32" fillId="15" borderId="23" xfId="0" applyNumberFormat="1" applyFont="1" applyFill="1" applyBorder="1" applyAlignment="1">
      <alignment horizontal="center" vertical="top" wrapText="1"/>
    </xf>
    <xf numFmtId="0" fontId="33" fillId="15" borderId="23" xfId="0" applyFont="1" applyFill="1" applyBorder="1" applyAlignment="1">
      <alignment horizontal="center" vertical="top" wrapText="1"/>
    </xf>
    <xf numFmtId="0" fontId="32" fillId="15" borderId="279" xfId="0" applyFont="1" applyFill="1" applyBorder="1" applyAlignment="1">
      <alignment vertical="top" wrapText="1"/>
    </xf>
    <xf numFmtId="15" fontId="25" fillId="15" borderId="107" xfId="0" applyNumberFormat="1" applyFont="1" applyFill="1" applyBorder="1" applyAlignment="1">
      <alignment horizontal="center" vertical="top" wrapText="1"/>
    </xf>
    <xf numFmtId="165" fontId="32" fillId="21" borderId="35" xfId="0" applyNumberFormat="1" applyFont="1" applyFill="1" applyBorder="1" applyAlignment="1">
      <alignment horizontal="center" vertical="top" wrapText="1"/>
    </xf>
    <xf numFmtId="182" fontId="32" fillId="21" borderId="35" xfId="1" applyNumberFormat="1" applyFont="1" applyFill="1" applyBorder="1" applyAlignment="1" applyProtection="1">
      <alignment horizontal="center" vertical="top" wrapText="1"/>
    </xf>
    <xf numFmtId="0" fontId="25" fillId="15" borderId="63" xfId="0" applyFont="1" applyFill="1" applyBorder="1" applyAlignment="1" applyProtection="1">
      <alignment horizontal="center" vertical="top" wrapText="1"/>
      <protection locked="0"/>
    </xf>
    <xf numFmtId="0" fontId="25" fillId="15" borderId="63" xfId="0" applyFont="1" applyFill="1" applyBorder="1" applyAlignment="1">
      <alignment horizontal="center" vertical="top" wrapText="1"/>
    </xf>
    <xf numFmtId="0" fontId="14" fillId="15" borderId="370" xfId="0" applyFont="1" applyFill="1" applyBorder="1" applyAlignment="1">
      <alignment horizontal="center" vertical="top" wrapText="1"/>
    </xf>
    <xf numFmtId="14" fontId="5" fillId="15" borderId="370" xfId="0" applyNumberFormat="1" applyFont="1" applyFill="1" applyBorder="1" applyAlignment="1">
      <alignment horizontal="center" vertical="top" wrapText="1"/>
    </xf>
    <xf numFmtId="0" fontId="5" fillId="15" borderId="370" xfId="0" applyFont="1" applyFill="1" applyBorder="1" applyAlignment="1">
      <alignment horizontal="center" vertical="top" wrapText="1"/>
    </xf>
    <xf numFmtId="165" fontId="5" fillId="15" borderId="370" xfId="0" applyNumberFormat="1" applyFont="1" applyFill="1" applyBorder="1" applyAlignment="1">
      <alignment horizontal="center" vertical="top" wrapText="1"/>
    </xf>
    <xf numFmtId="182" fontId="5" fillId="15" borderId="370" xfId="1" applyNumberFormat="1" applyFont="1" applyFill="1" applyBorder="1" applyAlignment="1" applyProtection="1">
      <alignment horizontal="center" vertical="top" wrapText="1"/>
    </xf>
    <xf numFmtId="0" fontId="5" fillId="15" borderId="369" xfId="0" applyFont="1" applyFill="1" applyBorder="1" applyAlignment="1">
      <alignment vertical="top" wrapText="1"/>
    </xf>
    <xf numFmtId="0" fontId="5" fillId="15" borderId="370" xfId="0" applyFont="1" applyFill="1" applyBorder="1" applyAlignment="1">
      <alignment vertical="top" wrapText="1"/>
    </xf>
    <xf numFmtId="14" fontId="5" fillId="15" borderId="369" xfId="0" applyNumberFormat="1" applyFont="1" applyFill="1" applyBorder="1" applyAlignment="1">
      <alignment horizontal="center" vertical="top" wrapText="1"/>
    </xf>
    <xf numFmtId="0" fontId="33" fillId="15" borderId="369" xfId="0" applyFont="1" applyFill="1" applyBorder="1" applyAlignment="1">
      <alignment vertical="top" wrapText="1"/>
    </xf>
    <xf numFmtId="4" fontId="32" fillId="15" borderId="370" xfId="0" applyNumberFormat="1" applyFont="1" applyFill="1" applyBorder="1" applyAlignment="1">
      <alignment vertical="top" wrapText="1"/>
    </xf>
    <xf numFmtId="4" fontId="33" fillId="15" borderId="369" xfId="0" applyNumberFormat="1" applyFont="1" applyFill="1" applyBorder="1" applyAlignment="1">
      <alignment vertical="top" wrapText="1"/>
    </xf>
    <xf numFmtId="4" fontId="32" fillId="15" borderId="371" xfId="0" applyNumberFormat="1" applyFont="1" applyFill="1" applyBorder="1" applyAlignment="1">
      <alignment vertical="top" wrapText="1"/>
    </xf>
    <xf numFmtId="4" fontId="28" fillId="15" borderId="369" xfId="0" applyNumberFormat="1" applyFont="1" applyFill="1" applyBorder="1" applyAlignment="1">
      <alignment vertical="top" wrapText="1"/>
    </xf>
    <xf numFmtId="173" fontId="28" fillId="15" borderId="370" xfId="0" applyNumberFormat="1" applyFont="1" applyFill="1" applyBorder="1" applyAlignment="1">
      <alignment horizontal="center" vertical="top" wrapText="1"/>
    </xf>
    <xf numFmtId="0" fontId="28" fillId="15" borderId="370" xfId="0" applyFont="1" applyFill="1" applyBorder="1" applyAlignment="1">
      <alignment horizontal="center" vertical="top" wrapText="1"/>
    </xf>
    <xf numFmtId="40" fontId="33" fillId="15" borderId="370" xfId="0" applyNumberFormat="1" applyFont="1" applyFill="1" applyBorder="1" applyAlignment="1">
      <alignment vertical="top" wrapText="1"/>
    </xf>
    <xf numFmtId="40" fontId="28" fillId="15" borderId="371" xfId="0" applyNumberFormat="1" applyFont="1" applyFill="1" applyBorder="1" applyAlignment="1">
      <alignment vertical="top" wrapText="1"/>
    </xf>
    <xf numFmtId="0" fontId="25" fillId="15" borderId="373" xfId="0" applyFont="1" applyFill="1" applyBorder="1" applyAlignment="1">
      <alignment vertical="top" wrapText="1"/>
    </xf>
    <xf numFmtId="0" fontId="26" fillId="15" borderId="373" xfId="0" applyFont="1" applyFill="1" applyBorder="1" applyAlignment="1">
      <alignment horizontal="center" vertical="top" wrapText="1"/>
    </xf>
    <xf numFmtId="49" fontId="6" fillId="15" borderId="374" xfId="0" applyNumberFormat="1" applyFont="1" applyFill="1" applyBorder="1" applyAlignment="1">
      <alignment horizontal="left" vertical="top" wrapText="1"/>
    </xf>
    <xf numFmtId="0" fontId="7" fillId="15" borderId="373" xfId="0" applyFont="1" applyFill="1" applyBorder="1" applyAlignment="1">
      <alignment vertical="top" wrapText="1"/>
    </xf>
    <xf numFmtId="0" fontId="7" fillId="15" borderId="375" xfId="0" applyFont="1" applyFill="1" applyBorder="1" applyAlignment="1">
      <alignment vertical="top" wrapText="1"/>
    </xf>
    <xf numFmtId="0" fontId="7" fillId="15" borderId="376" xfId="0" applyFont="1" applyFill="1" applyBorder="1" applyAlignment="1">
      <alignment vertical="top" wrapText="1"/>
    </xf>
    <xf numFmtId="0" fontId="7" fillId="15" borderId="377" xfId="0" applyFont="1" applyFill="1" applyBorder="1" applyAlignment="1">
      <alignment vertical="top" wrapText="1"/>
    </xf>
    <xf numFmtId="44" fontId="7" fillId="15" borderId="375" xfId="0" applyNumberFormat="1" applyFont="1" applyFill="1" applyBorder="1" applyAlignment="1">
      <alignment vertical="top"/>
    </xf>
    <xf numFmtId="0" fontId="7" fillId="15" borderId="376" xfId="0" applyFont="1" applyFill="1" applyBorder="1" applyAlignment="1">
      <alignment vertical="top"/>
    </xf>
    <xf numFmtId="44" fontId="6" fillId="15" borderId="375" xfId="0" applyNumberFormat="1" applyFont="1" applyFill="1" applyBorder="1" applyAlignment="1">
      <alignment vertical="top"/>
    </xf>
    <xf numFmtId="0" fontId="6" fillId="15" borderId="376" xfId="0" applyFont="1" applyFill="1" applyBorder="1" applyAlignment="1">
      <alignment horizontal="left" vertical="top"/>
    </xf>
    <xf numFmtId="0" fontId="7" fillId="15" borderId="376" xfId="0" applyFont="1" applyFill="1" applyBorder="1" applyAlignment="1">
      <alignment horizontal="left" vertical="top"/>
    </xf>
    <xf numFmtId="44" fontId="7" fillId="10" borderId="375" xfId="0" applyNumberFormat="1" applyFont="1" applyFill="1" applyBorder="1" applyAlignment="1">
      <alignment vertical="top"/>
    </xf>
    <xf numFmtId="0" fontId="7" fillId="10" borderId="376" xfId="0" applyFont="1" applyFill="1" applyBorder="1" applyAlignment="1">
      <alignment horizontal="right" vertical="top"/>
    </xf>
    <xf numFmtId="0" fontId="7" fillId="10" borderId="376" xfId="0" applyFont="1" applyFill="1" applyBorder="1" applyAlignment="1">
      <alignment horizontal="left" vertical="top"/>
    </xf>
    <xf numFmtId="0" fontId="7" fillId="15" borderId="377" xfId="0" applyFont="1" applyFill="1" applyBorder="1" applyAlignment="1">
      <alignment vertical="top"/>
    </xf>
    <xf numFmtId="166" fontId="7" fillId="10" borderId="374" xfId="0" applyNumberFormat="1" applyFont="1" applyFill="1" applyBorder="1" applyAlignment="1">
      <alignment horizontal="left" vertical="top" wrapText="1"/>
    </xf>
    <xf numFmtId="166" fontId="7" fillId="10" borderId="377" xfId="0" applyNumberFormat="1" applyFont="1" applyFill="1" applyBorder="1" applyAlignment="1">
      <alignment horizontal="center" vertical="top"/>
    </xf>
    <xf numFmtId="166" fontId="7" fillId="10" borderId="376" xfId="0" applyNumberFormat="1" applyFont="1" applyFill="1" applyBorder="1" applyAlignment="1">
      <alignment horizontal="center" vertical="top"/>
    </xf>
    <xf numFmtId="0" fontId="26" fillId="15" borderId="374" xfId="0" applyFont="1" applyFill="1" applyBorder="1" applyAlignment="1">
      <alignment horizontal="center" vertical="top"/>
    </xf>
    <xf numFmtId="15" fontId="25" fillId="15" borderId="377" xfId="0" applyNumberFormat="1" applyFont="1" applyFill="1" applyBorder="1" applyAlignment="1">
      <alignment horizontal="center" vertical="top"/>
    </xf>
    <xf numFmtId="0" fontId="26" fillId="15" borderId="376" xfId="0" applyFont="1" applyFill="1" applyBorder="1" applyAlignment="1">
      <alignment horizontal="center" vertical="top"/>
    </xf>
    <xf numFmtId="44" fontId="25" fillId="15" borderId="375" xfId="2" applyFont="1" applyFill="1" applyBorder="1" applyAlignment="1" applyProtection="1">
      <alignment vertical="top"/>
    </xf>
    <xf numFmtId="0" fontId="25" fillId="15" borderId="376" xfId="0" applyFont="1" applyFill="1" applyBorder="1" applyAlignment="1">
      <alignment vertical="top"/>
    </xf>
    <xf numFmtId="44" fontId="25" fillId="15" borderId="374" xfId="0" applyNumberFormat="1" applyFont="1" applyFill="1" applyBorder="1" applyAlignment="1">
      <alignment vertical="top"/>
    </xf>
    <xf numFmtId="44" fontId="25" fillId="15" borderId="375" xfId="0" applyNumberFormat="1" applyFont="1" applyFill="1" applyBorder="1" applyAlignment="1">
      <alignment vertical="top"/>
    </xf>
    <xf numFmtId="44" fontId="25" fillId="10" borderId="375" xfId="0" applyNumberFormat="1" applyFont="1" applyFill="1" applyBorder="1" applyAlignment="1">
      <alignment vertical="top"/>
    </xf>
    <xf numFmtId="0" fontId="25" fillId="10" borderId="376" xfId="0" applyFont="1" applyFill="1" applyBorder="1" applyAlignment="1">
      <alignment vertical="top"/>
    </xf>
    <xf numFmtId="0" fontId="25" fillId="15" borderId="376" xfId="0" applyFont="1" applyFill="1" applyBorder="1" applyAlignment="1">
      <alignment vertical="top" wrapText="1"/>
    </xf>
    <xf numFmtId="0" fontId="25" fillId="15" borderId="377" xfId="0" applyFont="1" applyFill="1" applyBorder="1" applyAlignment="1">
      <alignment vertical="top"/>
    </xf>
    <xf numFmtId="44" fontId="26" fillId="15" borderId="373" xfId="2" applyFont="1" applyFill="1" applyBorder="1" applyAlignment="1" applyProtection="1">
      <alignment horizontal="left" vertical="top" wrapText="1"/>
    </xf>
    <xf numFmtId="0" fontId="26" fillId="0" borderId="0" xfId="0" applyFont="1" applyAlignment="1">
      <alignment horizontal="center" vertical="top" wrapText="1"/>
    </xf>
    <xf numFmtId="8" fontId="23" fillId="0" borderId="0" xfId="0" applyNumberFormat="1" applyFont="1" applyAlignment="1">
      <alignment horizontal="center" vertical="top" wrapText="1"/>
    </xf>
    <xf numFmtId="8" fontId="23" fillId="0" borderId="0" xfId="2" applyNumberFormat="1" applyFont="1" applyFill="1" applyBorder="1" applyAlignment="1" applyProtection="1">
      <alignment horizontal="center" vertical="top" wrapText="1"/>
    </xf>
    <xf numFmtId="0" fontId="45" fillId="0" borderId="18" xfId="0" applyFont="1" applyBorder="1" applyAlignment="1">
      <alignment vertical="top" wrapText="1"/>
    </xf>
    <xf numFmtId="49" fontId="6" fillId="0" borderId="3" xfId="0" applyNumberFormat="1" applyFont="1" applyBorder="1" applyAlignment="1">
      <alignment horizontal="left" vertical="top" wrapText="1"/>
    </xf>
    <xf numFmtId="0" fontId="7" fillId="0" borderId="18" xfId="0" applyFont="1" applyBorder="1" applyAlignment="1">
      <alignment vertical="top" wrapText="1"/>
    </xf>
    <xf numFmtId="0" fontId="7" fillId="0" borderId="6" xfId="0" applyFont="1" applyBorder="1" applyAlignment="1">
      <alignment vertical="top" wrapText="1"/>
    </xf>
    <xf numFmtId="0" fontId="7" fillId="0" borderId="2" xfId="0" applyFont="1" applyBorder="1" applyAlignment="1">
      <alignment vertical="top" wrapText="1"/>
    </xf>
    <xf numFmtId="0" fontId="7" fillId="0" borderId="12" xfId="0" applyFont="1" applyBorder="1" applyAlignment="1">
      <alignment vertical="top" wrapText="1"/>
    </xf>
    <xf numFmtId="44" fontId="7" fillId="0" borderId="6" xfId="0" applyNumberFormat="1" applyFont="1" applyBorder="1" applyAlignment="1">
      <alignment vertical="top" wrapText="1"/>
    </xf>
    <xf numFmtId="17" fontId="7" fillId="0" borderId="2" xfId="0" applyNumberFormat="1" applyFont="1" applyBorder="1" applyAlignment="1">
      <alignment vertical="top" wrapText="1"/>
    </xf>
    <xf numFmtId="44" fontId="6" fillId="0" borderId="6" xfId="0" applyNumberFormat="1" applyFont="1" applyBorder="1" applyAlignment="1">
      <alignment vertical="top" wrapText="1"/>
    </xf>
    <xf numFmtId="17" fontId="6" fillId="0" borderId="2" xfId="0" applyNumberFormat="1" applyFont="1" applyBorder="1" applyAlignment="1">
      <alignment horizontal="left" vertical="top" wrapText="1"/>
    </xf>
    <xf numFmtId="44" fontId="25" fillId="0" borderId="6" xfId="0" applyNumberFormat="1" applyFont="1" applyBorder="1" applyAlignment="1">
      <alignment vertical="top" wrapText="1"/>
    </xf>
    <xf numFmtId="0" fontId="25" fillId="0" borderId="2" xfId="0" applyFont="1" applyBorder="1" applyAlignment="1">
      <alignment horizontal="left" vertical="top" wrapText="1"/>
    </xf>
    <xf numFmtId="17" fontId="7" fillId="10" borderId="2" xfId="0" applyNumberFormat="1" applyFont="1" applyFill="1" applyBorder="1" applyAlignment="1">
      <alignment horizontal="right" vertical="top" wrapText="1"/>
    </xf>
    <xf numFmtId="17" fontId="7" fillId="10" borderId="2" xfId="0" applyNumberFormat="1" applyFont="1" applyFill="1" applyBorder="1" applyAlignment="1">
      <alignment horizontal="left" vertical="top" wrapText="1"/>
    </xf>
    <xf numFmtId="44" fontId="6" fillId="0" borderId="18" xfId="2" applyFont="1" applyFill="1" applyBorder="1" applyAlignment="1" applyProtection="1">
      <alignment vertical="top" wrapText="1"/>
    </xf>
    <xf numFmtId="166" fontId="12" fillId="0" borderId="3" xfId="0" applyNumberFormat="1" applyFont="1" applyBorder="1" applyAlignment="1">
      <alignment horizontal="left" vertical="top" wrapText="1"/>
    </xf>
    <xf numFmtId="166" fontId="12" fillId="0" borderId="12" xfId="0" applyNumberFormat="1" applyFont="1" applyBorder="1" applyAlignment="1">
      <alignment horizontal="center" vertical="top" wrapText="1"/>
    </xf>
    <xf numFmtId="166" fontId="12" fillId="0" borderId="2" xfId="0" applyNumberFormat="1" applyFont="1" applyBorder="1" applyAlignment="1">
      <alignment horizontal="center" vertical="top" wrapText="1"/>
    </xf>
    <xf numFmtId="0" fontId="26" fillId="0" borderId="3" xfId="0" applyFont="1" applyBorder="1" applyAlignment="1">
      <alignment horizontal="center" vertical="top"/>
    </xf>
    <xf numFmtId="15" fontId="25" fillId="0" borderId="12" xfId="0" applyNumberFormat="1" applyFont="1" applyBorder="1" applyAlignment="1">
      <alignment horizontal="center" vertical="top"/>
    </xf>
    <xf numFmtId="0" fontId="25" fillId="0" borderId="2" xfId="0" applyFont="1" applyBorder="1" applyAlignment="1">
      <alignment horizontal="right" vertical="top"/>
    </xf>
    <xf numFmtId="44" fontId="25" fillId="0" borderId="6" xfId="2" applyFont="1" applyFill="1" applyBorder="1" applyAlignment="1" applyProtection="1">
      <alignment vertical="top"/>
    </xf>
    <xf numFmtId="17" fontId="25" fillId="0" borderId="2" xfId="0" applyNumberFormat="1" applyFont="1" applyBorder="1" applyAlignment="1">
      <alignment vertical="top"/>
    </xf>
    <xf numFmtId="44" fontId="25" fillId="0" borderId="6" xfId="0" applyNumberFormat="1" applyFont="1" applyBorder="1" applyAlignment="1">
      <alignment vertical="top"/>
    </xf>
    <xf numFmtId="17" fontId="25" fillId="10" borderId="2" xfId="0" applyNumberFormat="1" applyFont="1" applyFill="1" applyBorder="1" applyAlignment="1">
      <alignment vertical="top"/>
    </xf>
    <xf numFmtId="0" fontId="25" fillId="0" borderId="2" xfId="0" applyFont="1" applyBorder="1" applyAlignment="1">
      <alignment vertical="top"/>
    </xf>
    <xf numFmtId="0" fontId="25" fillId="0" borderId="12" xfId="0" applyFont="1" applyBorder="1" applyAlignment="1">
      <alignment vertical="top"/>
    </xf>
    <xf numFmtId="44" fontId="26" fillId="0" borderId="18" xfId="2" applyFont="1" applyFill="1" applyBorder="1" applyAlignment="1" applyProtection="1">
      <alignment horizontal="left" vertical="top" wrapText="1"/>
    </xf>
    <xf numFmtId="17" fontId="6" fillId="8" borderId="3" xfId="0" applyNumberFormat="1" applyFont="1" applyFill="1" applyBorder="1" applyAlignment="1">
      <alignment horizontal="right" vertical="top" wrapText="1"/>
    </xf>
    <xf numFmtId="0" fontId="26" fillId="2" borderId="25" xfId="0" applyFont="1" applyFill="1" applyBorder="1" applyAlignment="1">
      <alignment vertical="top" wrapText="1"/>
    </xf>
    <xf numFmtId="0" fontId="65" fillId="2" borderId="7" xfId="0" applyFont="1" applyFill="1" applyBorder="1" applyAlignment="1">
      <alignment horizontal="left" vertical="top" wrapText="1"/>
    </xf>
    <xf numFmtId="40" fontId="33" fillId="0" borderId="381" xfId="0" applyNumberFormat="1" applyFont="1" applyBorder="1" applyAlignment="1">
      <alignment vertical="top" wrapText="1"/>
    </xf>
    <xf numFmtId="40" fontId="28" fillId="0" borderId="382" xfId="0" applyNumberFormat="1" applyFont="1" applyBorder="1" applyAlignment="1">
      <alignment vertical="top" wrapText="1"/>
    </xf>
    <xf numFmtId="182" fontId="14" fillId="0" borderId="35" xfId="1" applyNumberFormat="1" applyFont="1" applyFill="1" applyBorder="1" applyAlignment="1" applyProtection="1">
      <alignment horizontal="center" vertical="top" wrapText="1"/>
    </xf>
    <xf numFmtId="14" fontId="33" fillId="0" borderId="23" xfId="0" applyNumberFormat="1" applyFont="1" applyBorder="1" applyAlignment="1">
      <alignment horizontal="center" vertical="top" wrapText="1"/>
    </xf>
    <xf numFmtId="0" fontId="25" fillId="0" borderId="63" xfId="0" applyFont="1" applyBorder="1" applyAlignment="1">
      <alignment horizontal="center" vertical="top" wrapText="1"/>
    </xf>
    <xf numFmtId="0" fontId="5" fillId="20" borderId="27" xfId="0" applyFont="1" applyFill="1" applyBorder="1" applyAlignment="1">
      <alignment vertical="top" wrapText="1"/>
    </xf>
    <xf numFmtId="0" fontId="33" fillId="0" borderId="63" xfId="0" applyFont="1" applyBorder="1" applyAlignment="1">
      <alignment horizontal="center" vertical="top" wrapText="1"/>
    </xf>
    <xf numFmtId="0" fontId="28" fillId="0" borderId="273" xfId="0" applyFont="1" applyBorder="1" applyAlignment="1">
      <alignment horizontal="center" vertical="top" wrapText="1"/>
    </xf>
    <xf numFmtId="166" fontId="7" fillId="10" borderId="55" xfId="0" applyNumberFormat="1" applyFont="1" applyFill="1" applyBorder="1" applyAlignment="1">
      <alignment horizontal="left" vertical="top" wrapText="1"/>
    </xf>
    <xf numFmtId="166" fontId="7" fillId="10" borderId="57" xfId="0" applyNumberFormat="1" applyFont="1" applyFill="1" applyBorder="1" applyAlignment="1">
      <alignment horizontal="center" vertical="top"/>
    </xf>
    <xf numFmtId="166" fontId="7" fillId="10" borderId="58" xfId="0" applyNumberFormat="1" applyFont="1" applyFill="1" applyBorder="1" applyAlignment="1">
      <alignment horizontal="center" vertical="top"/>
    </xf>
    <xf numFmtId="0" fontId="14" fillId="0" borderId="384" xfId="0" applyFont="1" applyBorder="1" applyAlignment="1">
      <alignment horizontal="center" vertical="top" wrapText="1"/>
    </xf>
    <xf numFmtId="14" fontId="5" fillId="0" borderId="384" xfId="0" applyNumberFormat="1" applyFont="1" applyBorder="1" applyAlignment="1">
      <alignment horizontal="center" vertical="top" wrapText="1"/>
    </xf>
    <xf numFmtId="0" fontId="5" fillId="0" borderId="384" xfId="0" applyFont="1" applyBorder="1" applyAlignment="1">
      <alignment horizontal="center" vertical="top" wrapText="1"/>
    </xf>
    <xf numFmtId="182" fontId="14" fillId="0" borderId="33" xfId="1" applyNumberFormat="1" applyFont="1" applyFill="1" applyBorder="1" applyAlignment="1" applyProtection="1">
      <alignment horizontal="center" vertical="top" wrapText="1"/>
    </xf>
    <xf numFmtId="0" fontId="5" fillId="0" borderId="383" xfId="0" applyFont="1" applyBorder="1" applyAlignment="1">
      <alignment vertical="top" wrapText="1"/>
    </xf>
    <xf numFmtId="0" fontId="5" fillId="0" borderId="384" xfId="0" applyFont="1" applyBorder="1" applyAlignment="1">
      <alignment vertical="top" wrapText="1"/>
    </xf>
    <xf numFmtId="14" fontId="5" fillId="0" borderId="383" xfId="0" applyNumberFormat="1" applyFont="1" applyBorder="1" applyAlignment="1">
      <alignment horizontal="center" vertical="top" wrapText="1"/>
    </xf>
    <xf numFmtId="0" fontId="33" fillId="0" borderId="353" xfId="0" applyFont="1" applyBorder="1" applyAlignment="1">
      <alignment vertical="top" wrapText="1"/>
    </xf>
    <xf numFmtId="0" fontId="33" fillId="0" borderId="383" xfId="0" applyFont="1" applyBorder="1" applyAlignment="1">
      <alignment vertical="top" wrapText="1"/>
    </xf>
    <xf numFmtId="4" fontId="32" fillId="0" borderId="384" xfId="0" applyNumberFormat="1" applyFont="1" applyBorder="1" applyAlignment="1">
      <alignment vertical="top" wrapText="1"/>
    </xf>
    <xf numFmtId="4" fontId="33" fillId="0" borderId="383" xfId="0" applyNumberFormat="1" applyFont="1" applyBorder="1" applyAlignment="1">
      <alignment vertical="top" wrapText="1"/>
    </xf>
    <xf numFmtId="4" fontId="5" fillId="10" borderId="353" xfId="0" applyNumberFormat="1" applyFont="1" applyFill="1" applyBorder="1" applyAlignment="1">
      <alignment vertical="top" wrapText="1"/>
    </xf>
    <xf numFmtId="4" fontId="32" fillId="10" borderId="384" xfId="0" applyNumberFormat="1" applyFont="1" applyFill="1" applyBorder="1" applyAlignment="1">
      <alignment vertical="top" wrapText="1"/>
    </xf>
    <xf numFmtId="4" fontId="33" fillId="10" borderId="383" xfId="0" applyNumberFormat="1" applyFont="1" applyFill="1" applyBorder="1" applyAlignment="1">
      <alignment vertical="top" wrapText="1"/>
    </xf>
    <xf numFmtId="4" fontId="32" fillId="0" borderId="385" xfId="0" applyNumberFormat="1" applyFont="1" applyBorder="1" applyAlignment="1">
      <alignment vertical="top" wrapText="1"/>
    </xf>
    <xf numFmtId="4" fontId="28" fillId="0" borderId="383" xfId="0" applyNumberFormat="1" applyFont="1" applyBorder="1" applyAlignment="1">
      <alignment vertical="top" wrapText="1"/>
    </xf>
    <xf numFmtId="173" fontId="28" fillId="0" borderId="384" xfId="0" applyNumberFormat="1" applyFont="1" applyBorder="1" applyAlignment="1">
      <alignment horizontal="center" vertical="top" wrapText="1"/>
    </xf>
    <xf numFmtId="0" fontId="28" fillId="0" borderId="384" xfId="0" applyFont="1" applyBorder="1" applyAlignment="1">
      <alignment horizontal="center" vertical="top" wrapText="1"/>
    </xf>
    <xf numFmtId="40" fontId="33" fillId="0" borderId="384" xfId="0" applyNumberFormat="1" applyFont="1" applyBorder="1" applyAlignment="1">
      <alignment vertical="top" wrapText="1"/>
    </xf>
    <xf numFmtId="40" fontId="33" fillId="10" borderId="384" xfId="0" applyNumberFormat="1" applyFont="1" applyFill="1" applyBorder="1" applyAlignment="1">
      <alignment vertical="top" wrapText="1"/>
    </xf>
    <xf numFmtId="40" fontId="28" fillId="0" borderId="385" xfId="0" applyNumberFormat="1" applyFont="1" applyBorder="1" applyAlignment="1">
      <alignment vertical="top" wrapText="1"/>
    </xf>
    <xf numFmtId="0" fontId="5" fillId="0" borderId="373" xfId="0" applyFont="1" applyBorder="1" applyAlignment="1">
      <alignment vertical="top" wrapText="1"/>
    </xf>
    <xf numFmtId="182" fontId="14" fillId="15" borderId="35" xfId="1" applyNumberFormat="1" applyFont="1" applyFill="1" applyBorder="1" applyAlignment="1" applyProtection="1">
      <alignment horizontal="center" vertical="top" wrapText="1"/>
    </xf>
    <xf numFmtId="182" fontId="14" fillId="21" borderId="35" xfId="1" applyNumberFormat="1" applyFont="1" applyFill="1" applyBorder="1" applyAlignment="1" applyProtection="1">
      <alignment horizontal="center" vertical="top" wrapText="1"/>
    </xf>
    <xf numFmtId="0" fontId="14" fillId="15" borderId="384" xfId="0" applyFont="1" applyFill="1" applyBorder="1" applyAlignment="1">
      <alignment horizontal="center" vertical="top" wrapText="1"/>
    </xf>
    <xf numFmtId="14" fontId="5" fillId="15" borderId="384" xfId="0" applyNumberFormat="1" applyFont="1" applyFill="1" applyBorder="1" applyAlignment="1">
      <alignment horizontal="center" vertical="top" wrapText="1"/>
    </xf>
    <xf numFmtId="0" fontId="5" fillId="15" borderId="383" xfId="0" applyFont="1" applyFill="1" applyBorder="1" applyAlignment="1">
      <alignment vertical="top" wrapText="1"/>
    </xf>
    <xf numFmtId="0" fontId="5" fillId="15" borderId="384" xfId="0" applyFont="1" applyFill="1" applyBorder="1" applyAlignment="1">
      <alignment vertical="top" wrapText="1"/>
    </xf>
    <xf numFmtId="14" fontId="5" fillId="15" borderId="383" xfId="0" applyNumberFormat="1" applyFont="1" applyFill="1" applyBorder="1" applyAlignment="1">
      <alignment horizontal="center" vertical="top" wrapText="1"/>
    </xf>
    <xf numFmtId="0" fontId="33" fillId="15" borderId="383" xfId="0" applyFont="1" applyFill="1" applyBorder="1" applyAlignment="1">
      <alignment vertical="top" wrapText="1"/>
    </xf>
    <xf numFmtId="4" fontId="32" fillId="15" borderId="384" xfId="0" applyNumberFormat="1" applyFont="1" applyFill="1" applyBorder="1" applyAlignment="1">
      <alignment vertical="top" wrapText="1"/>
    </xf>
    <xf numFmtId="4" fontId="33" fillId="15" borderId="383" xfId="0" applyNumberFormat="1" applyFont="1" applyFill="1" applyBorder="1" applyAlignment="1">
      <alignment vertical="top" wrapText="1"/>
    </xf>
    <xf numFmtId="4" fontId="32" fillId="15" borderId="385" xfId="0" applyNumberFormat="1" applyFont="1" applyFill="1" applyBorder="1" applyAlignment="1">
      <alignment vertical="top" wrapText="1"/>
    </xf>
    <xf numFmtId="4" fontId="28" fillId="15" borderId="383" xfId="0" applyNumberFormat="1" applyFont="1" applyFill="1" applyBorder="1" applyAlignment="1">
      <alignment vertical="top" wrapText="1"/>
    </xf>
    <xf numFmtId="173" fontId="28" fillId="15" borderId="384" xfId="0" applyNumberFormat="1" applyFont="1" applyFill="1" applyBorder="1" applyAlignment="1">
      <alignment horizontal="center" vertical="top" wrapText="1"/>
    </xf>
    <xf numFmtId="0" fontId="28" fillId="15" borderId="384" xfId="0" applyFont="1" applyFill="1" applyBorder="1" applyAlignment="1">
      <alignment horizontal="center" vertical="top" wrapText="1"/>
    </xf>
    <xf numFmtId="40" fontId="33" fillId="15" borderId="384" xfId="0" applyNumberFormat="1" applyFont="1" applyFill="1" applyBorder="1" applyAlignment="1">
      <alignment vertical="top" wrapText="1"/>
    </xf>
    <xf numFmtId="40" fontId="28" fillId="15" borderId="385" xfId="0" applyNumberFormat="1" applyFont="1" applyFill="1" applyBorder="1" applyAlignment="1">
      <alignment vertical="top" wrapText="1"/>
    </xf>
    <xf numFmtId="0" fontId="5" fillId="15" borderId="373" xfId="0" applyFont="1" applyFill="1" applyBorder="1" applyAlignment="1">
      <alignment vertical="top" wrapText="1"/>
    </xf>
    <xf numFmtId="0" fontId="14" fillId="15" borderId="386" xfId="0" applyFont="1" applyFill="1" applyBorder="1" applyAlignment="1">
      <alignment horizontal="center" vertical="top" wrapText="1"/>
    </xf>
    <xf numFmtId="0" fontId="14" fillId="15" borderId="387" xfId="0" applyFont="1" applyFill="1" applyBorder="1" applyAlignment="1">
      <alignment horizontal="center" vertical="top" wrapText="1"/>
    </xf>
    <xf numFmtId="14" fontId="5" fillId="15" borderId="387" xfId="0" applyNumberFormat="1" applyFont="1" applyFill="1" applyBorder="1" applyAlignment="1">
      <alignment horizontal="center" vertical="top" wrapText="1"/>
    </xf>
    <xf numFmtId="14" fontId="5" fillId="15" borderId="30" xfId="0" applyNumberFormat="1" applyFont="1" applyFill="1" applyBorder="1" applyAlignment="1">
      <alignment horizontal="center" vertical="top" wrapText="1"/>
    </xf>
    <xf numFmtId="165" fontId="5" fillId="15" borderId="30" xfId="0" applyNumberFormat="1" applyFont="1" applyFill="1" applyBorder="1" applyAlignment="1">
      <alignment horizontal="center" vertical="top" wrapText="1"/>
    </xf>
    <xf numFmtId="182" fontId="33" fillId="15" borderId="387" xfId="1" applyNumberFormat="1" applyFont="1" applyFill="1" applyBorder="1" applyAlignment="1" applyProtection="1">
      <alignment horizontal="center" vertical="top" wrapText="1"/>
    </xf>
    <xf numFmtId="0" fontId="5" fillId="15" borderId="388" xfId="0" applyFont="1" applyFill="1" applyBorder="1" applyAlignment="1">
      <alignment vertical="top" wrapText="1"/>
    </xf>
    <xf numFmtId="0" fontId="5" fillId="15" borderId="386" xfId="0" applyFont="1" applyFill="1" applyBorder="1" applyAlignment="1">
      <alignment vertical="top" wrapText="1"/>
    </xf>
    <xf numFmtId="0" fontId="5" fillId="15" borderId="387" xfId="0" applyFont="1" applyFill="1" applyBorder="1" applyAlignment="1">
      <alignment vertical="top" wrapText="1"/>
    </xf>
    <xf numFmtId="14" fontId="5" fillId="15" borderId="388" xfId="0" applyNumberFormat="1" applyFont="1" applyFill="1" applyBorder="1" applyAlignment="1">
      <alignment horizontal="center" vertical="top" wrapText="1"/>
    </xf>
    <xf numFmtId="0" fontId="33" fillId="15" borderId="386" xfId="0" applyFont="1" applyFill="1" applyBorder="1" applyAlignment="1">
      <alignment vertical="top" wrapText="1"/>
    </xf>
    <xf numFmtId="0" fontId="33" fillId="15" borderId="388" xfId="0" applyFont="1" applyFill="1" applyBorder="1" applyAlignment="1">
      <alignment vertical="top" wrapText="1"/>
    </xf>
    <xf numFmtId="4" fontId="5" fillId="15" borderId="386" xfId="0" applyNumberFormat="1" applyFont="1" applyFill="1" applyBorder="1" applyAlignment="1">
      <alignment vertical="top" wrapText="1"/>
    </xf>
    <xf numFmtId="4" fontId="32" fillId="15" borderId="387" xfId="0" applyNumberFormat="1" applyFont="1" applyFill="1" applyBorder="1" applyAlignment="1">
      <alignment vertical="top" wrapText="1"/>
    </xf>
    <xf numFmtId="4" fontId="33" fillId="15" borderId="388" xfId="0" applyNumberFormat="1" applyFont="1" applyFill="1" applyBorder="1" applyAlignment="1">
      <alignment vertical="top" wrapText="1"/>
    </xf>
    <xf numFmtId="4" fontId="14" fillId="15" borderId="386" xfId="0" applyNumberFormat="1" applyFont="1" applyFill="1" applyBorder="1" applyAlignment="1">
      <alignment vertical="top" wrapText="1"/>
    </xf>
    <xf numFmtId="4" fontId="32" fillId="15" borderId="389" xfId="0" applyNumberFormat="1" applyFont="1" applyFill="1" applyBorder="1" applyAlignment="1">
      <alignment vertical="top" wrapText="1"/>
    </xf>
    <xf numFmtId="4" fontId="28" fillId="15" borderId="388" xfId="0" applyNumberFormat="1" applyFont="1" applyFill="1" applyBorder="1" applyAlignment="1">
      <alignment vertical="top" wrapText="1"/>
    </xf>
    <xf numFmtId="0" fontId="28" fillId="15" borderId="386" xfId="0" applyFont="1" applyFill="1" applyBorder="1" applyAlignment="1">
      <alignment horizontal="center" vertical="top" wrapText="1"/>
    </xf>
    <xf numFmtId="173" fontId="28" fillId="15" borderId="387" xfId="0" applyNumberFormat="1" applyFont="1" applyFill="1" applyBorder="1" applyAlignment="1">
      <alignment horizontal="center" vertical="top" wrapText="1"/>
    </xf>
    <xf numFmtId="0" fontId="28" fillId="15" borderId="387" xfId="0" applyFont="1" applyFill="1" applyBorder="1" applyAlignment="1">
      <alignment horizontal="center" vertical="top" wrapText="1"/>
    </xf>
    <xf numFmtId="182" fontId="28" fillId="15" borderId="8" xfId="1" applyNumberFormat="1" applyFont="1" applyFill="1" applyBorder="1" applyAlignment="1" applyProtection="1">
      <alignment horizontal="center" vertical="top" wrapText="1"/>
    </xf>
    <xf numFmtId="40" fontId="33" fillId="15" borderId="386" xfId="0" applyNumberFormat="1" applyFont="1" applyFill="1" applyBorder="1" applyAlignment="1">
      <alignment vertical="top" wrapText="1"/>
    </xf>
    <xf numFmtId="40" fontId="33" fillId="15" borderId="387" xfId="0" applyNumberFormat="1" applyFont="1" applyFill="1" applyBorder="1" applyAlignment="1">
      <alignment vertical="top" wrapText="1"/>
    </xf>
    <xf numFmtId="40" fontId="28" fillId="15" borderId="389" xfId="0" applyNumberFormat="1" applyFont="1" applyFill="1" applyBorder="1" applyAlignment="1">
      <alignment vertical="top" wrapText="1"/>
    </xf>
    <xf numFmtId="0" fontId="5" fillId="15" borderId="390" xfId="0" applyFont="1" applyFill="1" applyBorder="1" applyAlignment="1">
      <alignment vertical="top" wrapText="1"/>
    </xf>
    <xf numFmtId="0" fontId="5" fillId="15" borderId="384" xfId="0" applyFont="1" applyFill="1" applyBorder="1" applyAlignment="1">
      <alignment horizontal="center" vertical="top" wrapText="1"/>
    </xf>
    <xf numFmtId="165" fontId="5" fillId="15" borderId="384" xfId="0" applyNumberFormat="1" applyFont="1" applyFill="1" applyBorder="1" applyAlignment="1">
      <alignment horizontal="center" vertical="top" wrapText="1"/>
    </xf>
    <xf numFmtId="182" fontId="14" fillId="15" borderId="384" xfId="1" applyNumberFormat="1" applyFont="1" applyFill="1" applyBorder="1" applyAlignment="1" applyProtection="1">
      <alignment horizontal="center" vertical="top" wrapText="1"/>
    </xf>
    <xf numFmtId="165" fontId="28" fillId="15" borderId="384" xfId="0" applyNumberFormat="1" applyFont="1" applyFill="1" applyBorder="1" applyAlignment="1">
      <alignment horizontal="center" vertical="top" wrapText="1"/>
    </xf>
    <xf numFmtId="182" fontId="28" fillId="15" borderId="383" xfId="1" applyNumberFormat="1" applyFont="1" applyFill="1" applyBorder="1" applyAlignment="1" applyProtection="1">
      <alignment horizontal="center" vertical="top" wrapText="1"/>
    </xf>
    <xf numFmtId="0" fontId="33" fillId="21" borderId="235" xfId="0" applyFont="1" applyFill="1" applyBorder="1" applyAlignment="1">
      <alignment vertical="top" wrapText="1"/>
    </xf>
    <xf numFmtId="0" fontId="14" fillId="21" borderId="235" xfId="0" applyFont="1" applyFill="1" applyBorder="1" applyAlignment="1">
      <alignment horizontal="center" vertical="top" wrapText="1"/>
    </xf>
    <xf numFmtId="17" fontId="14" fillId="0" borderId="6" xfId="0" applyNumberFormat="1" applyFont="1" applyBorder="1" applyAlignment="1">
      <alignment horizontal="right" vertical="top" wrapText="1"/>
    </xf>
    <xf numFmtId="40" fontId="14" fillId="0" borderId="3" xfId="0" applyNumberFormat="1" applyFont="1" applyBorder="1" applyAlignment="1">
      <alignment vertical="top" wrapText="1"/>
    </xf>
    <xf numFmtId="40" fontId="28" fillId="0" borderId="392" xfId="0" applyNumberFormat="1" applyFont="1" applyBorder="1" applyAlignment="1">
      <alignment vertical="top" wrapText="1"/>
    </xf>
    <xf numFmtId="0" fontId="5" fillId="28" borderId="34" xfId="0" applyFont="1" applyFill="1" applyBorder="1" applyAlignment="1">
      <alignment vertical="top" wrapText="1"/>
    </xf>
    <xf numFmtId="14" fontId="5" fillId="28" borderId="34" xfId="0" applyNumberFormat="1" applyFont="1" applyFill="1" applyBorder="1" applyAlignment="1">
      <alignment horizontal="center" vertical="top" wrapText="1"/>
    </xf>
    <xf numFmtId="0" fontId="53" fillId="15" borderId="63" xfId="0" applyFont="1" applyFill="1" applyBorder="1" applyAlignment="1">
      <alignment horizontal="center" vertical="top" wrapText="1"/>
    </xf>
    <xf numFmtId="182" fontId="5" fillId="15" borderId="384" xfId="1" applyNumberFormat="1" applyFont="1" applyFill="1" applyBorder="1" applyAlignment="1" applyProtection="1">
      <alignment horizontal="center" vertical="top" wrapText="1"/>
    </xf>
    <xf numFmtId="0" fontId="5" fillId="15" borderId="391" xfId="0" applyFont="1" applyFill="1" applyBorder="1" applyAlignment="1">
      <alignment vertical="top" wrapText="1"/>
    </xf>
    <xf numFmtId="14" fontId="5" fillId="15" borderId="391" xfId="0" applyNumberFormat="1" applyFont="1" applyFill="1" applyBorder="1" applyAlignment="1">
      <alignment horizontal="center" vertical="top" wrapText="1"/>
    </xf>
    <xf numFmtId="0" fontId="33" fillId="15" borderId="391" xfId="0" applyFont="1" applyFill="1" applyBorder="1" applyAlignment="1">
      <alignment vertical="top" wrapText="1"/>
    </xf>
    <xf numFmtId="4" fontId="33" fillId="15" borderId="391" xfId="0" applyNumberFormat="1" applyFont="1" applyFill="1" applyBorder="1" applyAlignment="1">
      <alignment vertical="top" wrapText="1"/>
    </xf>
    <xf numFmtId="4" fontId="32" fillId="15" borderId="392" xfId="0" applyNumberFormat="1" applyFont="1" applyFill="1" applyBorder="1" applyAlignment="1">
      <alignment vertical="top" wrapText="1"/>
    </xf>
    <xf numFmtId="4" fontId="28" fillId="15" borderId="391" xfId="0" applyNumberFormat="1" applyFont="1" applyFill="1" applyBorder="1" applyAlignment="1">
      <alignment vertical="top" wrapText="1"/>
    </xf>
    <xf numFmtId="40" fontId="28" fillId="15" borderId="392" xfId="0" applyNumberFormat="1" applyFont="1" applyFill="1" applyBorder="1" applyAlignment="1">
      <alignment vertical="top" wrapText="1"/>
    </xf>
    <xf numFmtId="0" fontId="7" fillId="15" borderId="50" xfId="0" applyFont="1" applyFill="1" applyBorder="1" applyAlignment="1">
      <alignment vertical="top"/>
    </xf>
    <xf numFmtId="166" fontId="7" fillId="15" borderId="57" xfId="0" applyNumberFormat="1" applyFont="1" applyFill="1" applyBorder="1" applyAlignment="1">
      <alignment horizontal="center" vertical="top"/>
    </xf>
    <xf numFmtId="166" fontId="7" fillId="15" borderId="58" xfId="0" applyNumberFormat="1" applyFont="1" applyFill="1" applyBorder="1" applyAlignment="1">
      <alignment horizontal="center" vertical="top"/>
    </xf>
    <xf numFmtId="0" fontId="26" fillId="15" borderId="58" xfId="0" applyFont="1" applyFill="1" applyBorder="1" applyAlignment="1">
      <alignment horizontal="right" vertical="top"/>
    </xf>
    <xf numFmtId="14" fontId="5" fillId="28" borderId="229" xfId="0" applyNumberFormat="1" applyFont="1" applyFill="1" applyBorder="1" applyAlignment="1">
      <alignment horizontal="center" vertical="top" wrapText="1"/>
    </xf>
    <xf numFmtId="0" fontId="5" fillId="28" borderId="23" xfId="0" applyFont="1" applyFill="1" applyBorder="1" applyAlignment="1">
      <alignment vertical="top" wrapText="1"/>
    </xf>
    <xf numFmtId="182" fontId="28" fillId="0" borderId="35" xfId="1" applyNumberFormat="1" applyFont="1" applyFill="1" applyBorder="1" applyAlignment="1" applyProtection="1">
      <alignment horizontal="center" vertical="top" wrapText="1"/>
    </xf>
    <xf numFmtId="165" fontId="5" fillId="0" borderId="384" xfId="0" applyNumberFormat="1" applyFont="1" applyBorder="1" applyAlignment="1">
      <alignment horizontal="center" vertical="top" wrapText="1"/>
    </xf>
    <xf numFmtId="182" fontId="32" fillId="0" borderId="384" xfId="1" applyNumberFormat="1" applyFont="1" applyFill="1" applyBorder="1" applyAlignment="1" applyProtection="1">
      <alignment horizontal="center" vertical="top" wrapText="1"/>
    </xf>
    <xf numFmtId="0" fontId="5" fillId="0" borderId="393" xfId="0" applyFont="1" applyBorder="1" applyAlignment="1">
      <alignment vertical="top" wrapText="1"/>
    </xf>
    <xf numFmtId="14" fontId="5" fillId="0" borderId="393" xfId="0" applyNumberFormat="1" applyFont="1" applyBorder="1" applyAlignment="1">
      <alignment horizontal="center" vertical="top" wrapText="1"/>
    </xf>
    <xf numFmtId="0" fontId="33" fillId="0" borderId="393" xfId="0" applyFont="1" applyBorder="1" applyAlignment="1">
      <alignment vertical="top" wrapText="1"/>
    </xf>
    <xf numFmtId="4" fontId="33" fillId="0" borderId="393" xfId="0" applyNumberFormat="1" applyFont="1" applyBorder="1" applyAlignment="1">
      <alignment vertical="top" wrapText="1"/>
    </xf>
    <xf numFmtId="4" fontId="32" fillId="0" borderId="392" xfId="0" applyNumberFormat="1" applyFont="1" applyBorder="1" applyAlignment="1">
      <alignment vertical="top" wrapText="1"/>
    </xf>
    <xf numFmtId="4" fontId="28" fillId="0" borderId="393" xfId="0" applyNumberFormat="1" applyFont="1" applyBorder="1" applyAlignment="1">
      <alignment vertical="top" wrapText="1"/>
    </xf>
    <xf numFmtId="165" fontId="29" fillId="0" borderId="33" xfId="0" applyNumberFormat="1" applyFont="1" applyBorder="1" applyAlignment="1">
      <alignment horizontal="center" vertical="top" wrapText="1"/>
    </xf>
    <xf numFmtId="182" fontId="29" fillId="0" borderId="2" xfId="1" applyNumberFormat="1" applyFont="1" applyFill="1" applyBorder="1" applyAlignment="1" applyProtection="1">
      <alignment horizontal="center" vertical="top" wrapText="1"/>
    </xf>
    <xf numFmtId="0" fontId="14" fillId="15" borderId="279" xfId="0" applyFont="1" applyFill="1" applyBorder="1" applyAlignment="1">
      <alignment horizontal="center" vertical="top" wrapText="1"/>
    </xf>
    <xf numFmtId="0" fontId="14" fillId="15" borderId="284" xfId="0" applyFont="1" applyFill="1" applyBorder="1" applyAlignment="1">
      <alignment horizontal="center" vertical="top" wrapText="1"/>
    </xf>
    <xf numFmtId="14" fontId="5" fillId="15" borderId="284" xfId="0" applyNumberFormat="1" applyFont="1" applyFill="1" applyBorder="1" applyAlignment="1">
      <alignment horizontal="center" vertical="top" wrapText="1"/>
    </xf>
    <xf numFmtId="0" fontId="5" fillId="15" borderId="284" xfId="0" applyFont="1" applyFill="1" applyBorder="1" applyAlignment="1">
      <alignment horizontal="center" vertical="top" wrapText="1"/>
    </xf>
    <xf numFmtId="165" fontId="5" fillId="15" borderId="284" xfId="0" applyNumberFormat="1" applyFont="1" applyFill="1" applyBorder="1" applyAlignment="1">
      <alignment horizontal="center" vertical="top" wrapText="1"/>
    </xf>
    <xf numFmtId="182" fontId="5" fillId="15" borderId="284" xfId="1" applyNumberFormat="1" applyFont="1" applyFill="1" applyBorder="1" applyAlignment="1" applyProtection="1">
      <alignment horizontal="center" vertical="top" wrapText="1"/>
    </xf>
    <xf numFmtId="0" fontId="5" fillId="15" borderId="279" xfId="0" applyFont="1" applyFill="1" applyBorder="1" applyAlignment="1">
      <alignment vertical="top" wrapText="1"/>
    </xf>
    <xf numFmtId="0" fontId="5" fillId="15" borderId="284" xfId="0" applyFont="1" applyFill="1" applyBorder="1" applyAlignment="1">
      <alignment vertical="top" wrapText="1"/>
    </xf>
    <xf numFmtId="14" fontId="5" fillId="15" borderId="277" xfId="0" applyNumberFormat="1" applyFont="1" applyFill="1" applyBorder="1" applyAlignment="1">
      <alignment horizontal="center" vertical="top" wrapText="1"/>
    </xf>
    <xf numFmtId="0" fontId="33" fillId="15" borderId="277" xfId="0" applyFont="1" applyFill="1" applyBorder="1" applyAlignment="1">
      <alignment vertical="top" wrapText="1"/>
    </xf>
    <xf numFmtId="4" fontId="5" fillId="15" borderId="279" xfId="0" applyNumberFormat="1" applyFont="1" applyFill="1" applyBorder="1" applyAlignment="1">
      <alignment vertical="top" wrapText="1"/>
    </xf>
    <xf numFmtId="4" fontId="32" fillId="15" borderId="284" xfId="0" applyNumberFormat="1" applyFont="1" applyFill="1" applyBorder="1" applyAlignment="1">
      <alignment vertical="top" wrapText="1"/>
    </xf>
    <xf numFmtId="4" fontId="33" fillId="15" borderId="277" xfId="0" applyNumberFormat="1" applyFont="1" applyFill="1" applyBorder="1" applyAlignment="1">
      <alignment vertical="top" wrapText="1"/>
    </xf>
    <xf numFmtId="4" fontId="14" fillId="15" borderId="279" xfId="0" applyNumberFormat="1" applyFont="1" applyFill="1" applyBorder="1" applyAlignment="1">
      <alignment vertical="top" wrapText="1"/>
    </xf>
    <xf numFmtId="4" fontId="32" fillId="15" borderId="286" xfId="0" applyNumberFormat="1" applyFont="1" applyFill="1" applyBorder="1" applyAlignment="1">
      <alignment vertical="top" wrapText="1"/>
    </xf>
    <xf numFmtId="4" fontId="28" fillId="15" borderId="277" xfId="0" applyNumberFormat="1" applyFont="1" applyFill="1" applyBorder="1" applyAlignment="1">
      <alignment vertical="top" wrapText="1"/>
    </xf>
    <xf numFmtId="0" fontId="28" fillId="15" borderId="279" xfId="0" applyFont="1" applyFill="1" applyBorder="1" applyAlignment="1">
      <alignment horizontal="center" vertical="top" wrapText="1"/>
    </xf>
    <xf numFmtId="173" fontId="28" fillId="15" borderId="284" xfId="0" applyNumberFormat="1" applyFont="1" applyFill="1" applyBorder="1" applyAlignment="1">
      <alignment horizontal="center" vertical="top" wrapText="1"/>
    </xf>
    <xf numFmtId="165" fontId="29" fillId="15" borderId="284" xfId="0" applyNumberFormat="1" applyFont="1" applyFill="1" applyBorder="1" applyAlignment="1">
      <alignment horizontal="center" vertical="top" wrapText="1"/>
    </xf>
    <xf numFmtId="182" fontId="29" fillId="15" borderId="277" xfId="1" applyNumberFormat="1" applyFont="1" applyFill="1" applyBorder="1" applyAlignment="1" applyProtection="1">
      <alignment horizontal="center" vertical="top" wrapText="1"/>
    </xf>
    <xf numFmtId="40" fontId="33" fillId="15" borderId="279" xfId="0" applyNumberFormat="1" applyFont="1" applyFill="1" applyBorder="1" applyAlignment="1">
      <alignment vertical="top" wrapText="1"/>
    </xf>
    <xf numFmtId="40" fontId="33" fillId="15" borderId="284" xfId="0" applyNumberFormat="1" applyFont="1" applyFill="1" applyBorder="1" applyAlignment="1">
      <alignment vertical="top" wrapText="1"/>
    </xf>
    <xf numFmtId="40" fontId="28" fillId="15" borderId="286" xfId="0" applyNumberFormat="1" applyFont="1" applyFill="1" applyBorder="1" applyAlignment="1">
      <alignment vertical="top" wrapText="1"/>
    </xf>
    <xf numFmtId="0" fontId="5" fillId="15" borderId="289" xfId="0" applyFont="1" applyFill="1" applyBorder="1" applyAlignment="1">
      <alignment vertical="top" wrapText="1"/>
    </xf>
    <xf numFmtId="0" fontId="28" fillId="15" borderId="284" xfId="0" applyFont="1" applyFill="1" applyBorder="1" applyAlignment="1">
      <alignment horizontal="center" vertical="top" wrapText="1"/>
    </xf>
    <xf numFmtId="40" fontId="32" fillId="15" borderId="63" xfId="0" applyNumberFormat="1" applyFont="1" applyFill="1" applyBorder="1" applyAlignment="1">
      <alignment vertical="top" wrapText="1"/>
    </xf>
    <xf numFmtId="0" fontId="26" fillId="15" borderId="63" xfId="0" applyFont="1" applyFill="1" applyBorder="1" applyAlignment="1">
      <alignment horizontal="center" vertical="top" wrapText="1"/>
    </xf>
    <xf numFmtId="14" fontId="28" fillId="15" borderId="63" xfId="0" applyNumberFormat="1" applyFont="1" applyFill="1" applyBorder="1" applyAlignment="1">
      <alignment horizontal="center" vertical="top" wrapText="1"/>
    </xf>
    <xf numFmtId="165" fontId="32" fillId="15" borderId="384" xfId="0" applyNumberFormat="1" applyFont="1" applyFill="1" applyBorder="1" applyAlignment="1">
      <alignment horizontal="center" vertical="top" wrapText="1"/>
    </xf>
    <xf numFmtId="182" fontId="32" fillId="15" borderId="384" xfId="1" applyNumberFormat="1" applyFont="1" applyFill="1" applyBorder="1" applyAlignment="1" applyProtection="1">
      <alignment horizontal="center" vertical="top" wrapText="1"/>
    </xf>
    <xf numFmtId="0" fontId="5" fillId="15" borderId="394" xfId="0" applyFont="1" applyFill="1" applyBorder="1" applyAlignment="1">
      <alignment vertical="top" wrapText="1"/>
    </xf>
    <xf numFmtId="14" fontId="5" fillId="15" borderId="394" xfId="0" applyNumberFormat="1" applyFont="1" applyFill="1" applyBorder="1" applyAlignment="1">
      <alignment horizontal="center" vertical="top" wrapText="1"/>
    </xf>
    <xf numFmtId="0" fontId="33" fillId="15" borderId="394" xfId="0" applyFont="1" applyFill="1" applyBorder="1" applyAlignment="1">
      <alignment vertical="top" wrapText="1"/>
    </xf>
    <xf numFmtId="4" fontId="33" fillId="15" borderId="394" xfId="0" applyNumberFormat="1" applyFont="1" applyFill="1" applyBorder="1" applyAlignment="1">
      <alignment vertical="top" wrapText="1"/>
    </xf>
    <xf numFmtId="4" fontId="28" fillId="15" borderId="394" xfId="0" applyNumberFormat="1" applyFont="1" applyFill="1" applyBorder="1" applyAlignment="1">
      <alignment vertical="top" wrapText="1"/>
    </xf>
    <xf numFmtId="165" fontId="29" fillId="15" borderId="384" xfId="0" applyNumberFormat="1" applyFont="1" applyFill="1" applyBorder="1" applyAlignment="1">
      <alignment horizontal="center" vertical="top" wrapText="1"/>
    </xf>
    <xf numFmtId="182" fontId="29" fillId="15" borderId="394" xfId="1" applyNumberFormat="1" applyFont="1" applyFill="1" applyBorder="1" applyAlignment="1" applyProtection="1">
      <alignment horizontal="center" vertical="top" wrapText="1"/>
    </xf>
    <xf numFmtId="182" fontId="14" fillId="0" borderId="32" xfId="1" applyNumberFormat="1" applyFont="1" applyFill="1" applyBorder="1" applyAlignment="1" applyProtection="1">
      <alignment horizontal="center" vertical="top" wrapText="1"/>
    </xf>
    <xf numFmtId="0" fontId="14" fillId="0" borderId="397" xfId="0" applyFont="1" applyBorder="1" applyAlignment="1">
      <alignment horizontal="center" vertical="top" wrapText="1"/>
    </xf>
    <xf numFmtId="0" fontId="14" fillId="0" borderId="398" xfId="0" applyFont="1" applyBorder="1" applyAlignment="1">
      <alignment horizontal="center" vertical="top" wrapText="1"/>
    </xf>
    <xf numFmtId="14" fontId="5" fillId="0" borderId="398" xfId="0" applyNumberFormat="1" applyFont="1" applyBorder="1" applyAlignment="1">
      <alignment horizontal="center" vertical="top" wrapText="1"/>
    </xf>
    <xf numFmtId="0" fontId="5" fillId="0" borderId="398" xfId="0" applyFont="1" applyBorder="1" applyAlignment="1">
      <alignment horizontal="center" vertical="top" wrapText="1"/>
    </xf>
    <xf numFmtId="165" fontId="5" fillId="0" borderId="398" xfId="0" applyNumberFormat="1" applyFont="1" applyBorder="1" applyAlignment="1">
      <alignment horizontal="center" vertical="top" wrapText="1"/>
    </xf>
    <xf numFmtId="182" fontId="5" fillId="0" borderId="398" xfId="1" applyNumberFormat="1" applyFont="1" applyFill="1" applyBorder="1" applyAlignment="1" applyProtection="1">
      <alignment horizontal="center" vertical="top" wrapText="1"/>
    </xf>
    <xf numFmtId="0" fontId="5" fillId="0" borderId="396" xfId="0" applyFont="1" applyBorder="1" applyAlignment="1">
      <alignment vertical="top" wrapText="1"/>
    </xf>
    <xf numFmtId="0" fontId="5" fillId="0" borderId="397" xfId="0" applyFont="1" applyBorder="1" applyAlignment="1">
      <alignment vertical="top" wrapText="1"/>
    </xf>
    <xf numFmtId="0" fontId="5" fillId="0" borderId="398" xfId="0" applyFont="1" applyBorder="1" applyAlignment="1">
      <alignment vertical="top" wrapText="1"/>
    </xf>
    <xf numFmtId="14" fontId="5" fillId="0" borderId="396" xfId="0" applyNumberFormat="1" applyFont="1" applyBorder="1" applyAlignment="1">
      <alignment horizontal="center" vertical="top" wrapText="1"/>
    </xf>
    <xf numFmtId="0" fontId="33" fillId="0" borderId="397" xfId="0" applyFont="1" applyBorder="1" applyAlignment="1">
      <alignment vertical="top" wrapText="1"/>
    </xf>
    <xf numFmtId="0" fontId="33" fillId="0" borderId="396" xfId="0" applyFont="1" applyBorder="1" applyAlignment="1">
      <alignment vertical="top" wrapText="1"/>
    </xf>
    <xf numFmtId="4" fontId="5" fillId="0" borderId="397" xfId="0" applyNumberFormat="1" applyFont="1" applyBorder="1" applyAlignment="1">
      <alignment vertical="top" wrapText="1"/>
    </xf>
    <xf numFmtId="4" fontId="32" fillId="0" borderId="398" xfId="0" applyNumberFormat="1" applyFont="1" applyBorder="1" applyAlignment="1">
      <alignment vertical="top" wrapText="1"/>
    </xf>
    <xf numFmtId="4" fontId="33" fillId="0" borderId="396" xfId="0" applyNumberFormat="1" applyFont="1" applyBorder="1" applyAlignment="1">
      <alignment vertical="top" wrapText="1"/>
    </xf>
    <xf numFmtId="4" fontId="5" fillId="10" borderId="397" xfId="0" applyNumberFormat="1" applyFont="1" applyFill="1" applyBorder="1" applyAlignment="1">
      <alignment vertical="top" wrapText="1"/>
    </xf>
    <xf numFmtId="4" fontId="32" fillId="10" borderId="398" xfId="0" applyNumberFormat="1" applyFont="1" applyFill="1" applyBorder="1" applyAlignment="1">
      <alignment vertical="top" wrapText="1"/>
    </xf>
    <xf numFmtId="4" fontId="33" fillId="10" borderId="396" xfId="0" applyNumberFormat="1" applyFont="1" applyFill="1" applyBorder="1" applyAlignment="1">
      <alignment vertical="top" wrapText="1"/>
    </xf>
    <xf numFmtId="4" fontId="14" fillId="0" borderId="397" xfId="0" applyNumberFormat="1" applyFont="1" applyBorder="1" applyAlignment="1">
      <alignment vertical="top" wrapText="1"/>
    </xf>
    <xf numFmtId="4" fontId="32" fillId="0" borderId="399" xfId="0" applyNumberFormat="1" applyFont="1" applyBorder="1" applyAlignment="1">
      <alignment vertical="top" wrapText="1"/>
    </xf>
    <xf numFmtId="4" fontId="28" fillId="0" borderId="396" xfId="0" applyNumberFormat="1" applyFont="1" applyBorder="1" applyAlignment="1">
      <alignment vertical="top" wrapText="1"/>
    </xf>
    <xf numFmtId="0" fontId="28" fillId="0" borderId="397" xfId="0" applyFont="1" applyBorder="1" applyAlignment="1">
      <alignment horizontal="center" vertical="top" wrapText="1"/>
    </xf>
    <xf numFmtId="173" fontId="28" fillId="0" borderId="398" xfId="0" applyNumberFormat="1" applyFont="1" applyBorder="1" applyAlignment="1">
      <alignment horizontal="center" vertical="top" wrapText="1"/>
    </xf>
    <xf numFmtId="0" fontId="28" fillId="0" borderId="398" xfId="0" applyFont="1" applyBorder="1" applyAlignment="1">
      <alignment horizontal="center" vertical="top" wrapText="1"/>
    </xf>
    <xf numFmtId="165" fontId="28" fillId="0" borderId="398" xfId="0" applyNumberFormat="1" applyFont="1" applyBorder="1" applyAlignment="1">
      <alignment horizontal="center" vertical="top" wrapText="1"/>
    </xf>
    <xf numFmtId="182" fontId="28" fillId="0" borderId="396" xfId="1" applyNumberFormat="1" applyFont="1" applyFill="1" applyBorder="1" applyAlignment="1" applyProtection="1">
      <alignment horizontal="center" vertical="top" wrapText="1"/>
    </xf>
    <xf numFmtId="40" fontId="33" fillId="0" borderId="397" xfId="0" applyNumberFormat="1" applyFont="1" applyBorder="1" applyAlignment="1">
      <alignment vertical="top" wrapText="1"/>
    </xf>
    <xf numFmtId="40" fontId="33" fillId="0" borderId="398" xfId="0" applyNumberFormat="1" applyFont="1" applyBorder="1" applyAlignment="1">
      <alignment vertical="top" wrapText="1"/>
    </xf>
    <xf numFmtId="40" fontId="33" fillId="10" borderId="398" xfId="0" applyNumberFormat="1" applyFont="1" applyFill="1" applyBorder="1" applyAlignment="1">
      <alignment vertical="top" wrapText="1"/>
    </xf>
    <xf numFmtId="40" fontId="28" fillId="0" borderId="399" xfId="0" applyNumberFormat="1" applyFont="1" applyBorder="1" applyAlignment="1">
      <alignment vertical="top" wrapText="1"/>
    </xf>
    <xf numFmtId="0" fontId="5" fillId="0" borderId="400" xfId="0" applyFont="1" applyBorder="1" applyAlignment="1">
      <alignment vertical="top" wrapText="1"/>
    </xf>
    <xf numFmtId="0" fontId="23" fillId="0" borderId="50" xfId="0" applyFont="1" applyBorder="1" applyAlignment="1">
      <alignment horizontal="center" vertical="top" wrapText="1"/>
    </xf>
    <xf numFmtId="0" fontId="118" fillId="0" borderId="58" xfId="0" applyFont="1" applyBorder="1" applyAlignment="1">
      <alignment vertical="top" wrapText="1"/>
    </xf>
    <xf numFmtId="0" fontId="26" fillId="0" borderId="58" xfId="0" applyFont="1" applyBorder="1" applyAlignment="1">
      <alignment horizontal="right" vertical="top"/>
    </xf>
    <xf numFmtId="0" fontId="28" fillId="15" borderId="63" xfId="0" applyFont="1" applyFill="1" applyBorder="1" applyAlignment="1">
      <alignment vertical="top" wrapText="1"/>
    </xf>
    <xf numFmtId="0" fontId="14" fillId="15" borderId="397" xfId="0" applyFont="1" applyFill="1" applyBorder="1" applyAlignment="1">
      <alignment horizontal="center" vertical="top" wrapText="1"/>
    </xf>
    <xf numFmtId="0" fontId="14" fillId="15" borderId="398" xfId="0" applyFont="1" applyFill="1" applyBorder="1" applyAlignment="1">
      <alignment horizontal="center" vertical="top" wrapText="1"/>
    </xf>
    <xf numFmtId="14" fontId="33" fillId="15" borderId="398" xfId="0" applyNumberFormat="1" applyFont="1" applyFill="1" applyBorder="1" applyAlignment="1">
      <alignment horizontal="center" vertical="top" wrapText="1"/>
    </xf>
    <xf numFmtId="14" fontId="5" fillId="15" borderId="398" xfId="0" applyNumberFormat="1" applyFont="1" applyFill="1" applyBorder="1" applyAlignment="1">
      <alignment horizontal="center" vertical="top" wrapText="1"/>
    </xf>
    <xf numFmtId="165" fontId="5" fillId="15" borderId="398" xfId="0" applyNumberFormat="1" applyFont="1" applyFill="1" applyBorder="1" applyAlignment="1">
      <alignment horizontal="center" vertical="top" wrapText="1"/>
    </xf>
    <xf numFmtId="0" fontId="5" fillId="15" borderId="396" xfId="0" applyFont="1" applyFill="1" applyBorder="1" applyAlignment="1">
      <alignment vertical="top" wrapText="1"/>
    </xf>
    <xf numFmtId="0" fontId="5" fillId="15" borderId="397" xfId="0" applyFont="1" applyFill="1" applyBorder="1" applyAlignment="1">
      <alignment vertical="top" wrapText="1"/>
    </xf>
    <xf numFmtId="0" fontId="5" fillId="15" borderId="398" xfId="0" applyFont="1" applyFill="1" applyBorder="1" applyAlignment="1">
      <alignment vertical="top" wrapText="1"/>
    </xf>
    <xf numFmtId="14" fontId="5" fillId="15" borderId="396" xfId="0" applyNumberFormat="1" applyFont="1" applyFill="1" applyBorder="1" applyAlignment="1">
      <alignment horizontal="center" vertical="top" wrapText="1"/>
    </xf>
    <xf numFmtId="0" fontId="33" fillId="15" borderId="397" xfId="0" applyFont="1" applyFill="1" applyBorder="1" applyAlignment="1">
      <alignment vertical="top" wrapText="1"/>
    </xf>
    <xf numFmtId="0" fontId="33" fillId="15" borderId="396" xfId="0" applyFont="1" applyFill="1" applyBorder="1" applyAlignment="1">
      <alignment vertical="top" wrapText="1"/>
    </xf>
    <xf numFmtId="4" fontId="5" fillId="15" borderId="397" xfId="0" applyNumberFormat="1" applyFont="1" applyFill="1" applyBorder="1" applyAlignment="1">
      <alignment vertical="top" wrapText="1"/>
    </xf>
    <xf numFmtId="4" fontId="32" fillId="15" borderId="398" xfId="0" applyNumberFormat="1" applyFont="1" applyFill="1" applyBorder="1" applyAlignment="1">
      <alignment vertical="top" wrapText="1"/>
    </xf>
    <xf numFmtId="4" fontId="33" fillId="15" borderId="396" xfId="0" applyNumberFormat="1" applyFont="1" applyFill="1" applyBorder="1" applyAlignment="1">
      <alignment vertical="top" wrapText="1"/>
    </xf>
    <xf numFmtId="4" fontId="14" fillId="15" borderId="397" xfId="0" applyNumberFormat="1" applyFont="1" applyFill="1" applyBorder="1" applyAlignment="1">
      <alignment vertical="top" wrapText="1"/>
    </xf>
    <xf numFmtId="4" fontId="32" fillId="15" borderId="399" xfId="0" applyNumberFormat="1" applyFont="1" applyFill="1" applyBorder="1" applyAlignment="1">
      <alignment vertical="top" wrapText="1"/>
    </xf>
    <xf numFmtId="4" fontId="28" fillId="15" borderId="396" xfId="0" applyNumberFormat="1" applyFont="1" applyFill="1" applyBorder="1" applyAlignment="1">
      <alignment vertical="top" wrapText="1"/>
    </xf>
    <xf numFmtId="0" fontId="29" fillId="15" borderId="397" xfId="0" applyFont="1" applyFill="1" applyBorder="1" applyAlignment="1">
      <alignment horizontal="center" vertical="top" wrapText="1"/>
    </xf>
    <xf numFmtId="173" fontId="29" fillId="15" borderId="398" xfId="0" applyNumberFormat="1" applyFont="1" applyFill="1" applyBorder="1" applyAlignment="1">
      <alignment horizontal="center" vertical="top" wrapText="1"/>
    </xf>
    <xf numFmtId="0" fontId="29" fillId="15" borderId="398" xfId="0" applyFont="1" applyFill="1" applyBorder="1" applyAlignment="1">
      <alignment horizontal="center" vertical="top" wrapText="1"/>
    </xf>
    <xf numFmtId="165" fontId="29" fillId="15" borderId="398" xfId="0" applyNumberFormat="1" applyFont="1" applyFill="1" applyBorder="1" applyAlignment="1">
      <alignment horizontal="center" vertical="top" wrapText="1"/>
    </xf>
    <xf numFmtId="182" fontId="29" fillId="15" borderId="396" xfId="1" applyNumberFormat="1" applyFont="1" applyFill="1" applyBorder="1" applyAlignment="1" applyProtection="1">
      <alignment horizontal="center" vertical="top" wrapText="1"/>
    </xf>
    <xf numFmtId="40" fontId="33" fillId="15" borderId="397" xfId="0" applyNumberFormat="1" applyFont="1" applyFill="1" applyBorder="1" applyAlignment="1">
      <alignment vertical="top" wrapText="1"/>
    </xf>
    <xf numFmtId="40" fontId="33" fillId="15" borderId="398" xfId="0" applyNumberFormat="1" applyFont="1" applyFill="1" applyBorder="1" applyAlignment="1">
      <alignment vertical="top" wrapText="1"/>
    </xf>
    <xf numFmtId="0" fontId="5" fillId="15" borderId="400" xfId="0" applyFont="1" applyFill="1" applyBorder="1" applyAlignment="1">
      <alignment vertical="top" wrapText="1"/>
    </xf>
    <xf numFmtId="0" fontId="5" fillId="0" borderId="401" xfId="0" applyFont="1" applyBorder="1" applyAlignment="1">
      <alignment vertical="top" wrapText="1"/>
    </xf>
    <xf numFmtId="14" fontId="5" fillId="0" borderId="401" xfId="0" applyNumberFormat="1" applyFont="1" applyBorder="1" applyAlignment="1">
      <alignment horizontal="center" vertical="top" wrapText="1"/>
    </xf>
    <xf numFmtId="0" fontId="33" fillId="0" borderId="401" xfId="0" applyFont="1" applyBorder="1" applyAlignment="1">
      <alignment vertical="top" wrapText="1"/>
    </xf>
    <xf numFmtId="4" fontId="33" fillId="0" borderId="401" xfId="0" applyNumberFormat="1" applyFont="1" applyBorder="1" applyAlignment="1">
      <alignment vertical="top" wrapText="1"/>
    </xf>
    <xf numFmtId="4" fontId="33" fillId="10" borderId="401" xfId="0" applyNumberFormat="1" applyFont="1" applyFill="1" applyBorder="1" applyAlignment="1">
      <alignment vertical="top" wrapText="1"/>
    </xf>
    <xf numFmtId="4" fontId="28" fillId="0" borderId="401" xfId="0" applyNumberFormat="1" applyFont="1" applyBorder="1" applyAlignment="1">
      <alignment vertical="top" wrapText="1"/>
    </xf>
    <xf numFmtId="0" fontId="33" fillId="0" borderId="397" xfId="0" applyFont="1" applyBorder="1" applyAlignment="1">
      <alignment horizontal="center" vertical="top" wrapText="1"/>
    </xf>
    <xf numFmtId="0" fontId="14" fillId="15" borderId="403" xfId="0" applyFont="1" applyFill="1" applyBorder="1" applyAlignment="1">
      <alignment horizontal="center" vertical="top" wrapText="1"/>
    </xf>
    <xf numFmtId="0" fontId="14" fillId="15" borderId="404" xfId="0" applyFont="1" applyFill="1" applyBorder="1" applyAlignment="1">
      <alignment horizontal="center" vertical="top" wrapText="1"/>
    </xf>
    <xf numFmtId="14" fontId="5" fillId="15" borderId="404" xfId="0" applyNumberFormat="1" applyFont="1" applyFill="1" applyBorder="1" applyAlignment="1">
      <alignment horizontal="center" vertical="top" wrapText="1"/>
    </xf>
    <xf numFmtId="0" fontId="5" fillId="15" borderId="404" xfId="0" applyFont="1" applyFill="1" applyBorder="1" applyAlignment="1">
      <alignment horizontal="center" vertical="top" wrapText="1"/>
    </xf>
    <xf numFmtId="165" fontId="5" fillId="15" borderId="404" xfId="0" applyNumberFormat="1" applyFont="1" applyFill="1" applyBorder="1" applyAlignment="1">
      <alignment horizontal="center" vertical="top" wrapText="1"/>
    </xf>
    <xf numFmtId="182" fontId="5" fillId="15" borderId="404" xfId="1" applyNumberFormat="1" applyFont="1" applyFill="1" applyBorder="1" applyAlignment="1" applyProtection="1">
      <alignment horizontal="center" vertical="top" wrapText="1"/>
    </xf>
    <xf numFmtId="0" fontId="5" fillId="15" borderId="402" xfId="0" applyFont="1" applyFill="1" applyBorder="1" applyAlignment="1">
      <alignment vertical="top" wrapText="1"/>
    </xf>
    <xf numFmtId="0" fontId="5" fillId="15" borderId="403" xfId="0" applyFont="1" applyFill="1" applyBorder="1" applyAlignment="1">
      <alignment vertical="top" wrapText="1"/>
    </xf>
    <xf numFmtId="0" fontId="5" fillId="15" borderId="404" xfId="0" applyFont="1" applyFill="1" applyBorder="1" applyAlignment="1">
      <alignment vertical="top" wrapText="1"/>
    </xf>
    <xf numFmtId="14" fontId="5" fillId="15" borderId="402" xfId="0" applyNumberFormat="1" applyFont="1" applyFill="1" applyBorder="1" applyAlignment="1">
      <alignment horizontal="center" vertical="top" wrapText="1"/>
    </xf>
    <xf numFmtId="0" fontId="32" fillId="15" borderId="403" xfId="0" applyFont="1" applyFill="1" applyBorder="1" applyAlignment="1">
      <alignment vertical="top" wrapText="1"/>
    </xf>
    <xf numFmtId="0" fontId="33" fillId="15" borderId="402" xfId="0" applyFont="1" applyFill="1" applyBorder="1" applyAlignment="1">
      <alignment vertical="top" wrapText="1"/>
    </xf>
    <xf numFmtId="4" fontId="5" fillId="15" borderId="403" xfId="0" applyNumberFormat="1" applyFont="1" applyFill="1" applyBorder="1" applyAlignment="1">
      <alignment vertical="top" wrapText="1"/>
    </xf>
    <xf numFmtId="4" fontId="32" fillId="15" borderId="404" xfId="0" applyNumberFormat="1" applyFont="1" applyFill="1" applyBorder="1" applyAlignment="1">
      <alignment vertical="top" wrapText="1"/>
    </xf>
    <xf numFmtId="4" fontId="33" fillId="15" borderId="402" xfId="0" applyNumberFormat="1" applyFont="1" applyFill="1" applyBorder="1" applyAlignment="1">
      <alignment vertical="top" wrapText="1"/>
    </xf>
    <xf numFmtId="4" fontId="14" fillId="15" borderId="403" xfId="0" applyNumberFormat="1" applyFont="1" applyFill="1" applyBorder="1" applyAlignment="1">
      <alignment vertical="top" wrapText="1"/>
    </xf>
    <xf numFmtId="4" fontId="32" fillId="15" borderId="405" xfId="0" applyNumberFormat="1" applyFont="1" applyFill="1" applyBorder="1" applyAlignment="1">
      <alignment vertical="top" wrapText="1"/>
    </xf>
    <xf numFmtId="4" fontId="28" fillId="15" borderId="402" xfId="0" applyNumberFormat="1" applyFont="1" applyFill="1" applyBorder="1" applyAlignment="1">
      <alignment vertical="top" wrapText="1"/>
    </xf>
    <xf numFmtId="0" fontId="25" fillId="15" borderId="403" xfId="0" applyFont="1" applyFill="1" applyBorder="1" applyAlignment="1">
      <alignment horizontal="center" vertical="top" wrapText="1"/>
    </xf>
    <xf numFmtId="173" fontId="28" fillId="15" borderId="404" xfId="0" applyNumberFormat="1" applyFont="1" applyFill="1" applyBorder="1" applyAlignment="1">
      <alignment horizontal="center" vertical="top" wrapText="1"/>
    </xf>
    <xf numFmtId="0" fontId="28" fillId="15" borderId="404" xfId="0" applyFont="1" applyFill="1" applyBorder="1" applyAlignment="1">
      <alignment horizontal="center" vertical="top" wrapText="1"/>
    </xf>
    <xf numFmtId="165" fontId="29" fillId="15" borderId="404" xfId="0" applyNumberFormat="1" applyFont="1" applyFill="1" applyBorder="1" applyAlignment="1">
      <alignment horizontal="center" vertical="top" wrapText="1"/>
    </xf>
    <xf numFmtId="182" fontId="29" fillId="15" borderId="402" xfId="1" applyNumberFormat="1" applyFont="1" applyFill="1" applyBorder="1" applyAlignment="1" applyProtection="1">
      <alignment horizontal="center" vertical="top" wrapText="1"/>
    </xf>
    <xf numFmtId="40" fontId="33" fillId="15" borderId="403" xfId="0" applyNumberFormat="1" applyFont="1" applyFill="1" applyBorder="1" applyAlignment="1">
      <alignment vertical="top" wrapText="1"/>
    </xf>
    <xf numFmtId="40" fontId="33" fillId="15" borderId="404" xfId="0" applyNumberFormat="1" applyFont="1" applyFill="1" applyBorder="1" applyAlignment="1">
      <alignment vertical="top" wrapText="1"/>
    </xf>
    <xf numFmtId="40" fontId="28" fillId="15" borderId="405" xfId="0" applyNumberFormat="1" applyFont="1" applyFill="1" applyBorder="1" applyAlignment="1">
      <alignment vertical="top" wrapText="1"/>
    </xf>
    <xf numFmtId="0" fontId="5" fillId="15" borderId="406" xfId="0" applyFont="1" applyFill="1" applyBorder="1" applyAlignment="1">
      <alignment vertical="top" wrapText="1"/>
    </xf>
    <xf numFmtId="0" fontId="14" fillId="0" borderId="403" xfId="0" applyFont="1" applyBorder="1" applyAlignment="1">
      <alignment horizontal="center" vertical="top" wrapText="1"/>
    </xf>
    <xf numFmtId="0" fontId="14" fillId="0" borderId="408" xfId="0" applyFont="1" applyBorder="1" applyAlignment="1">
      <alignment horizontal="center" vertical="top" wrapText="1"/>
    </xf>
    <xf numFmtId="14" fontId="5" fillId="0" borderId="408" xfId="0" applyNumberFormat="1" applyFont="1" applyBorder="1" applyAlignment="1">
      <alignment horizontal="center" vertical="top" wrapText="1"/>
    </xf>
    <xf numFmtId="0" fontId="5" fillId="0" borderId="408" xfId="0" applyFont="1" applyBorder="1" applyAlignment="1">
      <alignment horizontal="center" vertical="top" wrapText="1"/>
    </xf>
    <xf numFmtId="0" fontId="5" fillId="0" borderId="407" xfId="0" applyFont="1" applyBorder="1" applyAlignment="1">
      <alignment vertical="top" wrapText="1"/>
    </xf>
    <xf numFmtId="0" fontId="5" fillId="0" borderId="403" xfId="0" applyFont="1" applyBorder="1" applyAlignment="1">
      <alignment vertical="top" wrapText="1"/>
    </xf>
    <xf numFmtId="0" fontId="5" fillId="0" borderId="408" xfId="0" applyFont="1" applyBorder="1" applyAlignment="1">
      <alignment vertical="top" wrapText="1"/>
    </xf>
    <xf numFmtId="14" fontId="5" fillId="0" borderId="407" xfId="0" applyNumberFormat="1" applyFont="1" applyBorder="1" applyAlignment="1">
      <alignment horizontal="center" vertical="top" wrapText="1"/>
    </xf>
    <xf numFmtId="0" fontId="33" fillId="0" borderId="403" xfId="0" applyFont="1" applyBorder="1" applyAlignment="1">
      <alignment vertical="top" wrapText="1"/>
    </xf>
    <xf numFmtId="0" fontId="33" fillId="0" borderId="407" xfId="0" applyFont="1" applyBorder="1" applyAlignment="1">
      <alignment vertical="top" wrapText="1"/>
    </xf>
    <xf numFmtId="4" fontId="5" fillId="0" borderId="403" xfId="0" applyNumberFormat="1" applyFont="1" applyBorder="1" applyAlignment="1">
      <alignment vertical="top" wrapText="1"/>
    </xf>
    <xf numFmtId="4" fontId="32" fillId="0" borderId="408" xfId="0" applyNumberFormat="1" applyFont="1" applyBorder="1" applyAlignment="1">
      <alignment vertical="top" wrapText="1"/>
    </xf>
    <xf numFmtId="4" fontId="33" fillId="0" borderId="407" xfId="0" applyNumberFormat="1" applyFont="1" applyBorder="1" applyAlignment="1">
      <alignment vertical="top" wrapText="1"/>
    </xf>
    <xf numFmtId="4" fontId="14" fillId="0" borderId="403" xfId="0" applyNumberFormat="1" applyFont="1" applyBorder="1" applyAlignment="1">
      <alignment vertical="top" wrapText="1"/>
    </xf>
    <xf numFmtId="4" fontId="32" fillId="0" borderId="409" xfId="0" applyNumberFormat="1" applyFont="1" applyBorder="1" applyAlignment="1">
      <alignment vertical="top" wrapText="1"/>
    </xf>
    <xf numFmtId="4" fontId="28" fillId="0" borderId="407" xfId="0" applyNumberFormat="1" applyFont="1" applyBorder="1" applyAlignment="1">
      <alignment vertical="top" wrapText="1"/>
    </xf>
    <xf numFmtId="0" fontId="28" fillId="0" borderId="403" xfId="0" applyFont="1" applyBorder="1" applyAlignment="1">
      <alignment horizontal="center" vertical="top" wrapText="1"/>
    </xf>
    <xf numFmtId="173" fontId="28" fillId="0" borderId="408" xfId="0" applyNumberFormat="1" applyFont="1" applyBorder="1" applyAlignment="1">
      <alignment horizontal="center" vertical="top" wrapText="1"/>
    </xf>
    <xf numFmtId="0" fontId="28" fillId="0" borderId="408" xfId="0" applyFont="1" applyBorder="1" applyAlignment="1">
      <alignment horizontal="center" vertical="top" wrapText="1"/>
    </xf>
    <xf numFmtId="40" fontId="33" fillId="0" borderId="403" xfId="0" applyNumberFormat="1" applyFont="1" applyBorder="1" applyAlignment="1">
      <alignment vertical="top" wrapText="1"/>
    </xf>
    <xf numFmtId="40" fontId="33" fillId="0" borderId="408" xfId="0" applyNumberFormat="1" applyFont="1" applyBorder="1" applyAlignment="1">
      <alignment vertical="top" wrapText="1"/>
    </xf>
    <xf numFmtId="40" fontId="33" fillId="10" borderId="408" xfId="0" applyNumberFormat="1" applyFont="1" applyFill="1" applyBorder="1" applyAlignment="1">
      <alignment vertical="top" wrapText="1"/>
    </xf>
    <xf numFmtId="40" fontId="28" fillId="0" borderId="409" xfId="0" applyNumberFormat="1" applyFont="1" applyBorder="1" applyAlignment="1">
      <alignment vertical="top" wrapText="1"/>
    </xf>
    <xf numFmtId="0" fontId="5" fillId="0" borderId="406" xfId="0" applyFont="1" applyBorder="1" applyAlignment="1">
      <alignment vertical="top" wrapText="1"/>
    </xf>
    <xf numFmtId="0" fontId="32" fillId="15" borderId="67" xfId="0" applyFont="1" applyFill="1" applyBorder="1" applyAlignment="1">
      <alignment vertical="top" wrapText="1"/>
    </xf>
    <xf numFmtId="0" fontId="26" fillId="15" borderId="50" xfId="0" applyFont="1" applyFill="1" applyBorder="1" applyAlignment="1">
      <alignment horizontal="center" vertical="top" wrapText="1"/>
    </xf>
    <xf numFmtId="173" fontId="33" fillId="15" borderId="23" xfId="0" applyNumberFormat="1" applyFont="1" applyFill="1" applyBorder="1" applyAlignment="1">
      <alignment horizontal="center" vertical="top" wrapText="1"/>
    </xf>
    <xf numFmtId="0" fontId="5" fillId="15" borderId="378" xfId="0" applyFont="1" applyFill="1" applyBorder="1" applyAlignment="1">
      <alignment vertical="top" wrapText="1"/>
    </xf>
    <xf numFmtId="0" fontId="14" fillId="15" borderId="379" xfId="0" applyFont="1" applyFill="1" applyBorder="1" applyAlignment="1">
      <alignment horizontal="center" vertical="top" wrapText="1"/>
    </xf>
    <xf numFmtId="0" fontId="14" fillId="15" borderId="380" xfId="0" applyFont="1" applyFill="1" applyBorder="1" applyAlignment="1">
      <alignment horizontal="center" vertical="top" wrapText="1"/>
    </xf>
    <xf numFmtId="14" fontId="5" fillId="15" borderId="380" xfId="0" applyNumberFormat="1" applyFont="1" applyFill="1" applyBorder="1" applyAlignment="1">
      <alignment horizontal="center" vertical="top" wrapText="1"/>
    </xf>
    <xf numFmtId="0" fontId="5" fillId="15" borderId="380" xfId="0" applyFont="1" applyFill="1" applyBorder="1" applyAlignment="1">
      <alignment horizontal="center" vertical="top" wrapText="1"/>
    </xf>
    <xf numFmtId="165" fontId="5" fillId="15" borderId="380" xfId="0" applyNumberFormat="1" applyFont="1" applyFill="1" applyBorder="1" applyAlignment="1">
      <alignment horizontal="center" vertical="top" wrapText="1"/>
    </xf>
    <xf numFmtId="182" fontId="5" fillId="15" borderId="380" xfId="1" applyNumberFormat="1" applyFont="1" applyFill="1" applyBorder="1" applyAlignment="1" applyProtection="1">
      <alignment horizontal="center" vertical="top" wrapText="1"/>
    </xf>
    <xf numFmtId="0" fontId="5" fillId="15" borderId="379" xfId="0" applyFont="1" applyFill="1" applyBorder="1" applyAlignment="1">
      <alignment vertical="top" wrapText="1"/>
    </xf>
    <xf numFmtId="0" fontId="5" fillId="15" borderId="380" xfId="0" applyFont="1" applyFill="1" applyBorder="1" applyAlignment="1">
      <alignment vertical="top" wrapText="1"/>
    </xf>
    <xf numFmtId="14" fontId="5" fillId="15" borderId="378" xfId="0" applyNumberFormat="1" applyFont="1" applyFill="1" applyBorder="1" applyAlignment="1">
      <alignment horizontal="center" vertical="top" wrapText="1"/>
    </xf>
    <xf numFmtId="0" fontId="33" fillId="15" borderId="379" xfId="0" applyFont="1" applyFill="1" applyBorder="1" applyAlignment="1">
      <alignment vertical="top" wrapText="1"/>
    </xf>
    <xf numFmtId="0" fontId="33" fillId="15" borderId="378" xfId="0" applyFont="1" applyFill="1" applyBorder="1" applyAlignment="1">
      <alignment vertical="top" wrapText="1"/>
    </xf>
    <xf numFmtId="4" fontId="5" fillId="15" borderId="379" xfId="0" applyNumberFormat="1" applyFont="1" applyFill="1" applyBorder="1" applyAlignment="1">
      <alignment vertical="top" wrapText="1"/>
    </xf>
    <xf numFmtId="4" fontId="32" fillId="15" borderId="380" xfId="0" applyNumberFormat="1" applyFont="1" applyFill="1" applyBorder="1" applyAlignment="1">
      <alignment vertical="top" wrapText="1"/>
    </xf>
    <xf numFmtId="4" fontId="33" fillId="15" borderId="378" xfId="0" applyNumberFormat="1" applyFont="1" applyFill="1" applyBorder="1" applyAlignment="1">
      <alignment vertical="top" wrapText="1"/>
    </xf>
    <xf numFmtId="4" fontId="14" fillId="15" borderId="379" xfId="0" applyNumberFormat="1" applyFont="1" applyFill="1" applyBorder="1" applyAlignment="1">
      <alignment vertical="top" wrapText="1"/>
    </xf>
    <xf numFmtId="4" fontId="32" fillId="15" borderId="381" xfId="0" applyNumberFormat="1" applyFont="1" applyFill="1" applyBorder="1" applyAlignment="1">
      <alignment vertical="top" wrapText="1"/>
    </xf>
    <xf numFmtId="4" fontId="28" fillId="15" borderId="378" xfId="0" applyNumberFormat="1" applyFont="1" applyFill="1" applyBorder="1" applyAlignment="1">
      <alignment vertical="top" wrapText="1"/>
    </xf>
    <xf numFmtId="165" fontId="28" fillId="15" borderId="380" xfId="0" applyNumberFormat="1" applyFont="1" applyFill="1" applyBorder="1" applyAlignment="1">
      <alignment horizontal="center" vertical="top" wrapText="1"/>
    </xf>
    <xf numFmtId="182" fontId="28" fillId="15" borderId="378" xfId="1" applyNumberFormat="1" applyFont="1" applyFill="1" applyBorder="1" applyAlignment="1" applyProtection="1">
      <alignment horizontal="center" vertical="top" wrapText="1"/>
    </xf>
    <xf numFmtId="40" fontId="33" fillId="15" borderId="379" xfId="0" applyNumberFormat="1" applyFont="1" applyFill="1" applyBorder="1" applyAlignment="1">
      <alignment vertical="top" wrapText="1"/>
    </xf>
    <xf numFmtId="40" fontId="33" fillId="15" borderId="380" xfId="0" applyNumberFormat="1" applyFont="1" applyFill="1" applyBorder="1" applyAlignment="1">
      <alignment vertical="top" wrapText="1"/>
    </xf>
    <xf numFmtId="40" fontId="28" fillId="15" borderId="381" xfId="0" applyNumberFormat="1" applyFont="1" applyFill="1" applyBorder="1" applyAlignment="1">
      <alignment vertical="top" wrapText="1"/>
    </xf>
    <xf numFmtId="0" fontId="5" fillId="15" borderId="382" xfId="0" applyFont="1" applyFill="1" applyBorder="1" applyAlignment="1">
      <alignment vertical="top" wrapText="1"/>
    </xf>
    <xf numFmtId="0" fontId="28" fillId="15" borderId="379" xfId="0" applyFont="1" applyFill="1" applyBorder="1" applyAlignment="1">
      <alignment horizontal="center" vertical="top" wrapText="1"/>
    </xf>
    <xf numFmtId="173" fontId="28" fillId="15" borderId="380" xfId="0" applyNumberFormat="1" applyFont="1" applyFill="1" applyBorder="1" applyAlignment="1">
      <alignment horizontal="center" vertical="top" wrapText="1"/>
    </xf>
    <xf numFmtId="0" fontId="28" fillId="15" borderId="380" xfId="0" applyFont="1" applyFill="1" applyBorder="1" applyAlignment="1">
      <alignment horizontal="center" vertical="top" wrapText="1"/>
    </xf>
    <xf numFmtId="40" fontId="29" fillId="15" borderId="399" xfId="0" applyNumberFormat="1" applyFont="1" applyFill="1" applyBorder="1" applyAlignment="1">
      <alignment vertical="top" wrapText="1"/>
    </xf>
    <xf numFmtId="0" fontId="14" fillId="15" borderId="411" xfId="0" applyFont="1" applyFill="1" applyBorder="1" applyAlignment="1">
      <alignment horizontal="center" vertical="top" wrapText="1"/>
    </xf>
    <xf numFmtId="14" fontId="5" fillId="15" borderId="411" xfId="0" applyNumberFormat="1" applyFont="1" applyFill="1" applyBorder="1" applyAlignment="1">
      <alignment horizontal="center" vertical="top" wrapText="1"/>
    </xf>
    <xf numFmtId="165" fontId="5" fillId="15" borderId="411" xfId="0" applyNumberFormat="1" applyFont="1" applyFill="1" applyBorder="1" applyAlignment="1">
      <alignment horizontal="center" vertical="top" wrapText="1"/>
    </xf>
    <xf numFmtId="182" fontId="89" fillId="15" borderId="411" xfId="1" applyNumberFormat="1" applyFont="1" applyFill="1" applyBorder="1" applyAlignment="1" applyProtection="1">
      <alignment horizontal="center" vertical="top" wrapText="1"/>
    </xf>
    <xf numFmtId="0" fontId="5" fillId="15" borderId="410" xfId="0" applyFont="1" applyFill="1" applyBorder="1" applyAlignment="1">
      <alignment vertical="top" wrapText="1"/>
    </xf>
    <xf numFmtId="0" fontId="5" fillId="15" borderId="411" xfId="0" applyFont="1" applyFill="1" applyBorder="1" applyAlignment="1">
      <alignment vertical="top" wrapText="1"/>
    </xf>
    <xf numFmtId="14" fontId="5" fillId="15" borderId="410" xfId="0" applyNumberFormat="1" applyFont="1" applyFill="1" applyBorder="1" applyAlignment="1">
      <alignment horizontal="center" vertical="top" wrapText="1"/>
    </xf>
    <xf numFmtId="0" fontId="33" fillId="15" borderId="410" xfId="0" applyFont="1" applyFill="1" applyBorder="1" applyAlignment="1">
      <alignment vertical="top" wrapText="1"/>
    </xf>
    <xf numFmtId="4" fontId="32" fillId="15" borderId="411" xfId="0" applyNumberFormat="1" applyFont="1" applyFill="1" applyBorder="1" applyAlignment="1">
      <alignment vertical="top" wrapText="1"/>
    </xf>
    <xf numFmtId="4" fontId="33" fillId="15" borderId="410" xfId="0" applyNumberFormat="1" applyFont="1" applyFill="1" applyBorder="1" applyAlignment="1">
      <alignment vertical="top" wrapText="1"/>
    </xf>
    <xf numFmtId="4" fontId="32" fillId="15" borderId="412" xfId="0" applyNumberFormat="1" applyFont="1" applyFill="1" applyBorder="1" applyAlignment="1">
      <alignment vertical="top" wrapText="1"/>
    </xf>
    <xf numFmtId="4" fontId="28" fillId="15" borderId="410" xfId="0" applyNumberFormat="1" applyFont="1" applyFill="1" applyBorder="1" applyAlignment="1">
      <alignment vertical="top" wrapText="1"/>
    </xf>
    <xf numFmtId="0" fontId="29" fillId="15" borderId="403" xfId="0" applyFont="1" applyFill="1" applyBorder="1" applyAlignment="1">
      <alignment horizontal="center" vertical="top" wrapText="1"/>
    </xf>
    <xf numFmtId="173" fontId="29" fillId="15" borderId="411" xfId="0" applyNumberFormat="1" applyFont="1" applyFill="1" applyBorder="1" applyAlignment="1">
      <alignment horizontal="center" vertical="top" wrapText="1"/>
    </xf>
    <xf numFmtId="0" fontId="29" fillId="15" borderId="411" xfId="0" applyFont="1" applyFill="1" applyBorder="1" applyAlignment="1">
      <alignment horizontal="center" vertical="top" wrapText="1"/>
    </xf>
    <xf numFmtId="165" fontId="29" fillId="15" borderId="411" xfId="0" applyNumberFormat="1" applyFont="1" applyFill="1" applyBorder="1" applyAlignment="1">
      <alignment horizontal="center" vertical="top" wrapText="1"/>
    </xf>
    <xf numFmtId="182" fontId="29" fillId="15" borderId="410" xfId="1" applyNumberFormat="1" applyFont="1" applyFill="1" applyBorder="1" applyAlignment="1" applyProtection="1">
      <alignment horizontal="center" vertical="top" wrapText="1"/>
    </xf>
    <xf numFmtId="40" fontId="33" fillId="15" borderId="411" xfId="0" applyNumberFormat="1" applyFont="1" applyFill="1" applyBorder="1" applyAlignment="1">
      <alignment vertical="top" wrapText="1"/>
    </xf>
    <xf numFmtId="40" fontId="29" fillId="15" borderId="412" xfId="0" applyNumberFormat="1" applyFont="1" applyFill="1" applyBorder="1" applyAlignment="1">
      <alignment vertical="top" wrapText="1"/>
    </xf>
    <xf numFmtId="15" fontId="26" fillId="0" borderId="57" xfId="0" applyNumberFormat="1" applyFont="1" applyBorder="1" applyAlignment="1">
      <alignment horizontal="center" vertical="top"/>
    </xf>
    <xf numFmtId="0" fontId="23" fillId="0" borderId="3" xfId="0" applyFont="1" applyBorder="1" applyAlignment="1">
      <alignment vertical="top"/>
    </xf>
    <xf numFmtId="0" fontId="14" fillId="0" borderId="379" xfId="0" applyFont="1" applyBorder="1" applyAlignment="1">
      <alignment horizontal="center" vertical="top" wrapText="1"/>
    </xf>
    <xf numFmtId="8" fontId="32" fillId="0" borderId="16" xfId="0" applyNumberFormat="1" applyFont="1" applyBorder="1" applyAlignment="1">
      <alignment vertical="top" wrapText="1"/>
    </xf>
    <xf numFmtId="0" fontId="5" fillId="0" borderId="413" xfId="0" applyFont="1" applyBorder="1" applyAlignment="1">
      <alignment vertical="top" wrapText="1"/>
    </xf>
    <xf numFmtId="0" fontId="14" fillId="0" borderId="415" xfId="0" applyFont="1" applyBorder="1" applyAlignment="1">
      <alignment horizontal="center" vertical="top" wrapText="1"/>
    </xf>
    <xf numFmtId="0" fontId="14" fillId="0" borderId="416" xfId="0" applyFont="1" applyBorder="1" applyAlignment="1">
      <alignment horizontal="center" vertical="top" wrapText="1"/>
    </xf>
    <xf numFmtId="14" fontId="5" fillId="0" borderId="416" xfId="0" applyNumberFormat="1" applyFont="1" applyBorder="1" applyAlignment="1">
      <alignment horizontal="center" vertical="top" wrapText="1"/>
    </xf>
    <xf numFmtId="0" fontId="5" fillId="0" borderId="416" xfId="0" applyFont="1" applyBorder="1" applyAlignment="1">
      <alignment horizontal="center" vertical="top" wrapText="1"/>
    </xf>
    <xf numFmtId="165" fontId="5" fillId="0" borderId="416" xfId="0" applyNumberFormat="1" applyFont="1" applyBorder="1" applyAlignment="1">
      <alignment horizontal="center" vertical="top" wrapText="1"/>
    </xf>
    <xf numFmtId="182" fontId="14" fillId="0" borderId="416" xfId="1" applyNumberFormat="1" applyFont="1" applyFill="1" applyBorder="1" applyAlignment="1" applyProtection="1">
      <alignment horizontal="center" vertical="top" wrapText="1"/>
    </xf>
    <xf numFmtId="0" fontId="5" fillId="0" borderId="414" xfId="0" applyFont="1" applyBorder="1" applyAlignment="1">
      <alignment vertical="top" wrapText="1"/>
    </xf>
    <xf numFmtId="0" fontId="5" fillId="0" borderId="415" xfId="0" applyFont="1" applyBorder="1" applyAlignment="1">
      <alignment vertical="top" wrapText="1"/>
    </xf>
    <xf numFmtId="0" fontId="5" fillId="0" borderId="416" xfId="0" applyFont="1" applyBorder="1" applyAlignment="1">
      <alignment vertical="top" wrapText="1"/>
    </xf>
    <xf numFmtId="14" fontId="5" fillId="0" borderId="414" xfId="0" applyNumberFormat="1" applyFont="1" applyBorder="1" applyAlignment="1">
      <alignment horizontal="center" vertical="top" wrapText="1"/>
    </xf>
    <xf numFmtId="0" fontId="33" fillId="0" borderId="415" xfId="0" applyFont="1" applyBorder="1" applyAlignment="1">
      <alignment vertical="top" wrapText="1"/>
    </xf>
    <xf numFmtId="0" fontId="33" fillId="0" borderId="414" xfId="0" applyFont="1" applyBorder="1" applyAlignment="1">
      <alignment vertical="top" wrapText="1"/>
    </xf>
    <xf numFmtId="4" fontId="5" fillId="0" borderId="415" xfId="0" applyNumberFormat="1" applyFont="1" applyBorder="1" applyAlignment="1">
      <alignment vertical="top" wrapText="1"/>
    </xf>
    <xf numFmtId="4" fontId="32" fillId="0" borderId="416" xfId="0" applyNumberFormat="1" applyFont="1" applyBorder="1" applyAlignment="1">
      <alignment vertical="top" wrapText="1"/>
    </xf>
    <xf numFmtId="4" fontId="33" fillId="0" borderId="414" xfId="0" applyNumberFormat="1" applyFont="1" applyBorder="1" applyAlignment="1">
      <alignment vertical="top" wrapText="1"/>
    </xf>
    <xf numFmtId="4" fontId="5" fillId="10" borderId="415" xfId="0" applyNumberFormat="1" applyFont="1" applyFill="1" applyBorder="1" applyAlignment="1">
      <alignment vertical="top" wrapText="1"/>
    </xf>
    <xf numFmtId="4" fontId="32" fillId="10" borderId="416" xfId="0" applyNumberFormat="1" applyFont="1" applyFill="1" applyBorder="1" applyAlignment="1">
      <alignment vertical="top" wrapText="1"/>
    </xf>
    <xf numFmtId="4" fontId="33" fillId="10" borderId="414" xfId="0" applyNumberFormat="1" applyFont="1" applyFill="1" applyBorder="1" applyAlignment="1">
      <alignment vertical="top" wrapText="1"/>
    </xf>
    <xf numFmtId="4" fontId="14" fillId="0" borderId="415" xfId="0" applyNumberFormat="1" applyFont="1" applyBorder="1" applyAlignment="1">
      <alignment vertical="top" wrapText="1"/>
    </xf>
    <xf numFmtId="4" fontId="32" fillId="0" borderId="417" xfId="0" applyNumberFormat="1" applyFont="1" applyBorder="1" applyAlignment="1">
      <alignment vertical="top" wrapText="1"/>
    </xf>
    <xf numFmtId="4" fontId="28" fillId="0" borderId="414" xfId="0" applyNumberFormat="1" applyFont="1" applyBorder="1" applyAlignment="1">
      <alignment vertical="top" wrapText="1"/>
    </xf>
    <xf numFmtId="0" fontId="28" fillId="0" borderId="415" xfId="0" applyFont="1" applyBorder="1" applyAlignment="1">
      <alignment horizontal="center" vertical="top" wrapText="1"/>
    </xf>
    <xf numFmtId="173" fontId="28" fillId="0" borderId="416" xfId="0" applyNumberFormat="1" applyFont="1" applyBorder="1" applyAlignment="1">
      <alignment horizontal="center" vertical="top" wrapText="1"/>
    </xf>
    <xf numFmtId="0" fontId="28" fillId="0" borderId="416" xfId="0" applyFont="1" applyBorder="1" applyAlignment="1">
      <alignment horizontal="center" vertical="top" wrapText="1"/>
    </xf>
    <xf numFmtId="165" fontId="28" fillId="0" borderId="416" xfId="0" applyNumberFormat="1" applyFont="1" applyBorder="1" applyAlignment="1">
      <alignment horizontal="center" vertical="top" wrapText="1"/>
    </xf>
    <xf numFmtId="182" fontId="28" fillId="0" borderId="414" xfId="1" applyNumberFormat="1" applyFont="1" applyFill="1" applyBorder="1" applyAlignment="1" applyProtection="1">
      <alignment horizontal="center" vertical="top" wrapText="1"/>
    </xf>
    <xf numFmtId="40" fontId="33" fillId="0" borderId="415" xfId="0" applyNumberFormat="1" applyFont="1" applyBorder="1" applyAlignment="1">
      <alignment vertical="top" wrapText="1"/>
    </xf>
    <xf numFmtId="40" fontId="33" fillId="0" borderId="416" xfId="0" applyNumberFormat="1" applyFont="1" applyBorder="1" applyAlignment="1">
      <alignment vertical="top" wrapText="1"/>
    </xf>
    <xf numFmtId="40" fontId="33" fillId="10" borderId="416" xfId="0" applyNumberFormat="1" applyFont="1" applyFill="1" applyBorder="1" applyAlignment="1">
      <alignment vertical="top" wrapText="1"/>
    </xf>
    <xf numFmtId="40" fontId="28" fillId="0" borderId="417" xfId="0" applyNumberFormat="1" applyFont="1" applyBorder="1" applyAlignment="1">
      <alignment vertical="top" wrapText="1"/>
    </xf>
    <xf numFmtId="0" fontId="5" fillId="0" borderId="418" xfId="0" applyFont="1" applyBorder="1" applyAlignment="1">
      <alignment vertical="top" wrapText="1"/>
    </xf>
    <xf numFmtId="0" fontId="14" fillId="0" borderId="420" xfId="0" applyFont="1" applyBorder="1" applyAlignment="1">
      <alignment horizontal="center" vertical="top" wrapText="1"/>
    </xf>
    <xf numFmtId="14" fontId="5" fillId="0" borderId="420" xfId="0" applyNumberFormat="1" applyFont="1" applyBorder="1" applyAlignment="1">
      <alignment horizontal="center" vertical="top" wrapText="1"/>
    </xf>
    <xf numFmtId="165" fontId="5" fillId="0" borderId="420" xfId="0" applyNumberFormat="1" applyFont="1" applyBorder="1" applyAlignment="1">
      <alignment horizontal="center" vertical="top" wrapText="1"/>
    </xf>
    <xf numFmtId="182" fontId="5" fillId="0" borderId="420" xfId="1" applyNumberFormat="1" applyFont="1" applyFill="1" applyBorder="1" applyAlignment="1" applyProtection="1">
      <alignment horizontal="center" vertical="top" wrapText="1"/>
    </xf>
    <xf numFmtId="0" fontId="5" fillId="0" borderId="419" xfId="0" applyFont="1" applyBorder="1" applyAlignment="1">
      <alignment vertical="top" wrapText="1"/>
    </xf>
    <xf numFmtId="0" fontId="5" fillId="0" borderId="420" xfId="0" applyFont="1" applyBorder="1" applyAlignment="1">
      <alignment vertical="top" wrapText="1"/>
    </xf>
    <xf numFmtId="14" fontId="5" fillId="0" borderId="419" xfId="0" applyNumberFormat="1" applyFont="1" applyBorder="1" applyAlignment="1">
      <alignment horizontal="center" vertical="top" wrapText="1"/>
    </xf>
    <xf numFmtId="0" fontId="33" fillId="0" borderId="419" xfId="0" applyFont="1" applyBorder="1" applyAlignment="1">
      <alignment vertical="top" wrapText="1"/>
    </xf>
    <xf numFmtId="4" fontId="32" fillId="0" borderId="420" xfId="0" applyNumberFormat="1" applyFont="1" applyBorder="1" applyAlignment="1">
      <alignment vertical="top" wrapText="1"/>
    </xf>
    <xf numFmtId="4" fontId="33" fillId="0" borderId="419" xfId="0" applyNumberFormat="1" applyFont="1" applyBorder="1" applyAlignment="1">
      <alignment vertical="top" wrapText="1"/>
    </xf>
    <xf numFmtId="4" fontId="32" fillId="0" borderId="421" xfId="0" applyNumberFormat="1" applyFont="1" applyBorder="1" applyAlignment="1">
      <alignment vertical="top" wrapText="1"/>
    </xf>
    <xf numFmtId="4" fontId="28" fillId="0" borderId="419" xfId="0" applyNumberFormat="1" applyFont="1" applyBorder="1" applyAlignment="1">
      <alignment vertical="top" wrapText="1"/>
    </xf>
    <xf numFmtId="173" fontId="28" fillId="0" borderId="420" xfId="0" applyNumberFormat="1" applyFont="1" applyBorder="1" applyAlignment="1">
      <alignment horizontal="center" vertical="top" wrapText="1"/>
    </xf>
    <xf numFmtId="0" fontId="28" fillId="0" borderId="420" xfId="0" applyFont="1" applyBorder="1" applyAlignment="1">
      <alignment horizontal="center" vertical="top" wrapText="1"/>
    </xf>
    <xf numFmtId="165" fontId="29" fillId="0" borderId="420" xfId="0" applyNumberFormat="1" applyFont="1" applyBorder="1" applyAlignment="1">
      <alignment horizontal="center" vertical="top" wrapText="1"/>
    </xf>
    <xf numFmtId="182" fontId="29" fillId="0" borderId="419" xfId="1" applyNumberFormat="1" applyFont="1" applyFill="1" applyBorder="1" applyAlignment="1" applyProtection="1">
      <alignment horizontal="center" vertical="top" wrapText="1"/>
    </xf>
    <xf numFmtId="40" fontId="33" fillId="0" borderId="420" xfId="0" applyNumberFormat="1" applyFont="1" applyBorder="1" applyAlignment="1">
      <alignment vertical="top" wrapText="1"/>
    </xf>
    <xf numFmtId="40" fontId="28" fillId="0" borderId="421" xfId="0" applyNumberFormat="1" applyFont="1" applyBorder="1" applyAlignment="1">
      <alignment vertical="top" wrapText="1"/>
    </xf>
    <xf numFmtId="0" fontId="32" fillId="15" borderId="23" xfId="0" applyFont="1" applyFill="1" applyBorder="1" applyAlignment="1">
      <alignment horizontal="center" vertical="top" wrapText="1"/>
    </xf>
    <xf numFmtId="0" fontId="5" fillId="28" borderId="229" xfId="0" applyFont="1" applyFill="1" applyBorder="1" applyAlignment="1">
      <alignment vertical="top" wrapText="1"/>
    </xf>
    <xf numFmtId="0" fontId="14" fillId="15" borderId="420" xfId="0" applyFont="1" applyFill="1" applyBorder="1" applyAlignment="1">
      <alignment horizontal="center" vertical="top" wrapText="1"/>
    </xf>
    <xf numFmtId="14" fontId="5" fillId="15" borderId="420" xfId="0" applyNumberFormat="1" applyFont="1" applyFill="1" applyBorder="1" applyAlignment="1">
      <alignment horizontal="center" vertical="top" wrapText="1"/>
    </xf>
    <xf numFmtId="165" fontId="5" fillId="15" borderId="420" xfId="0" applyNumberFormat="1" applyFont="1" applyFill="1" applyBorder="1" applyAlignment="1">
      <alignment horizontal="center" vertical="top" wrapText="1"/>
    </xf>
    <xf numFmtId="182" fontId="5" fillId="15" borderId="420" xfId="1" applyNumberFormat="1" applyFont="1" applyFill="1" applyBorder="1" applyAlignment="1" applyProtection="1">
      <alignment horizontal="center" vertical="top" wrapText="1"/>
    </xf>
    <xf numFmtId="0" fontId="5" fillId="15" borderId="419" xfId="0" applyFont="1" applyFill="1" applyBorder="1" applyAlignment="1">
      <alignment vertical="top" wrapText="1"/>
    </xf>
    <xf numFmtId="0" fontId="5" fillId="15" borderId="420" xfId="0" applyFont="1" applyFill="1" applyBorder="1" applyAlignment="1">
      <alignment vertical="top" wrapText="1"/>
    </xf>
    <xf numFmtId="14" fontId="5" fillId="15" borderId="419" xfId="0" applyNumberFormat="1" applyFont="1" applyFill="1" applyBorder="1" applyAlignment="1">
      <alignment horizontal="center" vertical="top" wrapText="1"/>
    </xf>
    <xf numFmtId="0" fontId="33" fillId="15" borderId="403" xfId="0" applyFont="1" applyFill="1" applyBorder="1" applyAlignment="1">
      <alignment vertical="top" wrapText="1"/>
    </xf>
    <xf numFmtId="0" fontId="33" fillId="15" borderId="419" xfId="0" applyFont="1" applyFill="1" applyBorder="1" applyAlignment="1">
      <alignment vertical="top" wrapText="1"/>
    </xf>
    <xf numFmtId="4" fontId="32" fillId="15" borderId="420" xfId="0" applyNumberFormat="1" applyFont="1" applyFill="1" applyBorder="1" applyAlignment="1">
      <alignment vertical="top" wrapText="1"/>
    </xf>
    <xf numFmtId="4" fontId="33" fillId="15" borderId="419" xfId="0" applyNumberFormat="1" applyFont="1" applyFill="1" applyBorder="1" applyAlignment="1">
      <alignment vertical="top" wrapText="1"/>
    </xf>
    <xf numFmtId="4" fontId="32" fillId="15" borderId="421" xfId="0" applyNumberFormat="1" applyFont="1" applyFill="1" applyBorder="1" applyAlignment="1">
      <alignment vertical="top" wrapText="1"/>
    </xf>
    <xf numFmtId="4" fontId="28" fillId="15" borderId="419" xfId="0" applyNumberFormat="1" applyFont="1" applyFill="1" applyBorder="1" applyAlignment="1">
      <alignment vertical="top" wrapText="1"/>
    </xf>
    <xf numFmtId="0" fontId="28" fillId="15" borderId="403" xfId="0" applyFont="1" applyFill="1" applyBorder="1" applyAlignment="1">
      <alignment horizontal="center" vertical="top" wrapText="1"/>
    </xf>
    <xf numFmtId="173" fontId="28" fillId="15" borderId="420" xfId="0" applyNumberFormat="1" applyFont="1" applyFill="1" applyBorder="1" applyAlignment="1">
      <alignment horizontal="center" vertical="top" wrapText="1"/>
    </xf>
    <xf numFmtId="0" fontId="28" fillId="15" borderId="420" xfId="0" applyFont="1" applyFill="1" applyBorder="1" applyAlignment="1">
      <alignment horizontal="center" vertical="top" wrapText="1"/>
    </xf>
    <xf numFmtId="165" fontId="29" fillId="15" borderId="420" xfId="0" applyNumberFormat="1" applyFont="1" applyFill="1" applyBorder="1" applyAlignment="1">
      <alignment horizontal="center" vertical="top" wrapText="1"/>
    </xf>
    <xf numFmtId="182" fontId="29" fillId="15" borderId="419" xfId="1" applyNumberFormat="1" applyFont="1" applyFill="1" applyBorder="1" applyAlignment="1" applyProtection="1">
      <alignment horizontal="center" vertical="top" wrapText="1"/>
    </xf>
    <xf numFmtId="40" fontId="33" fillId="15" borderId="420" xfId="0" applyNumberFormat="1" applyFont="1" applyFill="1" applyBorder="1" applyAlignment="1">
      <alignment vertical="top" wrapText="1"/>
    </xf>
    <xf numFmtId="40" fontId="28" fillId="15" borderId="421" xfId="0" applyNumberFormat="1" applyFont="1" applyFill="1" applyBorder="1" applyAlignment="1">
      <alignment vertical="top" wrapText="1"/>
    </xf>
    <xf numFmtId="4" fontId="28" fillId="0" borderId="63" xfId="0" applyNumberFormat="1" applyFont="1" applyBorder="1" applyAlignment="1">
      <alignment vertical="top" wrapText="1"/>
    </xf>
    <xf numFmtId="0" fontId="14" fillId="0" borderId="424" xfId="0" applyFont="1" applyBorder="1" applyAlignment="1">
      <alignment horizontal="center" vertical="top" wrapText="1"/>
    </xf>
    <xf numFmtId="14" fontId="5" fillId="0" borderId="424" xfId="0" applyNumberFormat="1" applyFont="1" applyBorder="1" applyAlignment="1">
      <alignment horizontal="center" vertical="top" wrapText="1"/>
    </xf>
    <xf numFmtId="0" fontId="5" fillId="0" borderId="424" xfId="0" applyFont="1" applyBorder="1" applyAlignment="1">
      <alignment horizontal="center" vertical="top" wrapText="1"/>
    </xf>
    <xf numFmtId="0" fontId="5" fillId="0" borderId="423" xfId="0" applyFont="1" applyBorder="1" applyAlignment="1">
      <alignment vertical="top" wrapText="1"/>
    </xf>
    <xf numFmtId="0" fontId="5" fillId="0" borderId="424" xfId="0" applyFont="1" applyBorder="1" applyAlignment="1">
      <alignment vertical="top" wrapText="1"/>
    </xf>
    <xf numFmtId="14" fontId="5" fillId="0" borderId="423" xfId="0" applyNumberFormat="1" applyFont="1" applyBorder="1" applyAlignment="1">
      <alignment horizontal="center" vertical="top" wrapText="1"/>
    </xf>
    <xf numFmtId="0" fontId="33" fillId="0" borderId="423" xfId="0" applyFont="1" applyBorder="1" applyAlignment="1">
      <alignment vertical="top" wrapText="1"/>
    </xf>
    <xf numFmtId="4" fontId="32" fillId="0" borderId="424" xfId="0" applyNumberFormat="1" applyFont="1" applyBorder="1" applyAlignment="1">
      <alignment vertical="top" wrapText="1"/>
    </xf>
    <xf numFmtId="4" fontId="33" fillId="0" borderId="423" xfId="0" applyNumberFormat="1" applyFont="1" applyBorder="1" applyAlignment="1">
      <alignment vertical="top" wrapText="1"/>
    </xf>
    <xf numFmtId="4" fontId="32" fillId="0" borderId="425" xfId="0" applyNumberFormat="1" applyFont="1" applyBorder="1" applyAlignment="1">
      <alignment vertical="top" wrapText="1"/>
    </xf>
    <xf numFmtId="4" fontId="28" fillId="0" borderId="423" xfId="0" applyNumberFormat="1" applyFont="1" applyBorder="1" applyAlignment="1">
      <alignment vertical="top" wrapText="1"/>
    </xf>
    <xf numFmtId="173" fontId="28" fillId="0" borderId="424" xfId="0" applyNumberFormat="1" applyFont="1" applyBorder="1" applyAlignment="1">
      <alignment horizontal="center" vertical="top" wrapText="1"/>
    </xf>
    <xf numFmtId="0" fontId="28" fillId="0" borderId="424" xfId="0" applyFont="1" applyBorder="1" applyAlignment="1">
      <alignment horizontal="center" vertical="top" wrapText="1"/>
    </xf>
    <xf numFmtId="40" fontId="33" fillId="0" borderId="424" xfId="0" applyNumberFormat="1" applyFont="1" applyBorder="1" applyAlignment="1">
      <alignment vertical="top" wrapText="1"/>
    </xf>
    <xf numFmtId="40" fontId="28" fillId="0" borderId="425" xfId="0" applyNumberFormat="1" applyFont="1" applyBorder="1" applyAlignment="1">
      <alignment vertical="top" wrapText="1"/>
    </xf>
    <xf numFmtId="166" fontId="12" fillId="28" borderId="34" xfId="0" applyNumberFormat="1" applyFont="1" applyFill="1" applyBorder="1" applyAlignment="1">
      <alignment horizontal="center" vertical="top" wrapText="1"/>
    </xf>
    <xf numFmtId="0" fontId="6" fillId="28" borderId="64" xfId="0" applyFont="1" applyFill="1" applyBorder="1" applyAlignment="1">
      <alignment horizontal="center" vertical="top" wrapText="1"/>
    </xf>
    <xf numFmtId="49" fontId="6" fillId="28" borderId="22" xfId="0" applyNumberFormat="1" applyFont="1" applyFill="1" applyBorder="1" applyAlignment="1">
      <alignment horizontal="left" vertical="top" wrapText="1"/>
    </xf>
    <xf numFmtId="0" fontId="7" fillId="28" borderId="64" xfId="0" applyFont="1" applyFill="1" applyBorder="1" applyAlignment="1">
      <alignment vertical="top" wrapText="1"/>
    </xf>
    <xf numFmtId="0" fontId="32" fillId="18" borderId="34" xfId="0" applyFont="1" applyFill="1" applyBorder="1" applyAlignment="1">
      <alignment vertical="top" wrapText="1"/>
    </xf>
    <xf numFmtId="182" fontId="14" fillId="18" borderId="35" xfId="1" applyNumberFormat="1" applyFont="1" applyFill="1" applyBorder="1" applyAlignment="1" applyProtection="1">
      <alignment horizontal="center" vertical="top" wrapText="1"/>
    </xf>
    <xf numFmtId="0" fontId="14" fillId="15" borderId="424" xfId="0" applyFont="1" applyFill="1" applyBorder="1" applyAlignment="1">
      <alignment horizontal="center" vertical="top" wrapText="1"/>
    </xf>
    <xf numFmtId="14" fontId="5" fillId="15" borderId="424" xfId="0" applyNumberFormat="1" applyFont="1" applyFill="1" applyBorder="1" applyAlignment="1">
      <alignment horizontal="center" vertical="top" wrapText="1"/>
    </xf>
    <xf numFmtId="0" fontId="5" fillId="15" borderId="424" xfId="0" applyFont="1" applyFill="1" applyBorder="1" applyAlignment="1">
      <alignment horizontal="center" vertical="top" wrapText="1"/>
    </xf>
    <xf numFmtId="182" fontId="14" fillId="15" borderId="33" xfId="1" applyNumberFormat="1" applyFont="1" applyFill="1" applyBorder="1" applyAlignment="1" applyProtection="1">
      <alignment horizontal="center" vertical="top" wrapText="1"/>
    </xf>
    <xf numFmtId="0" fontId="5" fillId="15" borderId="423" xfId="0" applyFont="1" applyFill="1" applyBorder="1" applyAlignment="1">
      <alignment vertical="top" wrapText="1"/>
    </xf>
    <xf numFmtId="0" fontId="5" fillId="15" borderId="424" xfId="0" applyFont="1" applyFill="1" applyBorder="1" applyAlignment="1">
      <alignment vertical="top" wrapText="1"/>
    </xf>
    <xf numFmtId="14" fontId="5" fillId="15" borderId="423" xfId="0" applyNumberFormat="1" applyFont="1" applyFill="1" applyBorder="1" applyAlignment="1">
      <alignment horizontal="center" vertical="top" wrapText="1"/>
    </xf>
    <xf numFmtId="0" fontId="33" fillId="15" borderId="423" xfId="0" applyFont="1" applyFill="1" applyBorder="1" applyAlignment="1">
      <alignment vertical="top" wrapText="1"/>
    </xf>
    <xf numFmtId="4" fontId="32" fillId="15" borderId="424" xfId="0" applyNumberFormat="1" applyFont="1" applyFill="1" applyBorder="1" applyAlignment="1">
      <alignment vertical="top" wrapText="1"/>
    </xf>
    <xf numFmtId="4" fontId="33" fillId="15" borderId="423" xfId="0" applyNumberFormat="1" applyFont="1" applyFill="1" applyBorder="1" applyAlignment="1">
      <alignment vertical="top" wrapText="1"/>
    </xf>
    <xf numFmtId="4" fontId="32" fillId="15" borderId="425" xfId="0" applyNumberFormat="1" applyFont="1" applyFill="1" applyBorder="1" applyAlignment="1">
      <alignment vertical="top" wrapText="1"/>
    </xf>
    <xf numFmtId="4" fontId="28" fillId="15" borderId="423" xfId="0" applyNumberFormat="1" applyFont="1" applyFill="1" applyBorder="1" applyAlignment="1">
      <alignment vertical="top" wrapText="1"/>
    </xf>
    <xf numFmtId="173" fontId="28" fillId="15" borderId="424" xfId="0" applyNumberFormat="1" applyFont="1" applyFill="1" applyBorder="1" applyAlignment="1">
      <alignment horizontal="center" vertical="top" wrapText="1"/>
    </xf>
    <xf numFmtId="0" fontId="28" fillId="15" borderId="424" xfId="0" applyFont="1" applyFill="1" applyBorder="1" applyAlignment="1">
      <alignment horizontal="center" vertical="top" wrapText="1"/>
    </xf>
    <xf numFmtId="40" fontId="33" fillId="15" borderId="424" xfId="0" applyNumberFormat="1" applyFont="1" applyFill="1" applyBorder="1" applyAlignment="1">
      <alignment vertical="top" wrapText="1"/>
    </xf>
    <xf numFmtId="40" fontId="28" fillId="15" borderId="425" xfId="0" applyNumberFormat="1" applyFont="1" applyFill="1" applyBorder="1" applyAlignment="1">
      <alignment vertical="top" wrapText="1"/>
    </xf>
    <xf numFmtId="0" fontId="14" fillId="28" borderId="63" xfId="0" applyFont="1" applyFill="1" applyBorder="1" applyAlignment="1">
      <alignment horizontal="center" vertical="top" wrapText="1"/>
    </xf>
    <xf numFmtId="0" fontId="5" fillId="28" borderId="63" xfId="0" applyFont="1" applyFill="1" applyBorder="1" applyAlignment="1">
      <alignment vertical="top" wrapText="1"/>
    </xf>
    <xf numFmtId="0" fontId="28" fillId="11" borderId="23" xfId="0" applyFont="1" applyFill="1" applyBorder="1" applyAlignment="1">
      <alignment horizontal="center" vertical="top" wrapText="1"/>
    </xf>
    <xf numFmtId="4" fontId="5" fillId="10" borderId="403" xfId="0" applyNumberFormat="1" applyFont="1" applyFill="1" applyBorder="1" applyAlignment="1">
      <alignment vertical="top" wrapText="1"/>
    </xf>
    <xf numFmtId="4" fontId="32" fillId="10" borderId="424" xfId="0" applyNumberFormat="1" applyFont="1" applyFill="1" applyBorder="1" applyAlignment="1">
      <alignment vertical="top" wrapText="1"/>
    </xf>
    <xf numFmtId="4" fontId="33" fillId="10" borderId="423" xfId="0" applyNumberFormat="1" applyFont="1" applyFill="1" applyBorder="1" applyAlignment="1">
      <alignment vertical="top" wrapText="1"/>
    </xf>
    <xf numFmtId="40" fontId="33" fillId="10" borderId="424" xfId="0" applyNumberFormat="1" applyFont="1" applyFill="1" applyBorder="1" applyAlignment="1">
      <alignment vertical="top" wrapText="1"/>
    </xf>
    <xf numFmtId="40" fontId="28" fillId="0" borderId="428" xfId="0" applyNumberFormat="1" applyFont="1" applyBorder="1" applyAlignment="1">
      <alignment vertical="top" wrapText="1"/>
    </xf>
    <xf numFmtId="0" fontId="14" fillId="14" borderId="63" xfId="0" applyFont="1" applyFill="1" applyBorder="1" applyAlignment="1">
      <alignment horizontal="center" vertical="top" wrapText="1"/>
    </xf>
    <xf numFmtId="0" fontId="14" fillId="14" borderId="23" xfId="0" applyFont="1" applyFill="1" applyBorder="1" applyAlignment="1">
      <alignment horizontal="center" vertical="top" wrapText="1"/>
    </xf>
    <xf numFmtId="14" fontId="5" fillId="14" borderId="23" xfId="0" applyNumberFormat="1" applyFont="1" applyFill="1" applyBorder="1" applyAlignment="1">
      <alignment horizontal="center" vertical="top" wrapText="1"/>
    </xf>
    <xf numFmtId="0" fontId="5" fillId="14" borderId="198" xfId="0" applyFont="1" applyFill="1" applyBorder="1" applyAlignment="1">
      <alignment horizontal="center" vertical="top" wrapText="1"/>
    </xf>
    <xf numFmtId="165" fontId="5" fillId="14" borderId="35" xfId="0" applyNumberFormat="1" applyFont="1" applyFill="1" applyBorder="1" applyAlignment="1">
      <alignment horizontal="center" vertical="top" wrapText="1"/>
    </xf>
    <xf numFmtId="182" fontId="14" fillId="14" borderId="35" xfId="1" applyNumberFormat="1" applyFont="1" applyFill="1" applyBorder="1" applyAlignment="1" applyProtection="1">
      <alignment horizontal="center" vertical="top" wrapText="1"/>
    </xf>
    <xf numFmtId="0" fontId="5" fillId="14" borderId="34" xfId="0" applyFont="1" applyFill="1" applyBorder="1" applyAlignment="1">
      <alignment vertical="top" wrapText="1"/>
    </xf>
    <xf numFmtId="0" fontId="5" fillId="14" borderId="63" xfId="0" applyFont="1" applyFill="1" applyBorder="1" applyAlignment="1">
      <alignment vertical="top" wrapText="1"/>
    </xf>
    <xf numFmtId="0" fontId="5" fillId="14" borderId="23" xfId="0" applyFont="1" applyFill="1" applyBorder="1" applyAlignment="1">
      <alignment vertical="top" wrapText="1"/>
    </xf>
    <xf numFmtId="14" fontId="5" fillId="14" borderId="34" xfId="0" applyNumberFormat="1" applyFont="1" applyFill="1" applyBorder="1" applyAlignment="1">
      <alignment horizontal="center" vertical="top" wrapText="1"/>
    </xf>
    <xf numFmtId="0" fontId="33" fillId="14" borderId="63" xfId="0" applyFont="1" applyFill="1" applyBorder="1" applyAlignment="1">
      <alignment vertical="top" wrapText="1"/>
    </xf>
    <xf numFmtId="0" fontId="33" fillId="14" borderId="34" xfId="0" applyFont="1" applyFill="1" applyBorder="1" applyAlignment="1">
      <alignment vertical="top" wrapText="1"/>
    </xf>
    <xf numFmtId="4" fontId="5" fillId="14" borderId="63" xfId="0" applyNumberFormat="1" applyFont="1" applyFill="1" applyBorder="1" applyAlignment="1">
      <alignment vertical="top" wrapText="1"/>
    </xf>
    <xf numFmtId="4" fontId="32" fillId="14" borderId="23" xfId="0" applyNumberFormat="1" applyFont="1" applyFill="1" applyBorder="1" applyAlignment="1">
      <alignment vertical="top" wrapText="1"/>
    </xf>
    <xf numFmtId="4" fontId="33" fillId="14" borderId="34" xfId="0" applyNumberFormat="1" applyFont="1" applyFill="1" applyBorder="1" applyAlignment="1">
      <alignment vertical="top" wrapText="1"/>
    </xf>
    <xf numFmtId="4" fontId="14" fillId="14" borderId="63" xfId="0" applyNumberFormat="1" applyFont="1" applyFill="1" applyBorder="1" applyAlignment="1">
      <alignment vertical="top" wrapText="1"/>
    </xf>
    <xf numFmtId="4" fontId="32" fillId="14" borderId="258" xfId="0" applyNumberFormat="1" applyFont="1" applyFill="1" applyBorder="1" applyAlignment="1">
      <alignment vertical="top" wrapText="1"/>
    </xf>
    <xf numFmtId="4" fontId="28" fillId="14" borderId="34" xfId="0" applyNumberFormat="1" applyFont="1" applyFill="1" applyBorder="1" applyAlignment="1">
      <alignment vertical="top" wrapText="1"/>
    </xf>
    <xf numFmtId="0" fontId="28" fillId="14" borderId="63" xfId="0" applyFont="1" applyFill="1" applyBorder="1" applyAlignment="1">
      <alignment horizontal="center" vertical="top" wrapText="1"/>
    </xf>
    <xf numFmtId="173" fontId="28" fillId="14" borderId="23" xfId="0" applyNumberFormat="1" applyFont="1" applyFill="1" applyBorder="1" applyAlignment="1">
      <alignment horizontal="center" vertical="top" wrapText="1"/>
    </xf>
    <xf numFmtId="0" fontId="28" fillId="14" borderId="23" xfId="0" applyFont="1" applyFill="1" applyBorder="1" applyAlignment="1">
      <alignment horizontal="center" vertical="top" wrapText="1"/>
    </xf>
    <xf numFmtId="165" fontId="28" fillId="14" borderId="35" xfId="0" applyNumberFormat="1" applyFont="1" applyFill="1" applyBorder="1" applyAlignment="1">
      <alignment horizontal="center" vertical="top" wrapText="1"/>
    </xf>
    <xf numFmtId="182" fontId="28" fillId="14" borderId="27" xfId="1" applyNumberFormat="1" applyFont="1" applyFill="1" applyBorder="1" applyAlignment="1" applyProtection="1">
      <alignment horizontal="center" vertical="top" wrapText="1"/>
    </xf>
    <xf numFmtId="40" fontId="33" fillId="14" borderId="63" xfId="0" applyNumberFormat="1" applyFont="1" applyFill="1" applyBorder="1" applyAlignment="1">
      <alignment vertical="top" wrapText="1"/>
    </xf>
    <xf numFmtId="40" fontId="33" fillId="14" borderId="23" xfId="0" applyNumberFormat="1" applyFont="1" applyFill="1" applyBorder="1" applyAlignment="1">
      <alignment vertical="top" wrapText="1"/>
    </xf>
    <xf numFmtId="40" fontId="28" fillId="14" borderId="201" xfId="0" applyNumberFormat="1" applyFont="1" applyFill="1" applyBorder="1" applyAlignment="1">
      <alignment vertical="top" wrapText="1"/>
    </xf>
    <xf numFmtId="44" fontId="28" fillId="0" borderId="13" xfId="0" applyNumberFormat="1" applyFont="1" applyBorder="1" applyAlignment="1">
      <alignment horizontal="center" vertical="top" wrapText="1"/>
    </xf>
    <xf numFmtId="44" fontId="14" fillId="0" borderId="3" xfId="2" applyFont="1" applyFill="1" applyBorder="1" applyAlignment="1" applyProtection="1">
      <alignment horizontal="center" vertical="top" wrapText="1"/>
    </xf>
    <xf numFmtId="40" fontId="28" fillId="0" borderId="3" xfId="0" applyNumberFormat="1" applyFont="1" applyBorder="1" applyAlignment="1">
      <alignment horizontal="center" vertical="top" wrapText="1"/>
    </xf>
    <xf numFmtId="0" fontId="14" fillId="0" borderId="426" xfId="0" applyFont="1" applyBorder="1" applyAlignment="1">
      <alignment horizontal="center" vertical="top" wrapText="1"/>
    </xf>
    <xf numFmtId="14" fontId="5" fillId="0" borderId="426" xfId="0" applyNumberFormat="1" applyFont="1" applyBorder="1" applyAlignment="1">
      <alignment horizontal="center" vertical="top" wrapText="1"/>
    </xf>
    <xf numFmtId="0" fontId="5" fillId="0" borderId="430" xfId="0" applyFont="1" applyBorder="1" applyAlignment="1">
      <alignment vertical="top" wrapText="1"/>
    </xf>
    <xf numFmtId="4" fontId="32" fillId="0" borderId="430" xfId="0" applyNumberFormat="1" applyFont="1" applyBorder="1" applyAlignment="1">
      <alignment vertical="top" wrapText="1"/>
    </xf>
    <xf numFmtId="4" fontId="33" fillId="0" borderId="429" xfId="0" applyNumberFormat="1" applyFont="1" applyBorder="1" applyAlignment="1">
      <alignment vertical="top" wrapText="1"/>
    </xf>
    <xf numFmtId="4" fontId="32" fillId="10" borderId="430" xfId="0" applyNumberFormat="1" applyFont="1" applyFill="1" applyBorder="1" applyAlignment="1">
      <alignment vertical="top" wrapText="1"/>
    </xf>
    <xf numFmtId="4" fontId="33" fillId="10" borderId="429" xfId="0" applyNumberFormat="1" applyFont="1" applyFill="1" applyBorder="1" applyAlignment="1">
      <alignment vertical="top" wrapText="1"/>
    </xf>
    <xf numFmtId="173" fontId="28" fillId="0" borderId="430" xfId="0" applyNumberFormat="1" applyFont="1" applyBorder="1" applyAlignment="1">
      <alignment horizontal="center" vertical="top" wrapText="1"/>
    </xf>
    <xf numFmtId="0" fontId="28" fillId="0" borderId="430" xfId="0" applyFont="1" applyBorder="1" applyAlignment="1">
      <alignment horizontal="center" vertical="top" wrapText="1"/>
    </xf>
    <xf numFmtId="0" fontId="5" fillId="0" borderId="431" xfId="0" applyFont="1" applyBorder="1" applyAlignment="1">
      <alignment vertical="top" wrapText="1"/>
    </xf>
    <xf numFmtId="0" fontId="5" fillId="0" borderId="429" xfId="0" applyFont="1" applyBorder="1" applyAlignment="1">
      <alignment vertical="top" wrapText="1"/>
    </xf>
    <xf numFmtId="0" fontId="5" fillId="15" borderId="427" xfId="0" applyFont="1" applyFill="1" applyBorder="1" applyAlignment="1">
      <alignment vertical="top" wrapText="1"/>
    </xf>
    <xf numFmtId="14" fontId="5" fillId="15" borderId="427" xfId="0" applyNumberFormat="1" applyFont="1" applyFill="1" applyBorder="1" applyAlignment="1">
      <alignment horizontal="center" vertical="top" wrapText="1"/>
    </xf>
    <xf numFmtId="0" fontId="33" fillId="15" borderId="427" xfId="0" applyFont="1" applyFill="1" applyBorder="1" applyAlignment="1">
      <alignment vertical="top" wrapText="1"/>
    </xf>
    <xf numFmtId="4" fontId="33" fillId="15" borderId="427" xfId="0" applyNumberFormat="1" applyFont="1" applyFill="1" applyBorder="1" applyAlignment="1">
      <alignment vertical="top" wrapText="1"/>
    </xf>
    <xf numFmtId="4" fontId="32" fillId="15" borderId="428" xfId="0" applyNumberFormat="1" applyFont="1" applyFill="1" applyBorder="1" applyAlignment="1">
      <alignment vertical="top" wrapText="1"/>
    </xf>
    <xf numFmtId="4" fontId="28" fillId="15" borderId="427" xfId="0" applyNumberFormat="1" applyFont="1" applyFill="1" applyBorder="1" applyAlignment="1">
      <alignment vertical="top" wrapText="1"/>
    </xf>
    <xf numFmtId="40" fontId="28" fillId="15" borderId="433" xfId="0" applyNumberFormat="1" applyFont="1" applyFill="1" applyBorder="1" applyAlignment="1">
      <alignment vertical="top" wrapText="1"/>
    </xf>
    <xf numFmtId="0" fontId="9" fillId="0" borderId="64" xfId="0" applyFont="1" applyBorder="1" applyAlignment="1">
      <alignment vertical="top" wrapText="1"/>
    </xf>
    <xf numFmtId="0" fontId="28" fillId="0" borderId="435" xfId="0" applyFont="1" applyBorder="1" applyAlignment="1">
      <alignment horizontal="center" vertical="top" wrapText="1"/>
    </xf>
    <xf numFmtId="14" fontId="5" fillId="0" borderId="435" xfId="0" applyNumberFormat="1" applyFont="1" applyBorder="1" applyAlignment="1">
      <alignment horizontal="center" vertical="top" wrapText="1"/>
    </xf>
    <xf numFmtId="0" fontId="5" fillId="0" borderId="434" xfId="0" applyFont="1" applyBorder="1" applyAlignment="1">
      <alignment vertical="top" wrapText="1"/>
    </xf>
    <xf numFmtId="0" fontId="5" fillId="0" borderId="435" xfId="0" applyFont="1" applyBorder="1" applyAlignment="1">
      <alignment vertical="top" wrapText="1"/>
    </xf>
    <xf numFmtId="14" fontId="5" fillId="0" borderId="434" xfId="0" applyNumberFormat="1" applyFont="1" applyBorder="1" applyAlignment="1">
      <alignment horizontal="center" vertical="top" wrapText="1"/>
    </xf>
    <xf numFmtId="0" fontId="33" fillId="0" borderId="434" xfId="0" applyFont="1" applyBorder="1" applyAlignment="1">
      <alignment vertical="top" wrapText="1"/>
    </xf>
    <xf numFmtId="4" fontId="32" fillId="0" borderId="435" xfId="0" applyNumberFormat="1" applyFont="1" applyBorder="1" applyAlignment="1">
      <alignment vertical="top" wrapText="1"/>
    </xf>
    <xf numFmtId="4" fontId="33" fillId="0" borderId="434" xfId="0" applyNumberFormat="1" applyFont="1" applyBorder="1" applyAlignment="1">
      <alignment vertical="top" wrapText="1"/>
    </xf>
    <xf numFmtId="4" fontId="32" fillId="0" borderId="436" xfId="0" applyNumberFormat="1" applyFont="1" applyBorder="1" applyAlignment="1">
      <alignment vertical="top" wrapText="1"/>
    </xf>
    <xf numFmtId="4" fontId="28" fillId="0" borderId="434" xfId="0" applyNumberFormat="1" applyFont="1" applyBorder="1" applyAlignment="1">
      <alignment vertical="top" wrapText="1"/>
    </xf>
    <xf numFmtId="173" fontId="28" fillId="0" borderId="435" xfId="0" applyNumberFormat="1" applyFont="1" applyBorder="1" applyAlignment="1">
      <alignment horizontal="center" vertical="top" wrapText="1"/>
    </xf>
    <xf numFmtId="165" fontId="28" fillId="0" borderId="435" xfId="0" applyNumberFormat="1" applyFont="1" applyBorder="1" applyAlignment="1">
      <alignment horizontal="center" vertical="top" wrapText="1"/>
    </xf>
    <xf numFmtId="182" fontId="28" fillId="0" borderId="434" xfId="1" applyNumberFormat="1" applyFont="1" applyFill="1" applyBorder="1" applyAlignment="1" applyProtection="1">
      <alignment horizontal="center" vertical="top" wrapText="1"/>
    </xf>
    <xf numFmtId="40" fontId="33" fillId="0" borderId="435" xfId="0" applyNumberFormat="1" applyFont="1" applyBorder="1" applyAlignment="1">
      <alignment vertical="top" wrapText="1"/>
    </xf>
    <xf numFmtId="40" fontId="28" fillId="0" borderId="436" xfId="0" applyNumberFormat="1" applyFont="1" applyBorder="1" applyAlignment="1">
      <alignment vertical="top" wrapText="1"/>
    </xf>
    <xf numFmtId="0" fontId="5" fillId="15" borderId="429" xfId="0" applyFont="1" applyFill="1" applyBorder="1" applyAlignment="1">
      <alignment vertical="top" wrapText="1"/>
    </xf>
    <xf numFmtId="0" fontId="26" fillId="28" borderId="64" xfId="0" applyFont="1" applyFill="1" applyBorder="1" applyAlignment="1">
      <alignment vertical="top" wrapText="1"/>
    </xf>
    <xf numFmtId="0" fontId="7" fillId="28" borderId="21" xfId="0" applyFont="1" applyFill="1" applyBorder="1" applyAlignment="1">
      <alignment vertical="top" wrapText="1"/>
    </xf>
    <xf numFmtId="0" fontId="7" fillId="28" borderId="34" xfId="0" applyFont="1" applyFill="1" applyBorder="1" applyAlignment="1">
      <alignment vertical="top" wrapText="1"/>
    </xf>
    <xf numFmtId="0" fontId="7" fillId="26" borderId="417" xfId="0" applyFont="1" applyFill="1" applyBorder="1" applyAlignment="1">
      <alignment vertical="top" wrapText="1"/>
    </xf>
    <xf numFmtId="0" fontId="7" fillId="26" borderId="437" xfId="0" applyFont="1" applyFill="1" applyBorder="1" applyAlignment="1">
      <alignment vertical="top" wrapText="1"/>
    </xf>
    <xf numFmtId="0" fontId="7" fillId="0" borderId="417" xfId="0" applyFont="1" applyBorder="1" applyAlignment="1">
      <alignment vertical="top" wrapText="1"/>
    </xf>
    <xf numFmtId="0" fontId="7" fillId="26" borderId="317" xfId="0" applyFont="1" applyFill="1" applyBorder="1" applyAlignment="1">
      <alignment vertical="top" wrapText="1"/>
    </xf>
    <xf numFmtId="0" fontId="7" fillId="26" borderId="429" xfId="0" applyFont="1" applyFill="1" applyBorder="1" applyAlignment="1">
      <alignment vertical="top" wrapText="1"/>
    </xf>
    <xf numFmtId="0" fontId="7" fillId="26" borderId="388" xfId="0" applyFont="1" applyFill="1" applyBorder="1" applyAlignment="1">
      <alignment vertical="top" wrapText="1"/>
    </xf>
    <xf numFmtId="0" fontId="7" fillId="21" borderId="317" xfId="0" applyFont="1" applyFill="1" applyBorder="1" applyAlignment="1">
      <alignment vertical="top" wrapText="1"/>
    </xf>
    <xf numFmtId="0" fontId="7" fillId="21" borderId="429" xfId="0" applyFont="1" applyFill="1" applyBorder="1" applyAlignment="1">
      <alignment vertical="top" wrapText="1"/>
    </xf>
    <xf numFmtId="0" fontId="7" fillId="0" borderId="429" xfId="0" applyFont="1" applyBorder="1" applyAlignment="1">
      <alignment vertical="top" wrapText="1"/>
    </xf>
    <xf numFmtId="0" fontId="23" fillId="26" borderId="189" xfId="0" applyFont="1" applyFill="1" applyBorder="1" applyAlignment="1">
      <alignment vertical="top" wrapText="1"/>
    </xf>
    <xf numFmtId="0" fontId="14" fillId="15" borderId="440" xfId="0" applyFont="1" applyFill="1" applyBorder="1" applyAlignment="1">
      <alignment horizontal="center" vertical="top" wrapText="1"/>
    </xf>
    <xf numFmtId="0" fontId="14" fillId="15" borderId="441" xfId="0" applyFont="1" applyFill="1" applyBorder="1" applyAlignment="1">
      <alignment horizontal="center" vertical="top" wrapText="1"/>
    </xf>
    <xf numFmtId="14" fontId="5" fillId="15" borderId="438" xfId="0" applyNumberFormat="1" applyFont="1" applyFill="1" applyBorder="1" applyAlignment="1">
      <alignment horizontal="center" vertical="top" wrapText="1"/>
    </xf>
    <xf numFmtId="0" fontId="5" fillId="15" borderId="438" xfId="0" applyFont="1" applyFill="1" applyBorder="1" applyAlignment="1">
      <alignment horizontal="center" vertical="top" wrapText="1"/>
    </xf>
    <xf numFmtId="165" fontId="5" fillId="15" borderId="438" xfId="0" applyNumberFormat="1" applyFont="1" applyFill="1" applyBorder="1" applyAlignment="1">
      <alignment horizontal="center" vertical="top" wrapText="1"/>
    </xf>
    <xf numFmtId="182" fontId="14" fillId="15" borderId="438" xfId="1" applyNumberFormat="1" applyFont="1" applyFill="1" applyBorder="1" applyAlignment="1" applyProtection="1">
      <alignment horizontal="center" vertical="top" wrapText="1"/>
    </xf>
    <xf numFmtId="0" fontId="5" fillId="15" borderId="439" xfId="0" applyFont="1" applyFill="1" applyBorder="1" applyAlignment="1">
      <alignment vertical="top" wrapText="1"/>
    </xf>
    <xf numFmtId="0" fontId="5" fillId="15" borderId="440" xfId="0" applyFont="1" applyFill="1" applyBorder="1" applyAlignment="1">
      <alignment vertical="top" wrapText="1"/>
    </xf>
    <xf numFmtId="0" fontId="5" fillId="15" borderId="438" xfId="0" applyFont="1" applyFill="1" applyBorder="1" applyAlignment="1">
      <alignment vertical="top" wrapText="1"/>
    </xf>
    <xf numFmtId="14" fontId="5" fillId="15" borderId="439" xfId="0" applyNumberFormat="1" applyFont="1" applyFill="1" applyBorder="1" applyAlignment="1">
      <alignment horizontal="center" vertical="top" wrapText="1"/>
    </xf>
    <xf numFmtId="0" fontId="33" fillId="15" borderId="440" xfId="0" applyFont="1" applyFill="1" applyBorder="1" applyAlignment="1">
      <alignment vertical="top" wrapText="1"/>
    </xf>
    <xf numFmtId="0" fontId="33" fillId="15" borderId="439" xfId="0" applyFont="1" applyFill="1" applyBorder="1" applyAlignment="1">
      <alignment vertical="top" wrapText="1"/>
    </xf>
    <xf numFmtId="4" fontId="5" fillId="15" borderId="440" xfId="0" applyNumberFormat="1" applyFont="1" applyFill="1" applyBorder="1" applyAlignment="1">
      <alignment vertical="top" wrapText="1"/>
    </xf>
    <xf numFmtId="4" fontId="32" fillId="15" borderId="438" xfId="0" applyNumberFormat="1" applyFont="1" applyFill="1" applyBorder="1" applyAlignment="1">
      <alignment vertical="top" wrapText="1"/>
    </xf>
    <xf numFmtId="4" fontId="33" fillId="15" borderId="439" xfId="0" applyNumberFormat="1" applyFont="1" applyFill="1" applyBorder="1" applyAlignment="1">
      <alignment vertical="top" wrapText="1"/>
    </xf>
    <xf numFmtId="4" fontId="14" fillId="15" borderId="440" xfId="0" applyNumberFormat="1" applyFont="1" applyFill="1" applyBorder="1" applyAlignment="1">
      <alignment vertical="top" wrapText="1"/>
    </xf>
    <xf numFmtId="4" fontId="32" fillId="15" borderId="442" xfId="0" applyNumberFormat="1" applyFont="1" applyFill="1" applyBorder="1" applyAlignment="1">
      <alignment vertical="top" wrapText="1"/>
    </xf>
    <xf numFmtId="4" fontId="28" fillId="15" borderId="439" xfId="0" applyNumberFormat="1" applyFont="1" applyFill="1" applyBorder="1" applyAlignment="1">
      <alignment vertical="top" wrapText="1"/>
    </xf>
    <xf numFmtId="0" fontId="28" fillId="15" borderId="440" xfId="0" applyFont="1" applyFill="1" applyBorder="1" applyAlignment="1">
      <alignment horizontal="center" vertical="top" wrapText="1"/>
    </xf>
    <xf numFmtId="173" fontId="28" fillId="15" borderId="438" xfId="0" applyNumberFormat="1" applyFont="1" applyFill="1" applyBorder="1" applyAlignment="1">
      <alignment horizontal="center" vertical="top" wrapText="1"/>
    </xf>
    <xf numFmtId="0" fontId="28" fillId="15" borderId="438" xfId="0" applyFont="1" applyFill="1" applyBorder="1" applyAlignment="1">
      <alignment horizontal="center" vertical="top" wrapText="1"/>
    </xf>
    <xf numFmtId="0" fontId="14" fillId="26" borderId="63" xfId="0" applyFont="1" applyFill="1" applyBorder="1" applyAlignment="1">
      <alignment horizontal="center" vertical="top" wrapText="1"/>
    </xf>
    <xf numFmtId="0" fontId="14" fillId="26" borderId="23" xfId="0" applyFont="1" applyFill="1" applyBorder="1" applyAlignment="1">
      <alignment horizontal="center" vertical="top" wrapText="1"/>
    </xf>
    <xf numFmtId="14" fontId="5" fillId="26" borderId="23" xfId="0" applyNumberFormat="1" applyFont="1" applyFill="1" applyBorder="1" applyAlignment="1">
      <alignment horizontal="center" vertical="top" wrapText="1"/>
    </xf>
    <xf numFmtId="0" fontId="5" fillId="26" borderId="198" xfId="0" applyFont="1" applyFill="1" applyBorder="1" applyAlignment="1">
      <alignment horizontal="center" vertical="top" wrapText="1"/>
    </xf>
    <xf numFmtId="165" fontId="5" fillId="26" borderId="35" xfId="0" applyNumberFormat="1" applyFont="1" applyFill="1" applyBorder="1" applyAlignment="1">
      <alignment horizontal="center" vertical="top" wrapText="1"/>
    </xf>
    <xf numFmtId="182" fontId="14" fillId="26" borderId="35" xfId="1" applyNumberFormat="1" applyFont="1" applyFill="1" applyBorder="1" applyAlignment="1" applyProtection="1">
      <alignment horizontal="center" vertical="top" wrapText="1"/>
    </xf>
    <xf numFmtId="0" fontId="5" fillId="26" borderId="34" xfId="0" applyFont="1" applyFill="1" applyBorder="1" applyAlignment="1">
      <alignment vertical="top" wrapText="1"/>
    </xf>
    <xf numFmtId="0" fontId="5" fillId="26" borderId="63" xfId="0" applyFont="1" applyFill="1" applyBorder="1" applyAlignment="1">
      <alignment vertical="top" wrapText="1"/>
    </xf>
    <xf numFmtId="0" fontId="5" fillId="26" borderId="23" xfId="0" applyFont="1" applyFill="1" applyBorder="1" applyAlignment="1">
      <alignment vertical="top" wrapText="1"/>
    </xf>
    <xf numFmtId="0" fontId="5" fillId="26" borderId="34" xfId="0" applyFont="1" applyFill="1" applyBorder="1" applyAlignment="1">
      <alignment horizontal="center" vertical="top" wrapText="1"/>
    </xf>
    <xf numFmtId="0" fontId="33" fillId="26" borderId="63" xfId="0" applyFont="1" applyFill="1" applyBorder="1" applyAlignment="1">
      <alignment vertical="top" wrapText="1"/>
    </xf>
    <xf numFmtId="0" fontId="33" fillId="26" borderId="34" xfId="0" applyFont="1" applyFill="1" applyBorder="1" applyAlignment="1">
      <alignment vertical="top" wrapText="1"/>
    </xf>
    <xf numFmtId="4" fontId="5" fillId="26" borderId="63" xfId="0" applyNumberFormat="1" applyFont="1" applyFill="1" applyBorder="1" applyAlignment="1">
      <alignment vertical="top" wrapText="1"/>
    </xf>
    <xf numFmtId="4" fontId="32" fillId="26" borderId="23" xfId="0" applyNumberFormat="1" applyFont="1" applyFill="1" applyBorder="1" applyAlignment="1">
      <alignment vertical="top" wrapText="1"/>
    </xf>
    <xf numFmtId="4" fontId="33" fillId="26" borderId="34" xfId="0" applyNumberFormat="1" applyFont="1" applyFill="1" applyBorder="1" applyAlignment="1">
      <alignment vertical="top" wrapText="1"/>
    </xf>
    <xf numFmtId="4" fontId="14" fillId="26" borderId="63" xfId="0" applyNumberFormat="1" applyFont="1" applyFill="1" applyBorder="1" applyAlignment="1">
      <alignment vertical="top" wrapText="1"/>
    </xf>
    <xf numFmtId="4" fontId="32" fillId="26" borderId="258" xfId="0" applyNumberFormat="1" applyFont="1" applyFill="1" applyBorder="1" applyAlignment="1">
      <alignment vertical="top" wrapText="1"/>
    </xf>
    <xf numFmtId="4" fontId="28" fillId="26" borderId="34" xfId="0" applyNumberFormat="1" applyFont="1" applyFill="1" applyBorder="1" applyAlignment="1">
      <alignment vertical="top" wrapText="1"/>
    </xf>
    <xf numFmtId="0" fontId="28" fillId="26" borderId="63" xfId="0" applyFont="1" applyFill="1" applyBorder="1" applyAlignment="1">
      <alignment horizontal="center" vertical="top" wrapText="1"/>
    </xf>
    <xf numFmtId="173" fontId="28" fillId="26" borderId="23" xfId="0" applyNumberFormat="1" applyFont="1" applyFill="1" applyBorder="1" applyAlignment="1">
      <alignment horizontal="center" vertical="top" wrapText="1"/>
    </xf>
    <xf numFmtId="0" fontId="28" fillId="26" borderId="23" xfId="0" applyFont="1" applyFill="1" applyBorder="1" applyAlignment="1">
      <alignment horizontal="center" vertical="top" wrapText="1"/>
    </xf>
    <xf numFmtId="165" fontId="28" fillId="26" borderId="35" xfId="0" applyNumberFormat="1" applyFont="1" applyFill="1" applyBorder="1" applyAlignment="1">
      <alignment horizontal="center" vertical="top" wrapText="1"/>
    </xf>
    <xf numFmtId="182" fontId="28" fillId="26" borderId="27" xfId="1" applyNumberFormat="1" applyFont="1" applyFill="1" applyBorder="1" applyAlignment="1" applyProtection="1">
      <alignment horizontal="center" vertical="top" wrapText="1"/>
    </xf>
    <xf numFmtId="40" fontId="33" fillId="26" borderId="63" xfId="0" applyNumberFormat="1" applyFont="1" applyFill="1" applyBorder="1" applyAlignment="1">
      <alignment vertical="top" wrapText="1"/>
    </xf>
    <xf numFmtId="40" fontId="33" fillId="26" borderId="23" xfId="0" applyNumberFormat="1" applyFont="1" applyFill="1" applyBorder="1" applyAlignment="1">
      <alignment vertical="top" wrapText="1"/>
    </xf>
    <xf numFmtId="40" fontId="28" fillId="26" borderId="201" xfId="0" applyNumberFormat="1" applyFont="1" applyFill="1" applyBorder="1" applyAlignment="1">
      <alignment vertical="top" wrapText="1"/>
    </xf>
    <xf numFmtId="15" fontId="26" fillId="15" borderId="57" xfId="0" applyNumberFormat="1" applyFont="1" applyFill="1" applyBorder="1" applyAlignment="1">
      <alignment horizontal="center" vertical="top"/>
    </xf>
    <xf numFmtId="0" fontId="14" fillId="15" borderId="444" xfId="0" applyFont="1" applyFill="1" applyBorder="1" applyAlignment="1">
      <alignment horizontal="center" vertical="top" wrapText="1"/>
    </xf>
    <xf numFmtId="14" fontId="5" fillId="15" borderId="444" xfId="0" applyNumberFormat="1" applyFont="1" applyFill="1" applyBorder="1" applyAlignment="1">
      <alignment horizontal="center" vertical="top" wrapText="1"/>
    </xf>
    <xf numFmtId="165" fontId="5" fillId="15" borderId="444" xfId="0" applyNumberFormat="1" applyFont="1" applyFill="1" applyBorder="1" applyAlignment="1">
      <alignment horizontal="center" vertical="top" wrapText="1"/>
    </xf>
    <xf numFmtId="182" fontId="32" fillId="15" borderId="444" xfId="1" applyNumberFormat="1" applyFont="1" applyFill="1" applyBorder="1" applyAlignment="1" applyProtection="1">
      <alignment horizontal="center" vertical="top" wrapText="1"/>
    </xf>
    <xf numFmtId="0" fontId="5" fillId="15" borderId="443" xfId="0" applyFont="1" applyFill="1" applyBorder="1" applyAlignment="1">
      <alignment vertical="top" wrapText="1"/>
    </xf>
    <xf numFmtId="0" fontId="5" fillId="15" borderId="444" xfId="0" applyFont="1" applyFill="1" applyBorder="1" applyAlignment="1">
      <alignment vertical="top" wrapText="1"/>
    </xf>
    <xf numFmtId="14" fontId="5" fillId="15" borderId="443" xfId="0" applyNumberFormat="1" applyFont="1" applyFill="1" applyBorder="1" applyAlignment="1">
      <alignment horizontal="center" vertical="top" wrapText="1"/>
    </xf>
    <xf numFmtId="0" fontId="33" fillId="15" borderId="443" xfId="0" applyFont="1" applyFill="1" applyBorder="1" applyAlignment="1">
      <alignment vertical="top" wrapText="1"/>
    </xf>
    <xf numFmtId="4" fontId="32" fillId="15" borderId="444" xfId="0" applyNumberFormat="1" applyFont="1" applyFill="1" applyBorder="1" applyAlignment="1">
      <alignment vertical="top" wrapText="1"/>
    </xf>
    <xf numFmtId="4" fontId="33" fillId="15" borderId="443" xfId="0" applyNumberFormat="1" applyFont="1" applyFill="1" applyBorder="1" applyAlignment="1">
      <alignment vertical="top" wrapText="1"/>
    </xf>
    <xf numFmtId="4" fontId="32" fillId="15" borderId="445" xfId="0" applyNumberFormat="1" applyFont="1" applyFill="1" applyBorder="1" applyAlignment="1">
      <alignment vertical="top" wrapText="1"/>
    </xf>
    <xf numFmtId="4" fontId="28" fillId="15" borderId="443" xfId="0" applyNumberFormat="1" applyFont="1" applyFill="1" applyBorder="1" applyAlignment="1">
      <alignment vertical="top" wrapText="1"/>
    </xf>
    <xf numFmtId="173" fontId="28" fillId="15" borderId="444" xfId="0" applyNumberFormat="1" applyFont="1" applyFill="1" applyBorder="1" applyAlignment="1">
      <alignment horizontal="center" vertical="top" wrapText="1"/>
    </xf>
    <xf numFmtId="0" fontId="28" fillId="15" borderId="444" xfId="0" applyFont="1" applyFill="1" applyBorder="1" applyAlignment="1">
      <alignment horizontal="center" vertical="top" wrapText="1"/>
    </xf>
    <xf numFmtId="165" fontId="29" fillId="15" borderId="444" xfId="0" applyNumberFormat="1" applyFont="1" applyFill="1" applyBorder="1" applyAlignment="1">
      <alignment horizontal="center" vertical="top" wrapText="1"/>
    </xf>
    <xf numFmtId="182" fontId="29" fillId="15" borderId="443" xfId="1" applyNumberFormat="1" applyFont="1" applyFill="1" applyBorder="1" applyAlignment="1" applyProtection="1">
      <alignment horizontal="center" vertical="top" wrapText="1"/>
    </xf>
    <xf numFmtId="40" fontId="33" fillId="15" borderId="444" xfId="0" applyNumberFormat="1" applyFont="1" applyFill="1" applyBorder="1" applyAlignment="1">
      <alignment vertical="top" wrapText="1"/>
    </xf>
    <xf numFmtId="40" fontId="29" fillId="15" borderId="445" xfId="0" applyNumberFormat="1" applyFont="1" applyFill="1" applyBorder="1" applyAlignment="1">
      <alignment vertical="top" wrapText="1"/>
    </xf>
    <xf numFmtId="0" fontId="5" fillId="0" borderId="348" xfId="0" applyFont="1" applyBorder="1" applyAlignment="1">
      <alignment vertical="top" wrapText="1"/>
    </xf>
    <xf numFmtId="0" fontId="5" fillId="0" borderId="350" xfId="0" applyFont="1" applyBorder="1" applyAlignment="1">
      <alignment vertical="top" wrapText="1"/>
    </xf>
    <xf numFmtId="0" fontId="5" fillId="20" borderId="151" xfId="0" applyFont="1" applyFill="1" applyBorder="1" applyAlignment="1">
      <alignment vertical="top" wrapText="1"/>
    </xf>
    <xf numFmtId="0" fontId="5" fillId="20" borderId="9" xfId="0" applyFont="1" applyFill="1" applyBorder="1" applyAlignment="1">
      <alignment vertical="top" wrapText="1"/>
    </xf>
    <xf numFmtId="0" fontId="5" fillId="0" borderId="439" xfId="0" applyFont="1" applyBorder="1" applyAlignment="1">
      <alignment vertical="top" wrapText="1"/>
    </xf>
    <xf numFmtId="182" fontId="29" fillId="15" borderId="35" xfId="1" applyNumberFormat="1" applyFont="1" applyFill="1" applyBorder="1" applyAlignment="1" applyProtection="1">
      <alignment horizontal="center" vertical="top" wrapText="1"/>
    </xf>
    <xf numFmtId="0" fontId="14" fillId="0" borderId="447" xfId="0" applyFont="1" applyBorder="1" applyAlignment="1">
      <alignment horizontal="center" vertical="top" wrapText="1"/>
    </xf>
    <xf numFmtId="14" fontId="5" fillId="0" borderId="447" xfId="0" applyNumberFormat="1" applyFont="1" applyBorder="1" applyAlignment="1">
      <alignment horizontal="center" vertical="top" wrapText="1"/>
    </xf>
    <xf numFmtId="0" fontId="5" fillId="0" borderId="447" xfId="0" applyFont="1" applyBorder="1" applyAlignment="1">
      <alignment horizontal="center" vertical="top" wrapText="1"/>
    </xf>
    <xf numFmtId="0" fontId="5" fillId="0" borderId="446" xfId="0" applyFont="1" applyBorder="1" applyAlignment="1">
      <alignment vertical="top" wrapText="1"/>
    </xf>
    <xf numFmtId="0" fontId="5" fillId="0" borderId="447" xfId="0" applyFont="1" applyBorder="1" applyAlignment="1">
      <alignment vertical="top" wrapText="1"/>
    </xf>
    <xf numFmtId="14" fontId="5" fillId="0" borderId="446" xfId="0" applyNumberFormat="1" applyFont="1" applyBorder="1" applyAlignment="1">
      <alignment horizontal="center" vertical="top" wrapText="1"/>
    </xf>
    <xf numFmtId="0" fontId="33" fillId="0" borderId="446" xfId="0" applyFont="1" applyBorder="1" applyAlignment="1">
      <alignment vertical="top" wrapText="1"/>
    </xf>
    <xf numFmtId="4" fontId="32" fillId="0" borderId="447" xfId="0" applyNumberFormat="1" applyFont="1" applyBorder="1" applyAlignment="1">
      <alignment vertical="top" wrapText="1"/>
    </xf>
    <xf numFmtId="4" fontId="33" fillId="0" borderId="446" xfId="0" applyNumberFormat="1" applyFont="1" applyBorder="1" applyAlignment="1">
      <alignment vertical="top" wrapText="1"/>
    </xf>
    <xf numFmtId="4" fontId="32" fillId="0" borderId="448" xfId="0" applyNumberFormat="1" applyFont="1" applyBorder="1" applyAlignment="1">
      <alignment vertical="top" wrapText="1"/>
    </xf>
    <xf numFmtId="4" fontId="28" fillId="0" borderId="446" xfId="0" applyNumberFormat="1" applyFont="1" applyBorder="1" applyAlignment="1">
      <alignment vertical="top" wrapText="1"/>
    </xf>
    <xf numFmtId="173" fontId="28" fillId="0" borderId="447" xfId="0" applyNumberFormat="1" applyFont="1" applyBorder="1" applyAlignment="1">
      <alignment horizontal="center" vertical="top" wrapText="1"/>
    </xf>
    <xf numFmtId="0" fontId="28" fillId="0" borderId="447" xfId="0" applyFont="1" applyBorder="1" applyAlignment="1">
      <alignment horizontal="center" vertical="top" wrapText="1"/>
    </xf>
    <xf numFmtId="40" fontId="33" fillId="0" borderId="447" xfId="0" applyNumberFormat="1" applyFont="1" applyBorder="1" applyAlignment="1">
      <alignment vertical="top" wrapText="1"/>
    </xf>
    <xf numFmtId="40" fontId="33" fillId="10" borderId="447" xfId="0" applyNumberFormat="1" applyFont="1" applyFill="1" applyBorder="1" applyAlignment="1">
      <alignment vertical="top" wrapText="1"/>
    </xf>
    <xf numFmtId="40" fontId="28" fillId="0" borderId="448" xfId="0" applyNumberFormat="1" applyFont="1" applyBorder="1" applyAlignment="1">
      <alignment vertical="top" wrapText="1"/>
    </xf>
    <xf numFmtId="0" fontId="5" fillId="0" borderId="0" xfId="0" applyFont="1" applyAlignment="1">
      <alignment horizontal="center" vertical="center" wrapText="1"/>
    </xf>
    <xf numFmtId="0" fontId="5" fillId="0" borderId="15" xfId="0" applyFont="1" applyBorder="1" applyAlignment="1">
      <alignment horizontal="center" vertical="center" wrapText="1"/>
    </xf>
    <xf numFmtId="0" fontId="7" fillId="0" borderId="72" xfId="0" applyFont="1" applyBorder="1" applyAlignment="1">
      <alignment horizontal="center" vertical="center" wrapText="1"/>
    </xf>
    <xf numFmtId="0" fontId="32" fillId="0" borderId="73" xfId="0" applyFont="1" applyBorder="1" applyAlignment="1">
      <alignment horizontal="center" vertical="center" wrapText="1"/>
    </xf>
    <xf numFmtId="0" fontId="32" fillId="0" borderId="229" xfId="0" applyFont="1" applyBorder="1" applyAlignment="1">
      <alignment horizontal="center" vertical="center" wrapText="1"/>
    </xf>
    <xf numFmtId="0" fontId="33" fillId="0" borderId="27" xfId="0" applyFont="1" applyBorder="1" applyAlignment="1">
      <alignment horizontal="center" vertical="center" wrapText="1"/>
    </xf>
    <xf numFmtId="0" fontId="32" fillId="0" borderId="27" xfId="0" applyFont="1" applyBorder="1" applyAlignment="1">
      <alignment horizontal="center" vertical="center" wrapText="1"/>
    </xf>
    <xf numFmtId="0" fontId="32" fillId="6" borderId="27" xfId="0" applyFont="1" applyFill="1" applyBorder="1" applyAlignment="1">
      <alignment horizontal="center" vertical="center" wrapText="1"/>
    </xf>
    <xf numFmtId="0" fontId="32" fillId="6" borderId="285" xfId="0" applyFont="1" applyFill="1" applyBorder="1" applyAlignment="1">
      <alignment horizontal="center" vertical="center" wrapText="1"/>
    </xf>
    <xf numFmtId="0" fontId="32" fillId="0" borderId="285" xfId="0" applyFont="1" applyBorder="1" applyAlignment="1">
      <alignment horizontal="center" vertical="center" wrapText="1"/>
    </xf>
    <xf numFmtId="0" fontId="32" fillId="6" borderId="2" xfId="0" applyFont="1" applyFill="1" applyBorder="1" applyAlignment="1">
      <alignment horizontal="center" vertical="center" wrapText="1"/>
    </xf>
    <xf numFmtId="0" fontId="33" fillId="0" borderId="46" xfId="0" applyFont="1" applyBorder="1" applyAlignment="1">
      <alignment horizontal="center" vertical="center" wrapText="1"/>
    </xf>
    <xf numFmtId="0" fontId="32" fillId="6" borderId="73" xfId="0" applyFont="1" applyFill="1" applyBorder="1" applyAlignment="1">
      <alignment horizontal="center" vertical="center" wrapText="1"/>
    </xf>
    <xf numFmtId="0" fontId="32" fillId="10" borderId="73" xfId="0" applyFont="1" applyFill="1" applyBorder="1" applyAlignment="1">
      <alignment horizontal="center" vertical="center" wrapText="1"/>
    </xf>
    <xf numFmtId="0" fontId="32" fillId="6" borderId="46" xfId="0" applyFont="1" applyFill="1" applyBorder="1" applyAlignment="1">
      <alignment horizontal="center" vertical="center" wrapText="1"/>
    </xf>
    <xf numFmtId="0" fontId="32" fillId="0" borderId="46" xfId="0" applyFont="1" applyBorder="1" applyAlignment="1">
      <alignment horizontal="center" vertical="center" wrapText="1"/>
    </xf>
    <xf numFmtId="0" fontId="33" fillId="6" borderId="27" xfId="0" applyFont="1" applyFill="1" applyBorder="1" applyAlignment="1">
      <alignment horizontal="center" vertical="center" wrapText="1"/>
    </xf>
    <xf numFmtId="0" fontId="32" fillId="15" borderId="73" xfId="0" applyFont="1" applyFill="1" applyBorder="1" applyAlignment="1">
      <alignment horizontal="center" vertical="center" wrapText="1"/>
    </xf>
    <xf numFmtId="0" fontId="33" fillId="6" borderId="73" xfId="0" applyFont="1" applyFill="1" applyBorder="1" applyAlignment="1">
      <alignment horizontal="center" vertical="center" wrapText="1"/>
    </xf>
    <xf numFmtId="0" fontId="33" fillId="6" borderId="46" xfId="0" applyFont="1" applyFill="1" applyBorder="1" applyAlignment="1">
      <alignment horizontal="center" vertical="center" wrapText="1"/>
    </xf>
    <xf numFmtId="0" fontId="33" fillId="15" borderId="73" xfId="0" applyFont="1" applyFill="1" applyBorder="1" applyAlignment="1">
      <alignment horizontal="center" vertical="center" wrapText="1"/>
    </xf>
    <xf numFmtId="0" fontId="33" fillId="6" borderId="77" xfId="0" applyFont="1" applyFill="1" applyBorder="1" applyAlignment="1">
      <alignment horizontal="center" vertical="center" wrapText="1"/>
    </xf>
    <xf numFmtId="0" fontId="32" fillId="0" borderId="31"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83" xfId="0" applyFont="1" applyBorder="1" applyAlignment="1">
      <alignment horizontal="center" vertical="center" wrapText="1"/>
    </xf>
    <xf numFmtId="0" fontId="33" fillId="6" borderId="84" xfId="0" applyFont="1" applyFill="1" applyBorder="1" applyAlignment="1">
      <alignment horizontal="center" vertical="center" wrapText="1"/>
    </xf>
    <xf numFmtId="0" fontId="33" fillId="0" borderId="58" xfId="0" applyFont="1" applyBorder="1" applyAlignment="1">
      <alignment horizontal="center" vertical="center" wrapText="1"/>
    </xf>
    <xf numFmtId="0" fontId="33" fillId="6" borderId="94" xfId="0" applyFont="1" applyFill="1" applyBorder="1" applyAlignment="1">
      <alignment horizontal="center" vertical="center" wrapText="1"/>
    </xf>
    <xf numFmtId="0" fontId="32" fillId="0" borderId="96" xfId="0" applyFont="1" applyBorder="1" applyAlignment="1">
      <alignment horizontal="center" vertical="center" wrapText="1"/>
    </xf>
    <xf numFmtId="0" fontId="33" fillId="6" borderId="285" xfId="0" applyFont="1" applyFill="1" applyBorder="1" applyAlignment="1">
      <alignment horizontal="center" vertical="center" wrapText="1"/>
    </xf>
    <xf numFmtId="0" fontId="33" fillId="0" borderId="2" xfId="0" applyFont="1" applyBorder="1" applyAlignment="1">
      <alignment horizontal="center" vertical="center" wrapText="1"/>
    </xf>
    <xf numFmtId="0" fontId="32" fillId="6" borderId="99" xfId="0" applyFont="1" applyFill="1" applyBorder="1" applyAlignment="1">
      <alignment horizontal="center" vertical="center" wrapText="1"/>
    </xf>
    <xf numFmtId="0" fontId="32" fillId="0" borderId="100" xfId="0" applyFont="1" applyBorder="1" applyAlignment="1">
      <alignment horizontal="center" vertical="center" wrapText="1"/>
    </xf>
    <xf numFmtId="0" fontId="32" fillId="6" borderId="100" xfId="0" applyFont="1" applyFill="1" applyBorder="1" applyAlignment="1">
      <alignment horizontal="center" vertical="center" wrapText="1"/>
    </xf>
    <xf numFmtId="0" fontId="33" fillId="0" borderId="102" xfId="0" applyFont="1" applyBorder="1" applyAlignment="1">
      <alignment horizontal="center" vertical="center" wrapText="1"/>
    </xf>
    <xf numFmtId="0" fontId="33" fillId="6" borderId="108" xfId="0" applyFont="1" applyFill="1" applyBorder="1" applyAlignment="1">
      <alignment horizontal="center" vertical="center" wrapText="1"/>
    </xf>
    <xf numFmtId="0" fontId="25" fillId="0" borderId="112" xfId="0" applyFont="1" applyBorder="1" applyAlignment="1">
      <alignment horizontal="center" vertical="center" wrapText="1"/>
    </xf>
    <xf numFmtId="0" fontId="33" fillId="15" borderId="110" xfId="0" applyFont="1" applyFill="1" applyBorder="1" applyAlignment="1">
      <alignment horizontal="center" vertical="center" wrapText="1"/>
    </xf>
    <xf numFmtId="0" fontId="32" fillId="15" borderId="113" xfId="0" applyFont="1" applyFill="1" applyBorder="1" applyAlignment="1">
      <alignment horizontal="center" vertical="center" wrapText="1"/>
    </xf>
    <xf numFmtId="0" fontId="33" fillId="0" borderId="117" xfId="0" applyFont="1" applyBorder="1" applyAlignment="1">
      <alignment horizontal="center" vertical="center" wrapText="1"/>
    </xf>
    <xf numFmtId="0" fontId="33" fillId="15" borderId="31" xfId="0" applyFont="1" applyFill="1" applyBorder="1" applyAlignment="1">
      <alignment horizontal="center" vertical="center" wrapText="1"/>
    </xf>
    <xf numFmtId="0" fontId="33" fillId="15" borderId="120" xfId="0" applyFont="1" applyFill="1" applyBorder="1" applyAlignment="1">
      <alignment horizontal="center" vertical="center" wrapText="1"/>
    </xf>
    <xf numFmtId="0" fontId="33" fillId="0" borderId="124" xfId="0" applyFont="1" applyBorder="1" applyAlignment="1">
      <alignment horizontal="center" vertical="center" wrapText="1"/>
    </xf>
    <xf numFmtId="0" fontId="33" fillId="15" borderId="285" xfId="0" applyFont="1" applyFill="1" applyBorder="1" applyAlignment="1">
      <alignment horizontal="center" vertical="center" wrapText="1"/>
    </xf>
    <xf numFmtId="0" fontId="33" fillId="0" borderId="125" xfId="0" applyFont="1" applyBorder="1" applyAlignment="1">
      <alignment horizontal="center" vertical="center" wrapText="1"/>
    </xf>
    <xf numFmtId="0" fontId="32" fillId="15" borderId="27" xfId="0" applyFont="1" applyFill="1" applyBorder="1" applyAlignment="1">
      <alignment horizontal="center" vertical="center" wrapText="1"/>
    </xf>
    <xf numFmtId="0" fontId="32" fillId="15" borderId="127" xfId="0" applyFont="1" applyFill="1" applyBorder="1" applyAlignment="1">
      <alignment horizontal="center" vertical="center" wrapText="1"/>
    </xf>
    <xf numFmtId="0" fontId="33" fillId="0" borderId="134" xfId="0" applyFont="1" applyBorder="1" applyAlignment="1">
      <alignment horizontal="center" vertical="center" wrapText="1"/>
    </xf>
    <xf numFmtId="0" fontId="33" fillId="15" borderId="238" xfId="0" applyFont="1" applyFill="1" applyBorder="1" applyAlignment="1">
      <alignment horizontal="center" vertical="center" wrapText="1"/>
    </xf>
    <xf numFmtId="0" fontId="33" fillId="0" borderId="254" xfId="0" applyFont="1" applyBorder="1" applyAlignment="1">
      <alignment horizontal="center" vertical="center" wrapText="1"/>
    </xf>
    <xf numFmtId="0" fontId="32" fillId="15" borderId="138" xfId="0" applyFont="1" applyFill="1" applyBorder="1" applyAlignment="1">
      <alignment horizontal="center" vertical="center" wrapText="1"/>
    </xf>
    <xf numFmtId="0" fontId="32" fillId="0" borderId="139" xfId="0" applyFont="1" applyBorder="1" applyAlignment="1">
      <alignment horizontal="center" vertical="center" wrapText="1"/>
    </xf>
    <xf numFmtId="0" fontId="33" fillId="15" borderId="139" xfId="0" applyFont="1" applyFill="1" applyBorder="1" applyAlignment="1">
      <alignment horizontal="center" vertical="center" wrapText="1"/>
    </xf>
    <xf numFmtId="0" fontId="33" fillId="0" borderId="141" xfId="0" applyFont="1" applyBorder="1" applyAlignment="1">
      <alignment horizontal="center" vertical="center" wrapText="1"/>
    </xf>
    <xf numFmtId="0" fontId="33" fillId="15" borderId="142" xfId="0" applyFont="1" applyFill="1" applyBorder="1" applyAlignment="1">
      <alignment horizontal="center" vertical="center" wrapText="1"/>
    </xf>
    <xf numFmtId="0" fontId="33" fillId="0" borderId="145" xfId="0" applyFont="1" applyBorder="1" applyAlignment="1">
      <alignment horizontal="center" vertical="center" wrapText="1"/>
    </xf>
    <xf numFmtId="0" fontId="33" fillId="15" borderId="27" xfId="0" applyFont="1" applyFill="1" applyBorder="1" applyAlignment="1">
      <alignment horizontal="center" vertical="center" wrapText="1"/>
    </xf>
    <xf numFmtId="0" fontId="33" fillId="15" borderId="152" xfId="0" applyFont="1" applyFill="1" applyBorder="1" applyAlignment="1">
      <alignment horizontal="center" vertical="center" wrapText="1"/>
    </xf>
    <xf numFmtId="0" fontId="32" fillId="15" borderId="285" xfId="0" applyFont="1" applyFill="1" applyBorder="1" applyAlignment="1">
      <alignment horizontal="center" vertical="center" wrapText="1"/>
    </xf>
    <xf numFmtId="0" fontId="32" fillId="0" borderId="148" xfId="0" applyFont="1" applyBorder="1" applyAlignment="1">
      <alignment horizontal="center" vertical="center" wrapText="1"/>
    </xf>
    <xf numFmtId="0" fontId="33" fillId="15" borderId="157" xfId="0" applyFont="1" applyFill="1" applyBorder="1" applyAlignment="1">
      <alignment horizontal="center" vertical="center" wrapText="1"/>
    </xf>
    <xf numFmtId="0" fontId="32" fillId="0" borderId="162" xfId="0" applyFont="1" applyBorder="1" applyAlignment="1">
      <alignment horizontal="center" vertical="center" wrapText="1"/>
    </xf>
    <xf numFmtId="0" fontId="33" fillId="15" borderId="162" xfId="0" applyFont="1" applyFill="1" applyBorder="1" applyAlignment="1">
      <alignment horizontal="center" vertical="center" wrapText="1"/>
    </xf>
    <xf numFmtId="0" fontId="33" fillId="0" borderId="180" xfId="0" applyFont="1" applyBorder="1" applyAlignment="1">
      <alignment horizontal="center" vertical="center" wrapText="1"/>
    </xf>
    <xf numFmtId="0" fontId="32" fillId="15" borderId="185" xfId="0" applyFont="1" applyFill="1" applyBorder="1" applyAlignment="1">
      <alignment horizontal="center" vertical="center" wrapText="1"/>
    </xf>
    <xf numFmtId="0" fontId="32" fillId="15" borderId="188" xfId="0" applyFont="1" applyFill="1" applyBorder="1" applyAlignment="1">
      <alignment horizontal="center" vertical="center" wrapText="1"/>
    </xf>
    <xf numFmtId="0" fontId="33" fillId="15" borderId="181" xfId="0" applyFont="1" applyFill="1" applyBorder="1" applyAlignment="1">
      <alignment horizontal="center" vertical="center" wrapText="1"/>
    </xf>
    <xf numFmtId="0" fontId="33" fillId="0" borderId="191" xfId="0" applyFont="1" applyBorder="1" applyAlignment="1">
      <alignment horizontal="center" vertical="center" wrapText="1"/>
    </xf>
    <xf numFmtId="0" fontId="32" fillId="15" borderId="207" xfId="0" applyFont="1" applyFill="1" applyBorder="1" applyAlignment="1">
      <alignment horizontal="center" vertical="center" wrapText="1"/>
    </xf>
    <xf numFmtId="0" fontId="32" fillId="0" borderId="216" xfId="0" applyFont="1" applyBorder="1" applyAlignment="1">
      <alignment horizontal="center" vertical="center" wrapText="1"/>
    </xf>
    <xf numFmtId="0" fontId="33" fillId="15" borderId="220" xfId="0" applyFont="1" applyFill="1" applyBorder="1" applyAlignment="1">
      <alignment horizontal="center" vertical="center" wrapText="1"/>
    </xf>
    <xf numFmtId="0" fontId="33" fillId="0" borderId="226" xfId="0" applyFont="1" applyBorder="1" applyAlignment="1">
      <alignment horizontal="center" vertical="center" wrapText="1"/>
    </xf>
    <xf numFmtId="0" fontId="32" fillId="0" borderId="234" xfId="0" applyFont="1" applyBorder="1" applyAlignment="1">
      <alignment horizontal="center" vertical="center" wrapText="1"/>
    </xf>
    <xf numFmtId="0" fontId="32" fillId="0" borderId="238" xfId="0" applyFont="1" applyBorder="1" applyAlignment="1">
      <alignment horizontal="center" vertical="center" wrapText="1"/>
    </xf>
    <xf numFmtId="0" fontId="33" fillId="15" borderId="249" xfId="0" applyFont="1" applyFill="1" applyBorder="1" applyAlignment="1">
      <alignment horizontal="center" vertical="center" wrapText="1"/>
    </xf>
    <xf numFmtId="0" fontId="33" fillId="15" borderId="2" xfId="0" applyFont="1" applyFill="1" applyBorder="1" applyAlignment="1">
      <alignment horizontal="center" vertical="center" wrapText="1"/>
    </xf>
    <xf numFmtId="0" fontId="33" fillId="0" borderId="249" xfId="0" applyFont="1" applyBorder="1" applyAlignment="1">
      <alignment horizontal="center" vertical="center" wrapText="1"/>
    </xf>
    <xf numFmtId="0" fontId="32" fillId="15" borderId="265" xfId="0" applyFont="1" applyFill="1" applyBorder="1" applyAlignment="1">
      <alignment horizontal="center" vertical="center" wrapText="1"/>
    </xf>
    <xf numFmtId="0" fontId="32" fillId="0" borderId="268" xfId="0" applyFont="1" applyBorder="1" applyAlignment="1">
      <alignment horizontal="center" vertical="center" wrapText="1"/>
    </xf>
    <xf numFmtId="0" fontId="33" fillId="15" borderId="269" xfId="0" applyFont="1" applyFill="1" applyBorder="1" applyAlignment="1">
      <alignment horizontal="center" vertical="center" wrapText="1"/>
    </xf>
    <xf numFmtId="0" fontId="32" fillId="0" borderId="282" xfId="0" applyFont="1" applyBorder="1" applyAlignment="1">
      <alignment horizontal="center" vertical="center" wrapText="1"/>
    </xf>
    <xf numFmtId="0" fontId="33" fillId="15" borderId="283" xfId="0" applyFont="1" applyFill="1" applyBorder="1" applyAlignment="1">
      <alignment horizontal="center" vertical="center" wrapText="1"/>
    </xf>
    <xf numFmtId="0" fontId="33" fillId="0" borderId="285" xfId="0" applyFont="1" applyBorder="1" applyAlignment="1">
      <alignment horizontal="center" vertical="center" wrapText="1"/>
    </xf>
    <xf numFmtId="0" fontId="33" fillId="15" borderId="298" xfId="0" applyFont="1" applyFill="1" applyBorder="1" applyAlignment="1">
      <alignment horizontal="center" vertical="center" wrapText="1"/>
    </xf>
    <xf numFmtId="0" fontId="33" fillId="0" borderId="31" xfId="0" applyFont="1" applyBorder="1" applyAlignment="1">
      <alignment horizontal="center" vertical="center" wrapText="1"/>
    </xf>
    <xf numFmtId="0" fontId="33" fillId="0" borderId="301" xfId="0" applyFont="1" applyBorder="1" applyAlignment="1">
      <alignment horizontal="center" vertical="center" wrapText="1"/>
    </xf>
    <xf numFmtId="0" fontId="33" fillId="15" borderId="302" xfId="0" applyFont="1" applyFill="1" applyBorder="1" applyAlignment="1">
      <alignment horizontal="center" vertical="center" wrapText="1"/>
    </xf>
    <xf numFmtId="0" fontId="33" fillId="15" borderId="309" xfId="0" applyFont="1" applyFill="1" applyBorder="1" applyAlignment="1">
      <alignment horizontal="center" vertical="center" wrapText="1"/>
    </xf>
    <xf numFmtId="0" fontId="33" fillId="0" borderId="312" xfId="0" applyFont="1" applyBorder="1" applyAlignment="1">
      <alignment horizontal="center" vertical="center" wrapText="1"/>
    </xf>
    <xf numFmtId="0" fontId="33" fillId="15" borderId="58" xfId="0" applyFont="1" applyFill="1" applyBorder="1" applyAlignment="1">
      <alignment horizontal="center" vertical="center" wrapText="1"/>
    </xf>
    <xf numFmtId="0" fontId="33" fillId="15" borderId="323" xfId="0" applyFont="1" applyFill="1" applyBorder="1" applyAlignment="1">
      <alignment horizontal="center" vertical="center" wrapText="1"/>
    </xf>
    <xf numFmtId="0" fontId="33" fillId="0" borderId="325" xfId="0" applyFont="1" applyBorder="1" applyAlignment="1">
      <alignment horizontal="center" vertical="center" wrapText="1"/>
    </xf>
    <xf numFmtId="0" fontId="33" fillId="15" borderId="329" xfId="0" applyFont="1" applyFill="1" applyBorder="1" applyAlignment="1">
      <alignment horizontal="center" vertical="center" wrapText="1"/>
    </xf>
    <xf numFmtId="0" fontId="33" fillId="15" borderId="160" xfId="0" applyFont="1" applyFill="1" applyBorder="1" applyAlignment="1">
      <alignment horizontal="center" vertical="center" wrapText="1"/>
    </xf>
    <xf numFmtId="0" fontId="32" fillId="15" borderId="332" xfId="0" applyFont="1" applyFill="1" applyBorder="1" applyAlignment="1">
      <alignment horizontal="center" vertical="center" wrapText="1"/>
    </xf>
    <xf numFmtId="0" fontId="33" fillId="0" borderId="335" xfId="0" applyFont="1" applyBorder="1" applyAlignment="1">
      <alignment horizontal="center" vertical="center" wrapText="1"/>
    </xf>
    <xf numFmtId="0" fontId="33" fillId="15" borderId="346" xfId="0" applyFont="1" applyFill="1" applyBorder="1" applyAlignment="1">
      <alignment horizontal="center" vertical="center" wrapText="1"/>
    </xf>
    <xf numFmtId="0" fontId="33" fillId="15" borderId="343" xfId="0" applyFont="1" applyFill="1" applyBorder="1" applyAlignment="1">
      <alignment horizontal="center" vertical="center" wrapText="1"/>
    </xf>
    <xf numFmtId="0" fontId="33" fillId="0" borderId="352" xfId="0" applyFont="1" applyBorder="1" applyAlignment="1">
      <alignment horizontal="center" vertical="center" wrapText="1"/>
    </xf>
    <xf numFmtId="0" fontId="33" fillId="15" borderId="357" xfId="0" applyFont="1" applyFill="1" applyBorder="1" applyAlignment="1">
      <alignment horizontal="center" vertical="center" wrapText="1"/>
    </xf>
    <xf numFmtId="0" fontId="33" fillId="15" borderId="367" xfId="0" applyFont="1" applyFill="1" applyBorder="1" applyAlignment="1">
      <alignment horizontal="center" vertical="center" wrapText="1"/>
    </xf>
    <xf numFmtId="0" fontId="33" fillId="0" borderId="277" xfId="0" applyFont="1" applyBorder="1" applyAlignment="1">
      <alignment horizontal="center" vertical="center" wrapText="1"/>
    </xf>
    <xf numFmtId="0" fontId="33" fillId="15" borderId="372" xfId="0" applyFont="1" applyFill="1" applyBorder="1" applyAlignment="1">
      <alignment horizontal="center" vertical="center" wrapText="1"/>
    </xf>
    <xf numFmtId="0" fontId="33" fillId="0" borderId="272" xfId="0" applyFont="1" applyBorder="1" applyAlignment="1">
      <alignment horizontal="center" vertical="center" wrapText="1"/>
    </xf>
    <xf numFmtId="0" fontId="33" fillId="0" borderId="383" xfId="0" applyFont="1" applyBorder="1" applyAlignment="1">
      <alignment horizontal="center" vertical="center" wrapText="1"/>
    </xf>
    <xf numFmtId="0" fontId="33" fillId="15" borderId="8" xfId="0" applyFont="1" applyFill="1" applyBorder="1" applyAlignment="1">
      <alignment horizontal="center" vertical="center" wrapText="1"/>
    </xf>
    <xf numFmtId="0" fontId="33" fillId="15" borderId="383" xfId="0" applyFont="1" applyFill="1" applyBorder="1" applyAlignment="1">
      <alignment horizontal="center" vertical="center" wrapText="1"/>
    </xf>
    <xf numFmtId="0" fontId="33" fillId="0" borderId="391" xfId="0" applyFont="1" applyBorder="1" applyAlignment="1">
      <alignment horizontal="center" vertical="center" wrapText="1"/>
    </xf>
    <xf numFmtId="0" fontId="33" fillId="15" borderId="393" xfId="0" applyFont="1" applyFill="1" applyBorder="1" applyAlignment="1">
      <alignment horizontal="center" vertical="center" wrapText="1"/>
    </xf>
    <xf numFmtId="0" fontId="33" fillId="0" borderId="394" xfId="0" applyFont="1" applyBorder="1" applyAlignment="1">
      <alignment horizontal="center" vertical="center" wrapText="1"/>
    </xf>
    <xf numFmtId="0" fontId="33" fillId="15" borderId="277" xfId="0" applyFont="1" applyFill="1" applyBorder="1" applyAlignment="1">
      <alignment horizontal="center" vertical="center" wrapText="1"/>
    </xf>
    <xf numFmtId="0" fontId="32" fillId="15" borderId="395" xfId="0" applyFont="1" applyFill="1" applyBorder="1" applyAlignment="1">
      <alignment horizontal="center" vertical="center" wrapText="1"/>
    </xf>
    <xf numFmtId="0" fontId="33" fillId="0" borderId="396" xfId="0" applyFont="1" applyBorder="1" applyAlignment="1">
      <alignment horizontal="center" vertical="center" wrapText="1"/>
    </xf>
    <xf numFmtId="0" fontId="33" fillId="15" borderId="401" xfId="0" applyFont="1" applyFill="1" applyBorder="1" applyAlignment="1">
      <alignment horizontal="center" vertical="center" wrapText="1"/>
    </xf>
    <xf numFmtId="0" fontId="33" fillId="15" borderId="402" xfId="0" applyFont="1" applyFill="1" applyBorder="1" applyAlignment="1">
      <alignment horizontal="center" vertical="center" wrapText="1"/>
    </xf>
    <xf numFmtId="0" fontId="33" fillId="0" borderId="407" xfId="0" applyFont="1" applyBorder="1" applyAlignment="1">
      <alignment horizontal="center" vertical="center" wrapText="1"/>
    </xf>
    <xf numFmtId="0" fontId="33" fillId="15" borderId="378" xfId="0" applyFont="1" applyFill="1" applyBorder="1" applyAlignment="1">
      <alignment horizontal="center" vertical="center" wrapText="1"/>
    </xf>
    <xf numFmtId="0" fontId="33" fillId="15" borderId="410" xfId="0" applyFont="1" applyFill="1" applyBorder="1" applyAlignment="1">
      <alignment horizontal="center" vertical="center" wrapText="1"/>
    </xf>
    <xf numFmtId="0" fontId="33" fillId="0" borderId="414" xfId="0" applyFont="1" applyBorder="1" applyAlignment="1">
      <alignment horizontal="center" vertical="center" wrapText="1"/>
    </xf>
    <xf numFmtId="0" fontId="33" fillId="0" borderId="419" xfId="0" applyFont="1" applyBorder="1" applyAlignment="1">
      <alignment horizontal="center" vertical="center" wrapText="1"/>
    </xf>
    <xf numFmtId="0" fontId="33" fillId="15" borderId="422" xfId="0" applyFont="1" applyFill="1" applyBorder="1" applyAlignment="1">
      <alignment horizontal="center" vertical="center" wrapText="1"/>
    </xf>
    <xf numFmtId="0" fontId="33" fillId="15" borderId="423" xfId="0" applyFont="1" applyFill="1" applyBorder="1" applyAlignment="1">
      <alignment horizontal="center" vertical="center" wrapText="1"/>
    </xf>
    <xf numFmtId="0" fontId="33" fillId="0" borderId="427" xfId="0" applyFont="1" applyBorder="1" applyAlignment="1">
      <alignment horizontal="center" vertical="center" wrapText="1"/>
    </xf>
    <xf numFmtId="0" fontId="33" fillId="15" borderId="432" xfId="0" applyFont="1" applyFill="1" applyBorder="1" applyAlignment="1">
      <alignment horizontal="center" vertical="center" wrapText="1"/>
    </xf>
    <xf numFmtId="0" fontId="33" fillId="0" borderId="434" xfId="0" applyFont="1" applyBorder="1" applyAlignment="1">
      <alignment horizontal="center" vertical="center" wrapText="1"/>
    </xf>
    <xf numFmtId="0" fontId="33" fillId="15" borderId="439" xfId="0" applyFont="1" applyFill="1" applyBorder="1" applyAlignment="1">
      <alignment horizontal="center" vertical="center" wrapText="1"/>
    </xf>
    <xf numFmtId="0" fontId="33" fillId="15" borderId="443" xfId="0" applyFont="1" applyFill="1" applyBorder="1" applyAlignment="1">
      <alignment horizontal="center" vertical="center" wrapText="1"/>
    </xf>
    <xf numFmtId="0" fontId="33" fillId="0" borderId="446" xfId="0" applyFont="1" applyBorder="1" applyAlignment="1">
      <alignment horizontal="center" vertical="center" wrapText="1"/>
    </xf>
    <xf numFmtId="0" fontId="37" fillId="15" borderId="73" xfId="0" applyFont="1" applyFill="1" applyBorder="1" applyAlignment="1">
      <alignment horizontal="center" vertical="center" wrapText="1"/>
    </xf>
    <xf numFmtId="0" fontId="37" fillId="0" borderId="320" xfId="0" applyFont="1" applyBorder="1" applyAlignment="1">
      <alignment horizontal="center" vertical="center" wrapText="1"/>
    </xf>
    <xf numFmtId="182" fontId="32" fillId="15" borderId="398" xfId="1" applyNumberFormat="1" applyFont="1" applyFill="1" applyBorder="1" applyAlignment="1" applyProtection="1">
      <alignment horizontal="center" vertical="top" wrapText="1"/>
    </xf>
    <xf numFmtId="0" fontId="5" fillId="15" borderId="0" xfId="0" applyFont="1" applyFill="1" applyAlignment="1">
      <alignment vertical="top" wrapText="1"/>
    </xf>
    <xf numFmtId="0" fontId="33" fillId="0" borderId="449" xfId="0" applyFont="1" applyBorder="1" applyAlignment="1">
      <alignment horizontal="center" vertical="center" wrapText="1"/>
    </xf>
    <xf numFmtId="0" fontId="5" fillId="20" borderId="23" xfId="0" applyFont="1" applyFill="1" applyBorder="1" applyAlignment="1">
      <alignment vertical="top" wrapText="1"/>
    </xf>
    <xf numFmtId="0" fontId="5" fillId="20" borderId="129" xfId="0" applyFont="1" applyFill="1" applyBorder="1" applyAlignment="1">
      <alignment vertical="top" wrapText="1"/>
    </xf>
    <xf numFmtId="0" fontId="5" fillId="20" borderId="35" xfId="0" applyFont="1" applyFill="1" applyBorder="1" applyAlignment="1">
      <alignment vertical="top" wrapText="1"/>
    </xf>
    <xf numFmtId="0" fontId="5" fillId="20" borderId="137" xfId="0" applyFont="1" applyFill="1" applyBorder="1" applyAlignment="1">
      <alignment vertical="top" wrapText="1"/>
    </xf>
    <xf numFmtId="0" fontId="5" fillId="20" borderId="150" xfId="0" applyFont="1" applyFill="1" applyBorder="1" applyAlignment="1">
      <alignment vertical="top" wrapText="1"/>
    </xf>
    <xf numFmtId="0" fontId="5" fillId="20" borderId="163" xfId="0" applyFont="1" applyFill="1" applyBorder="1" applyAlignment="1">
      <alignment vertical="top" wrapText="1"/>
    </xf>
    <xf numFmtId="0" fontId="5" fillId="20" borderId="187" xfId="0" applyFont="1" applyFill="1" applyBorder="1" applyAlignment="1">
      <alignment vertical="top" wrapText="1"/>
    </xf>
    <xf numFmtId="0" fontId="5" fillId="20" borderId="212" xfId="0" applyFont="1" applyFill="1" applyBorder="1" applyAlignment="1">
      <alignment vertical="top" wrapText="1"/>
    </xf>
    <xf numFmtId="0" fontId="5" fillId="20" borderId="270" xfId="0" applyFont="1" applyFill="1" applyBorder="1" applyAlignment="1">
      <alignment vertical="top" wrapText="1"/>
    </xf>
    <xf numFmtId="0" fontId="5" fillId="20" borderId="236" xfId="0" applyFont="1" applyFill="1" applyBorder="1" applyAlignment="1">
      <alignment vertical="top" wrapText="1"/>
    </xf>
    <xf numFmtId="0" fontId="5" fillId="20" borderId="251" xfId="0" applyFont="1" applyFill="1" applyBorder="1" applyAlignment="1">
      <alignment vertical="top" wrapText="1"/>
    </xf>
    <xf numFmtId="0" fontId="5" fillId="20" borderId="240" xfId="0" applyFont="1" applyFill="1" applyBorder="1" applyAlignment="1">
      <alignment vertical="top" wrapText="1"/>
    </xf>
    <xf numFmtId="0" fontId="5" fillId="20" borderId="310" xfId="0" applyFont="1" applyFill="1" applyBorder="1" applyAlignment="1">
      <alignment vertical="top" wrapText="1"/>
    </xf>
    <xf numFmtId="0" fontId="5" fillId="20" borderId="313" xfId="0" applyFont="1" applyFill="1" applyBorder="1" applyAlignment="1">
      <alignment vertical="top" wrapText="1"/>
    </xf>
    <xf numFmtId="0" fontId="5" fillId="20" borderId="333" xfId="0" applyFont="1" applyFill="1" applyBorder="1" applyAlignment="1">
      <alignment vertical="top" wrapText="1"/>
    </xf>
    <xf numFmtId="0" fontId="5" fillId="20" borderId="354" xfId="0" applyFont="1" applyFill="1" applyBorder="1" applyAlignment="1">
      <alignment vertical="top" wrapText="1"/>
    </xf>
    <xf numFmtId="0" fontId="5" fillId="20" borderId="32" xfId="0" applyFont="1" applyFill="1" applyBorder="1" applyAlignment="1">
      <alignment vertical="top" wrapText="1"/>
    </xf>
    <xf numFmtId="0" fontId="5" fillId="20" borderId="284" xfId="0" applyFont="1" applyFill="1" applyBorder="1" applyAlignment="1">
      <alignment vertical="top" wrapText="1"/>
    </xf>
    <xf numFmtId="0" fontId="5" fillId="20" borderId="370" xfId="0" applyFont="1" applyFill="1" applyBorder="1" applyAlignment="1">
      <alignment vertical="top" wrapText="1"/>
    </xf>
    <xf numFmtId="0" fontId="5" fillId="20" borderId="384" xfId="0" applyFont="1" applyFill="1" applyBorder="1" applyAlignment="1">
      <alignment vertical="top" wrapText="1"/>
    </xf>
    <xf numFmtId="0" fontId="5" fillId="20" borderId="398" xfId="0" applyFont="1" applyFill="1" applyBorder="1" applyAlignment="1">
      <alignment vertical="top" wrapText="1"/>
    </xf>
    <xf numFmtId="0" fontId="5" fillId="20" borderId="404" xfId="0" applyFont="1" applyFill="1" applyBorder="1" applyAlignment="1">
      <alignment vertical="top" wrapText="1"/>
    </xf>
    <xf numFmtId="0" fontId="5" fillId="20" borderId="411" xfId="0" applyFont="1" applyFill="1" applyBorder="1" applyAlignment="1">
      <alignment vertical="top" wrapText="1"/>
    </xf>
    <xf numFmtId="0" fontId="5" fillId="20" borderId="424" xfId="0" applyFont="1" applyFill="1" applyBorder="1" applyAlignment="1">
      <alignment vertical="top" wrapText="1"/>
    </xf>
    <xf numFmtId="0" fontId="5" fillId="20" borderId="438" xfId="0" applyFont="1" applyFill="1" applyBorder="1" applyAlignment="1">
      <alignment vertical="top" wrapText="1"/>
    </xf>
    <xf numFmtId="0" fontId="33" fillId="15" borderId="450" xfId="0" applyFont="1" applyFill="1" applyBorder="1" applyAlignment="1">
      <alignment horizontal="center" vertical="center" wrapText="1"/>
    </xf>
    <xf numFmtId="0" fontId="14" fillId="15" borderId="451" xfId="0" applyFont="1" applyFill="1" applyBorder="1" applyAlignment="1">
      <alignment horizontal="center" vertical="top" wrapText="1"/>
    </xf>
    <xf numFmtId="14" fontId="5" fillId="15" borderId="451" xfId="0" applyNumberFormat="1" applyFont="1" applyFill="1" applyBorder="1" applyAlignment="1">
      <alignment horizontal="center" vertical="top" wrapText="1"/>
    </xf>
    <xf numFmtId="0" fontId="5" fillId="15" borderId="451" xfId="0" applyFont="1" applyFill="1" applyBorder="1" applyAlignment="1">
      <alignment horizontal="center" vertical="top" wrapText="1"/>
    </xf>
    <xf numFmtId="0" fontId="5" fillId="15" borderId="450" xfId="0" applyFont="1" applyFill="1" applyBorder="1" applyAlignment="1">
      <alignment vertical="top" wrapText="1"/>
    </xf>
    <xf numFmtId="0" fontId="5" fillId="15" borderId="451" xfId="0" applyFont="1" applyFill="1" applyBorder="1" applyAlignment="1">
      <alignment vertical="top" wrapText="1"/>
    </xf>
    <xf numFmtId="14" fontId="5" fillId="15" borderId="450" xfId="0" applyNumberFormat="1" applyFont="1" applyFill="1" applyBorder="1" applyAlignment="1">
      <alignment horizontal="center" vertical="top" wrapText="1"/>
    </xf>
    <xf numFmtId="0" fontId="33" fillId="15" borderId="450" xfId="0" applyFont="1" applyFill="1" applyBorder="1" applyAlignment="1">
      <alignment vertical="top" wrapText="1"/>
    </xf>
    <xf numFmtId="4" fontId="32" fillId="15" borderId="451" xfId="0" applyNumberFormat="1" applyFont="1" applyFill="1" applyBorder="1" applyAlignment="1">
      <alignment vertical="top" wrapText="1"/>
    </xf>
    <xf numFmtId="4" fontId="33" fillId="15" borderId="450" xfId="0" applyNumberFormat="1" applyFont="1" applyFill="1" applyBorder="1" applyAlignment="1">
      <alignment vertical="top" wrapText="1"/>
    </xf>
    <xf numFmtId="4" fontId="32" fillId="15" borderId="452" xfId="0" applyNumberFormat="1" applyFont="1" applyFill="1" applyBorder="1" applyAlignment="1">
      <alignment vertical="top" wrapText="1"/>
    </xf>
    <xf numFmtId="4" fontId="28" fillId="15" borderId="450" xfId="0" applyNumberFormat="1" applyFont="1" applyFill="1" applyBorder="1" applyAlignment="1">
      <alignment vertical="top" wrapText="1"/>
    </xf>
    <xf numFmtId="173" fontId="28" fillId="15" borderId="451" xfId="0" applyNumberFormat="1" applyFont="1" applyFill="1" applyBorder="1" applyAlignment="1">
      <alignment horizontal="center" vertical="top" wrapText="1"/>
    </xf>
    <xf numFmtId="4" fontId="28" fillId="15" borderId="451" xfId="0" applyNumberFormat="1" applyFont="1" applyFill="1" applyBorder="1" applyAlignment="1">
      <alignment horizontal="center" vertical="top" wrapText="1"/>
    </xf>
    <xf numFmtId="40" fontId="33" fillId="15" borderId="451" xfId="0" applyNumberFormat="1" applyFont="1" applyFill="1" applyBorder="1" applyAlignment="1">
      <alignment vertical="top" wrapText="1"/>
    </xf>
    <xf numFmtId="40" fontId="28" fillId="15" borderId="452" xfId="0" applyNumberFormat="1" applyFont="1" applyFill="1" applyBorder="1" applyAlignment="1">
      <alignment vertical="top" wrapText="1"/>
    </xf>
    <xf numFmtId="0" fontId="14" fillId="19" borderId="63" xfId="0" applyFont="1" applyFill="1" applyBorder="1" applyAlignment="1">
      <alignment horizontal="center" vertical="top" wrapText="1"/>
    </xf>
    <xf numFmtId="0" fontId="33" fillId="0" borderId="453" xfId="0" applyFont="1" applyBorder="1" applyAlignment="1">
      <alignment horizontal="center" vertical="center" wrapText="1"/>
    </xf>
    <xf numFmtId="0" fontId="28" fillId="0" borderId="454" xfId="0" applyFont="1" applyBorder="1" applyAlignment="1">
      <alignment horizontal="center" vertical="top" wrapText="1"/>
    </xf>
    <xf numFmtId="14" fontId="5" fillId="0" borderId="454" xfId="0" applyNumberFormat="1" applyFont="1" applyBorder="1" applyAlignment="1">
      <alignment horizontal="center" vertical="top" wrapText="1"/>
    </xf>
    <xf numFmtId="0" fontId="5" fillId="0" borderId="454" xfId="0" applyFont="1" applyBorder="1" applyAlignment="1">
      <alignment horizontal="center" vertical="top" wrapText="1"/>
    </xf>
    <xf numFmtId="165" fontId="5" fillId="0" borderId="454" xfId="0" applyNumberFormat="1" applyFont="1" applyBorder="1" applyAlignment="1">
      <alignment horizontal="center" vertical="top" wrapText="1"/>
    </xf>
    <xf numFmtId="182" fontId="28" fillId="0" borderId="33" xfId="1" applyNumberFormat="1" applyFont="1" applyFill="1" applyBorder="1" applyAlignment="1" applyProtection="1">
      <alignment horizontal="center" vertical="top" wrapText="1"/>
    </xf>
    <xf numFmtId="0" fontId="5" fillId="0" borderId="453" xfId="0" applyFont="1" applyBorder="1" applyAlignment="1">
      <alignment vertical="top" wrapText="1"/>
    </xf>
    <xf numFmtId="0" fontId="5" fillId="0" borderId="454" xfId="0" applyFont="1" applyBorder="1" applyAlignment="1">
      <alignment vertical="top" wrapText="1"/>
    </xf>
    <xf numFmtId="14" fontId="5" fillId="0" borderId="453" xfId="0" applyNumberFormat="1" applyFont="1" applyBorder="1" applyAlignment="1">
      <alignment horizontal="center" vertical="top" wrapText="1"/>
    </xf>
    <xf numFmtId="0" fontId="33" fillId="0" borderId="454" xfId="0" applyFont="1" applyBorder="1" applyAlignment="1">
      <alignment vertical="top" wrapText="1"/>
    </xf>
    <xf numFmtId="0" fontId="33" fillId="0" borderId="453" xfId="0" applyFont="1" applyBorder="1" applyAlignment="1">
      <alignment vertical="top" wrapText="1"/>
    </xf>
    <xf numFmtId="4" fontId="32" fillId="0" borderId="454" xfId="0" applyNumberFormat="1" applyFont="1" applyBorder="1" applyAlignment="1">
      <alignment vertical="top" wrapText="1"/>
    </xf>
    <xf numFmtId="4" fontId="33" fillId="0" borderId="453" xfId="0" applyNumberFormat="1" applyFont="1" applyBorder="1" applyAlignment="1">
      <alignment vertical="top" wrapText="1"/>
    </xf>
    <xf numFmtId="4" fontId="32" fillId="0" borderId="455" xfId="0" applyNumberFormat="1" applyFont="1" applyBorder="1" applyAlignment="1">
      <alignment vertical="top" wrapText="1"/>
    </xf>
    <xf numFmtId="4" fontId="28" fillId="0" borderId="453" xfId="0" applyNumberFormat="1" applyFont="1" applyBorder="1" applyAlignment="1">
      <alignment vertical="top" wrapText="1"/>
    </xf>
    <xf numFmtId="173" fontId="28" fillId="0" borderId="454" xfId="0" applyNumberFormat="1" applyFont="1" applyBorder="1" applyAlignment="1">
      <alignment horizontal="center" vertical="top" wrapText="1"/>
    </xf>
    <xf numFmtId="40" fontId="33" fillId="0" borderId="454" xfId="0" applyNumberFormat="1" applyFont="1" applyBorder="1" applyAlignment="1">
      <alignment vertical="top" wrapText="1"/>
    </xf>
    <xf numFmtId="40" fontId="28" fillId="0" borderId="455" xfId="0" applyNumberFormat="1" applyFont="1" applyBorder="1" applyAlignment="1">
      <alignment vertical="top" wrapText="1"/>
    </xf>
    <xf numFmtId="44" fontId="28" fillId="0" borderId="0" xfId="2" applyFont="1" applyFill="1" applyBorder="1" applyAlignment="1" applyProtection="1">
      <alignment vertical="top" wrapText="1"/>
    </xf>
    <xf numFmtId="8" fontId="5" fillId="0" borderId="293" xfId="2" applyNumberFormat="1" applyFont="1" applyFill="1" applyBorder="1" applyAlignment="1" applyProtection="1">
      <alignment vertical="top" wrapText="1"/>
    </xf>
    <xf numFmtId="0" fontId="5" fillId="0" borderId="317" xfId="0" applyFont="1" applyBorder="1" applyAlignment="1">
      <alignment vertical="top" wrapText="1"/>
    </xf>
    <xf numFmtId="0" fontId="14" fillId="15" borderId="235" xfId="0" applyFont="1" applyFill="1" applyBorder="1" applyAlignment="1">
      <alignment horizontal="center" vertical="top" wrapText="1"/>
    </xf>
    <xf numFmtId="0" fontId="14" fillId="15" borderId="236" xfId="0" applyFont="1" applyFill="1" applyBorder="1" applyAlignment="1">
      <alignment horizontal="center" vertical="top" wrapText="1"/>
    </xf>
    <xf numFmtId="0" fontId="5" fillId="15" borderId="234" xfId="0" applyFont="1" applyFill="1" applyBorder="1" applyAlignment="1">
      <alignment vertical="top" wrapText="1"/>
    </xf>
    <xf numFmtId="0" fontId="5" fillId="15" borderId="235" xfId="0" applyFont="1" applyFill="1" applyBorder="1" applyAlignment="1">
      <alignment vertical="top" wrapText="1"/>
    </xf>
    <xf numFmtId="0" fontId="5" fillId="15" borderId="236" xfId="0" applyFont="1" applyFill="1" applyBorder="1" applyAlignment="1">
      <alignment vertical="top" wrapText="1"/>
    </xf>
    <xf numFmtId="0" fontId="33" fillId="15" borderId="235" xfId="0" applyFont="1" applyFill="1" applyBorder="1" applyAlignment="1">
      <alignment vertical="top" wrapText="1"/>
    </xf>
    <xf numFmtId="0" fontId="33" fillId="15" borderId="234" xfId="0" applyFont="1" applyFill="1" applyBorder="1" applyAlignment="1">
      <alignment vertical="top" wrapText="1"/>
    </xf>
    <xf numFmtId="4" fontId="5" fillId="15" borderId="235" xfId="0" applyNumberFormat="1" applyFont="1" applyFill="1" applyBorder="1" applyAlignment="1">
      <alignment vertical="top" wrapText="1"/>
    </xf>
    <xf numFmtId="4" fontId="32" fillId="15" borderId="236" xfId="0" applyNumberFormat="1" applyFont="1" applyFill="1" applyBorder="1" applyAlignment="1">
      <alignment vertical="top" wrapText="1"/>
    </xf>
    <xf numFmtId="4" fontId="33" fillId="15" borderId="234" xfId="0" applyNumberFormat="1" applyFont="1" applyFill="1" applyBorder="1" applyAlignment="1">
      <alignment vertical="top" wrapText="1"/>
    </xf>
    <xf numFmtId="4" fontId="14" fillId="15" borderId="235" xfId="0" applyNumberFormat="1" applyFont="1" applyFill="1" applyBorder="1" applyAlignment="1">
      <alignment vertical="top" wrapText="1"/>
    </xf>
    <xf numFmtId="0" fontId="28" fillId="15" borderId="235" xfId="0" applyFont="1" applyFill="1" applyBorder="1" applyAlignment="1">
      <alignment horizontal="center" vertical="top" wrapText="1"/>
    </xf>
    <xf numFmtId="173" fontId="28" fillId="15" borderId="236" xfId="0" applyNumberFormat="1" applyFont="1" applyFill="1" applyBorder="1" applyAlignment="1">
      <alignment horizontal="center" vertical="top" wrapText="1"/>
    </xf>
    <xf numFmtId="0" fontId="5" fillId="15" borderId="243" xfId="0" applyFont="1" applyFill="1" applyBorder="1" applyAlignment="1">
      <alignment vertical="top" wrapText="1"/>
    </xf>
    <xf numFmtId="0" fontId="28" fillId="15" borderId="236" xfId="0" applyFont="1" applyFill="1" applyBorder="1" applyAlignment="1">
      <alignment horizontal="center" vertical="top" wrapText="1"/>
    </xf>
    <xf numFmtId="182" fontId="28" fillId="15" borderId="35" xfId="1" applyNumberFormat="1" applyFont="1" applyFill="1" applyBorder="1" applyAlignment="1" applyProtection="1">
      <alignment horizontal="center" vertical="top" wrapText="1"/>
    </xf>
    <xf numFmtId="0" fontId="33" fillId="15" borderId="456" xfId="0" applyFont="1" applyFill="1" applyBorder="1" applyAlignment="1">
      <alignment horizontal="center" vertical="center" wrapText="1"/>
    </xf>
    <xf numFmtId="0" fontId="14" fillId="15" borderId="454" xfId="0" applyFont="1" applyFill="1" applyBorder="1" applyAlignment="1">
      <alignment horizontal="center" vertical="top" wrapText="1"/>
    </xf>
    <xf numFmtId="14" fontId="5" fillId="15" borderId="454" xfId="0" applyNumberFormat="1" applyFont="1" applyFill="1" applyBorder="1" applyAlignment="1">
      <alignment horizontal="center" vertical="top" wrapText="1"/>
    </xf>
    <xf numFmtId="0" fontId="5" fillId="15" borderId="454" xfId="0" applyFont="1" applyFill="1" applyBorder="1" applyAlignment="1">
      <alignment horizontal="center" vertical="top" wrapText="1"/>
    </xf>
    <xf numFmtId="165" fontId="32" fillId="15" borderId="33" xfId="0" applyNumberFormat="1" applyFont="1" applyFill="1" applyBorder="1" applyAlignment="1">
      <alignment horizontal="center" vertical="top" wrapText="1"/>
    </xf>
    <xf numFmtId="182" fontId="29" fillId="15" borderId="33" xfId="1" applyNumberFormat="1" applyFont="1" applyFill="1" applyBorder="1" applyAlignment="1" applyProtection="1">
      <alignment horizontal="center" vertical="top" wrapText="1"/>
    </xf>
    <xf numFmtId="0" fontId="5" fillId="15" borderId="453" xfId="0" applyFont="1" applyFill="1" applyBorder="1" applyAlignment="1">
      <alignment vertical="top" wrapText="1"/>
    </xf>
    <xf numFmtId="0" fontId="5" fillId="15" borderId="454" xfId="0" applyFont="1" applyFill="1" applyBorder="1" applyAlignment="1">
      <alignment vertical="top" wrapText="1"/>
    </xf>
    <xf numFmtId="14" fontId="5" fillId="15" borderId="453" xfId="0" applyNumberFormat="1" applyFont="1" applyFill="1" applyBorder="1" applyAlignment="1">
      <alignment horizontal="center" vertical="top" wrapText="1"/>
    </xf>
    <xf numFmtId="0" fontId="33" fillId="15" borderId="453" xfId="0" applyFont="1" applyFill="1" applyBorder="1" applyAlignment="1">
      <alignment vertical="top" wrapText="1"/>
    </xf>
    <xf numFmtId="4" fontId="32" fillId="15" borderId="454" xfId="0" applyNumberFormat="1" applyFont="1" applyFill="1" applyBorder="1" applyAlignment="1">
      <alignment vertical="top" wrapText="1"/>
    </xf>
    <xf numFmtId="4" fontId="33" fillId="15" borderId="453" xfId="0" applyNumberFormat="1" applyFont="1" applyFill="1" applyBorder="1" applyAlignment="1">
      <alignment vertical="top" wrapText="1"/>
    </xf>
    <xf numFmtId="4" fontId="32" fillId="15" borderId="455" xfId="0" applyNumberFormat="1" applyFont="1" applyFill="1" applyBorder="1" applyAlignment="1">
      <alignment vertical="top" wrapText="1"/>
    </xf>
    <xf numFmtId="4" fontId="28" fillId="15" borderId="453" xfId="0" applyNumberFormat="1" applyFont="1" applyFill="1" applyBorder="1" applyAlignment="1">
      <alignment vertical="top" wrapText="1"/>
    </xf>
    <xf numFmtId="173" fontId="28" fillId="15" borderId="454" xfId="0" applyNumberFormat="1" applyFont="1" applyFill="1" applyBorder="1" applyAlignment="1">
      <alignment horizontal="center" vertical="top" wrapText="1"/>
    </xf>
    <xf numFmtId="0" fontId="28" fillId="15" borderId="454" xfId="0" applyFont="1" applyFill="1" applyBorder="1" applyAlignment="1">
      <alignment horizontal="center" vertical="top" wrapText="1"/>
    </xf>
    <xf numFmtId="40" fontId="33" fillId="15" borderId="454" xfId="0" applyNumberFormat="1" applyFont="1" applyFill="1" applyBorder="1" applyAlignment="1">
      <alignment vertical="top" wrapText="1"/>
    </xf>
    <xf numFmtId="40" fontId="28" fillId="15" borderId="455" xfId="0" applyNumberFormat="1" applyFont="1" applyFill="1" applyBorder="1" applyAlignment="1">
      <alignment vertical="top" wrapText="1"/>
    </xf>
    <xf numFmtId="0" fontId="33" fillId="14" borderId="73" xfId="0" applyFont="1" applyFill="1" applyBorder="1" applyAlignment="1">
      <alignment horizontal="center" vertical="center" wrapText="1"/>
    </xf>
    <xf numFmtId="0" fontId="33" fillId="0" borderId="457" xfId="0" applyFont="1" applyBorder="1" applyAlignment="1">
      <alignment horizontal="center" vertical="center" wrapText="1"/>
    </xf>
    <xf numFmtId="0" fontId="14" fillId="0" borderId="440" xfId="0" applyFont="1" applyBorder="1" applyAlignment="1">
      <alignment horizontal="center" vertical="top" wrapText="1"/>
    </xf>
    <xf numFmtId="14" fontId="5" fillId="0" borderId="438" xfId="0" applyNumberFormat="1" applyFont="1" applyBorder="1" applyAlignment="1">
      <alignment horizontal="center" vertical="top" wrapText="1"/>
    </xf>
    <xf numFmtId="0" fontId="5" fillId="0" borderId="438" xfId="0" applyFont="1" applyBorder="1" applyAlignment="1">
      <alignment horizontal="center" vertical="top" wrapText="1"/>
    </xf>
    <xf numFmtId="165" fontId="5" fillId="0" borderId="438" xfId="0" applyNumberFormat="1" applyFont="1" applyBorder="1" applyAlignment="1">
      <alignment horizontal="center" vertical="top" wrapText="1"/>
    </xf>
    <xf numFmtId="182" fontId="5" fillId="0" borderId="438" xfId="1" applyNumberFormat="1" applyFont="1" applyFill="1" applyBorder="1" applyAlignment="1" applyProtection="1">
      <alignment horizontal="center" vertical="top" wrapText="1"/>
    </xf>
    <xf numFmtId="0" fontId="5" fillId="0" borderId="440" xfId="0" applyFont="1" applyBorder="1" applyAlignment="1">
      <alignment vertical="top" wrapText="1"/>
    </xf>
    <xf numFmtId="0" fontId="5" fillId="0" borderId="438" xfId="0" applyFont="1" applyBorder="1" applyAlignment="1">
      <alignment vertical="top" wrapText="1"/>
    </xf>
    <xf numFmtId="0" fontId="33" fillId="0" borderId="440" xfId="0" applyFont="1" applyBorder="1" applyAlignment="1">
      <alignment vertical="top" wrapText="1"/>
    </xf>
    <xf numFmtId="0" fontId="33" fillId="0" borderId="439" xfId="0" applyFont="1" applyBorder="1" applyAlignment="1">
      <alignment vertical="top" wrapText="1"/>
    </xf>
    <xf numFmtId="4" fontId="5" fillId="0" borderId="440" xfId="0" applyNumberFormat="1" applyFont="1" applyBorder="1" applyAlignment="1">
      <alignment vertical="top" wrapText="1"/>
    </xf>
    <xf numFmtId="4" fontId="32" fillId="0" borderId="438" xfId="0" applyNumberFormat="1" applyFont="1" applyBorder="1" applyAlignment="1">
      <alignment vertical="top" wrapText="1"/>
    </xf>
    <xf numFmtId="4" fontId="33" fillId="0" borderId="439" xfId="0" applyNumberFormat="1" applyFont="1" applyBorder="1" applyAlignment="1">
      <alignment vertical="top" wrapText="1"/>
    </xf>
    <xf numFmtId="4" fontId="5" fillId="10" borderId="440" xfId="0" applyNumberFormat="1" applyFont="1" applyFill="1" applyBorder="1" applyAlignment="1">
      <alignment vertical="top" wrapText="1"/>
    </xf>
    <xf numFmtId="4" fontId="32" fillId="10" borderId="438" xfId="0" applyNumberFormat="1" applyFont="1" applyFill="1" applyBorder="1" applyAlignment="1">
      <alignment vertical="top" wrapText="1"/>
    </xf>
    <xf numFmtId="4" fontId="33" fillId="10" borderId="439" xfId="0" applyNumberFormat="1" applyFont="1" applyFill="1" applyBorder="1" applyAlignment="1">
      <alignment vertical="top" wrapText="1"/>
    </xf>
    <xf numFmtId="4" fontId="14" fillId="0" borderId="440" xfId="0" applyNumberFormat="1" applyFont="1" applyBorder="1" applyAlignment="1">
      <alignment vertical="top" wrapText="1"/>
    </xf>
    <xf numFmtId="0" fontId="28" fillId="0" borderId="440" xfId="0" applyFont="1" applyBorder="1" applyAlignment="1">
      <alignment horizontal="center" vertical="top" wrapText="1"/>
    </xf>
    <xf numFmtId="173" fontId="28" fillId="0" borderId="438" xfId="0" applyNumberFormat="1" applyFont="1" applyBorder="1" applyAlignment="1">
      <alignment horizontal="center" vertical="top" wrapText="1"/>
    </xf>
    <xf numFmtId="0" fontId="28" fillId="0" borderId="438" xfId="0" applyFont="1" applyBorder="1" applyAlignment="1">
      <alignment horizontal="center" vertical="top" wrapText="1"/>
    </xf>
    <xf numFmtId="0" fontId="33" fillId="0" borderId="458" xfId="0" applyFont="1" applyBorder="1" applyAlignment="1">
      <alignment horizontal="center" vertical="center" wrapText="1"/>
    </xf>
    <xf numFmtId="0" fontId="5" fillId="0" borderId="403" xfId="0" applyFont="1" applyBorder="1" applyAlignment="1">
      <alignment horizontal="center" vertical="top" wrapText="1"/>
    </xf>
    <xf numFmtId="0" fontId="14" fillId="0" borderId="459" xfId="0" applyFont="1" applyBorder="1" applyAlignment="1">
      <alignment horizontal="center" vertical="top" wrapText="1"/>
    </xf>
    <xf numFmtId="14" fontId="5" fillId="0" borderId="459" xfId="0" applyNumberFormat="1" applyFont="1" applyBorder="1" applyAlignment="1">
      <alignment horizontal="center" vertical="top" wrapText="1"/>
    </xf>
    <xf numFmtId="0" fontId="5" fillId="0" borderId="459" xfId="0" applyFont="1" applyBorder="1" applyAlignment="1">
      <alignment horizontal="center" vertical="top" wrapText="1"/>
    </xf>
    <xf numFmtId="165" fontId="5" fillId="0" borderId="459" xfId="0" applyNumberFormat="1" applyFont="1" applyBorder="1" applyAlignment="1">
      <alignment horizontal="center" vertical="top" wrapText="1"/>
    </xf>
    <xf numFmtId="182" fontId="5" fillId="0" borderId="459" xfId="1" applyNumberFormat="1" applyFont="1" applyFill="1" applyBorder="1" applyAlignment="1" applyProtection="1">
      <alignment horizontal="center" vertical="top" wrapText="1"/>
    </xf>
    <xf numFmtId="0" fontId="5" fillId="0" borderId="458" xfId="0" applyFont="1" applyBorder="1" applyAlignment="1">
      <alignment vertical="top" wrapText="1"/>
    </xf>
    <xf numFmtId="0" fontId="5" fillId="0" borderId="459" xfId="0" applyFont="1" applyBorder="1" applyAlignment="1">
      <alignment vertical="top" wrapText="1"/>
    </xf>
    <xf numFmtId="14" fontId="5" fillId="0" borderId="458" xfId="0" applyNumberFormat="1" applyFont="1" applyBorder="1" applyAlignment="1">
      <alignment horizontal="center" vertical="top" wrapText="1"/>
    </xf>
    <xf numFmtId="0" fontId="33" fillId="0" borderId="458" xfId="0" applyFont="1" applyBorder="1" applyAlignment="1">
      <alignment vertical="top" wrapText="1"/>
    </xf>
    <xf numFmtId="4" fontId="32" fillId="0" borderId="459" xfId="0" applyNumberFormat="1" applyFont="1" applyBorder="1" applyAlignment="1">
      <alignment vertical="top" wrapText="1"/>
    </xf>
    <xf numFmtId="4" fontId="33" fillId="0" borderId="458" xfId="0" applyNumberFormat="1" applyFont="1" applyBorder="1" applyAlignment="1">
      <alignment vertical="top" wrapText="1"/>
    </xf>
    <xf numFmtId="4" fontId="32" fillId="0" borderId="460" xfId="0" applyNumberFormat="1" applyFont="1" applyBorder="1" applyAlignment="1">
      <alignment vertical="top" wrapText="1"/>
    </xf>
    <xf numFmtId="4" fontId="28" fillId="0" borderId="458" xfId="0" applyNumberFormat="1" applyFont="1" applyBorder="1" applyAlignment="1">
      <alignment vertical="top" wrapText="1"/>
    </xf>
    <xf numFmtId="173" fontId="28" fillId="0" borderId="459" xfId="0" applyNumberFormat="1" applyFont="1" applyBorder="1" applyAlignment="1">
      <alignment horizontal="center" vertical="top" wrapText="1"/>
    </xf>
    <xf numFmtId="0" fontId="28" fillId="0" borderId="459" xfId="0" applyFont="1" applyBorder="1" applyAlignment="1">
      <alignment horizontal="center" vertical="top" wrapText="1"/>
    </xf>
    <xf numFmtId="40" fontId="33" fillId="0" borderId="459" xfId="0" applyNumberFormat="1" applyFont="1" applyBorder="1" applyAlignment="1">
      <alignment vertical="top" wrapText="1"/>
    </xf>
    <xf numFmtId="40" fontId="28" fillId="0" borderId="460" xfId="0" applyNumberFormat="1" applyFont="1" applyBorder="1" applyAlignment="1">
      <alignment vertical="top" wrapText="1"/>
    </xf>
    <xf numFmtId="0" fontId="5" fillId="20" borderId="459" xfId="0" applyFont="1" applyFill="1" applyBorder="1" applyAlignment="1">
      <alignment vertical="top" wrapText="1"/>
    </xf>
    <xf numFmtId="0" fontId="33" fillId="15" borderId="461" xfId="0" applyFont="1" applyFill="1" applyBorder="1" applyAlignment="1">
      <alignment horizontal="center" vertical="center" wrapText="1"/>
    </xf>
    <xf numFmtId="0" fontId="14" fillId="15" borderId="462" xfId="0" applyFont="1" applyFill="1" applyBorder="1" applyAlignment="1">
      <alignment horizontal="center" vertical="top" wrapText="1"/>
    </xf>
    <xf numFmtId="14" fontId="5" fillId="15" borderId="462" xfId="0" applyNumberFormat="1" applyFont="1" applyFill="1" applyBorder="1" applyAlignment="1">
      <alignment horizontal="center" vertical="top" wrapText="1"/>
    </xf>
    <xf numFmtId="0" fontId="5" fillId="15" borderId="462" xfId="0" applyFont="1" applyFill="1" applyBorder="1" applyAlignment="1">
      <alignment horizontal="center" vertical="top" wrapText="1"/>
    </xf>
    <xf numFmtId="0" fontId="5" fillId="15" borderId="461" xfId="0" applyFont="1" applyFill="1" applyBorder="1" applyAlignment="1">
      <alignment vertical="top" wrapText="1"/>
    </xf>
    <xf numFmtId="0" fontId="5" fillId="15" borderId="462" xfId="0" applyFont="1" applyFill="1" applyBorder="1" applyAlignment="1">
      <alignment vertical="top" wrapText="1"/>
    </xf>
    <xf numFmtId="14" fontId="5" fillId="15" borderId="461" xfId="0" applyNumberFormat="1" applyFont="1" applyFill="1" applyBorder="1" applyAlignment="1">
      <alignment horizontal="center" vertical="top" wrapText="1"/>
    </xf>
    <xf numFmtId="0" fontId="5" fillId="20" borderId="462" xfId="0" applyFont="1" applyFill="1" applyBorder="1" applyAlignment="1">
      <alignment vertical="top" wrapText="1"/>
    </xf>
    <xf numFmtId="0" fontId="33" fillId="15" borderId="461" xfId="0" applyFont="1" applyFill="1" applyBorder="1" applyAlignment="1">
      <alignment vertical="top" wrapText="1"/>
    </xf>
    <xf numFmtId="4" fontId="32" fillId="15" borderId="462" xfId="0" applyNumberFormat="1" applyFont="1" applyFill="1" applyBorder="1" applyAlignment="1">
      <alignment vertical="top" wrapText="1"/>
    </xf>
    <xf numFmtId="4" fontId="33" fillId="15" borderId="461" xfId="0" applyNumberFormat="1" applyFont="1" applyFill="1" applyBorder="1" applyAlignment="1">
      <alignment vertical="top" wrapText="1"/>
    </xf>
    <xf numFmtId="4" fontId="32" fillId="15" borderId="463" xfId="0" applyNumberFormat="1" applyFont="1" applyFill="1" applyBorder="1" applyAlignment="1">
      <alignment vertical="top" wrapText="1"/>
    </xf>
    <xf numFmtId="4" fontId="28" fillId="15" borderId="461" xfId="0" applyNumberFormat="1" applyFont="1" applyFill="1" applyBorder="1" applyAlignment="1">
      <alignment vertical="top" wrapText="1"/>
    </xf>
    <xf numFmtId="173" fontId="28" fillId="15" borderId="462" xfId="0" applyNumberFormat="1" applyFont="1" applyFill="1" applyBorder="1" applyAlignment="1">
      <alignment horizontal="center" vertical="top" wrapText="1"/>
    </xf>
    <xf numFmtId="0" fontId="28" fillId="15" borderId="462" xfId="0" applyFont="1" applyFill="1" applyBorder="1" applyAlignment="1">
      <alignment horizontal="center" vertical="top" wrapText="1"/>
    </xf>
    <xf numFmtId="40" fontId="33" fillId="15" borderId="462" xfId="0" applyNumberFormat="1" applyFont="1" applyFill="1" applyBorder="1" applyAlignment="1">
      <alignment vertical="top" wrapText="1"/>
    </xf>
    <xf numFmtId="40" fontId="28" fillId="15" borderId="463" xfId="0" applyNumberFormat="1" applyFont="1" applyFill="1" applyBorder="1" applyAlignment="1">
      <alignment vertical="top" wrapText="1"/>
    </xf>
    <xf numFmtId="0" fontId="14" fillId="7" borderId="54" xfId="0" applyFont="1" applyFill="1" applyBorder="1" applyAlignment="1">
      <alignment horizontal="left" vertical="top"/>
    </xf>
    <xf numFmtId="0" fontId="7" fillId="0" borderId="55" xfId="0" applyFont="1" applyBorder="1" applyAlignment="1">
      <alignment vertical="top"/>
    </xf>
    <xf numFmtId="44" fontId="26" fillId="0" borderId="55" xfId="0" applyNumberFormat="1" applyFont="1" applyBorder="1" applyAlignment="1">
      <alignment vertical="top"/>
    </xf>
    <xf numFmtId="0" fontId="23" fillId="0" borderId="55" xfId="0" applyFont="1" applyBorder="1" applyAlignment="1">
      <alignment vertical="top"/>
    </xf>
    <xf numFmtId="0" fontId="33" fillId="0" borderId="464" xfId="0" applyFont="1" applyBorder="1" applyAlignment="1">
      <alignment horizontal="center" vertical="center" wrapText="1"/>
    </xf>
    <xf numFmtId="0" fontId="14" fillId="0" borderId="465" xfId="0" applyFont="1" applyBorder="1" applyAlignment="1">
      <alignment horizontal="center" vertical="top" wrapText="1"/>
    </xf>
    <xf numFmtId="14" fontId="5" fillId="0" borderId="465" xfId="0" applyNumberFormat="1" applyFont="1" applyBorder="1" applyAlignment="1">
      <alignment horizontal="center" vertical="top" wrapText="1"/>
    </xf>
    <xf numFmtId="165" fontId="5" fillId="0" borderId="465" xfId="0" applyNumberFormat="1" applyFont="1" applyBorder="1" applyAlignment="1">
      <alignment horizontal="center" vertical="top" wrapText="1"/>
    </xf>
    <xf numFmtId="182" fontId="32" fillId="0" borderId="465" xfId="1" applyNumberFormat="1" applyFont="1" applyFill="1" applyBorder="1" applyAlignment="1" applyProtection="1">
      <alignment horizontal="center" vertical="top" wrapText="1"/>
    </xf>
    <xf numFmtId="0" fontId="5" fillId="0" borderId="464" xfId="0" applyFont="1" applyBorder="1" applyAlignment="1">
      <alignment vertical="top" wrapText="1"/>
    </xf>
    <xf numFmtId="0" fontId="5" fillId="0" borderId="465" xfId="0" applyFont="1" applyBorder="1" applyAlignment="1">
      <alignment vertical="top" wrapText="1"/>
    </xf>
    <xf numFmtId="14" fontId="5" fillId="0" borderId="464" xfId="0" applyNumberFormat="1" applyFont="1" applyBorder="1" applyAlignment="1">
      <alignment horizontal="center" vertical="top" wrapText="1"/>
    </xf>
    <xf numFmtId="0" fontId="33" fillId="0" borderId="464" xfId="0" applyFont="1" applyBorder="1" applyAlignment="1">
      <alignment vertical="top" wrapText="1"/>
    </xf>
    <xf numFmtId="4" fontId="32" fillId="0" borderId="465" xfId="0" applyNumberFormat="1" applyFont="1" applyBorder="1" applyAlignment="1">
      <alignment vertical="top" wrapText="1"/>
    </xf>
    <xf numFmtId="4" fontId="33" fillId="0" borderId="464" xfId="0" applyNumberFormat="1" applyFont="1" applyBorder="1" applyAlignment="1">
      <alignment vertical="top" wrapText="1"/>
    </xf>
    <xf numFmtId="4" fontId="32" fillId="0" borderId="466" xfId="0" applyNumberFormat="1" applyFont="1" applyBorder="1" applyAlignment="1">
      <alignment vertical="top" wrapText="1"/>
    </xf>
    <xf numFmtId="4" fontId="28" fillId="0" borderId="464" xfId="0" applyNumberFormat="1" applyFont="1" applyBorder="1" applyAlignment="1">
      <alignment vertical="top" wrapText="1"/>
    </xf>
    <xf numFmtId="173" fontId="28" fillId="0" borderId="465" xfId="0" applyNumberFormat="1" applyFont="1" applyBorder="1" applyAlignment="1">
      <alignment horizontal="center" vertical="top" wrapText="1"/>
    </xf>
    <xf numFmtId="0" fontId="28" fillId="0" borderId="465" xfId="0" applyFont="1" applyBorder="1" applyAlignment="1">
      <alignment horizontal="center" vertical="top" wrapText="1"/>
    </xf>
    <xf numFmtId="165" fontId="29" fillId="0" borderId="465" xfId="0" applyNumberFormat="1" applyFont="1" applyBorder="1" applyAlignment="1">
      <alignment horizontal="center" vertical="top" wrapText="1"/>
    </xf>
    <xf numFmtId="182" fontId="29" fillId="0" borderId="464" xfId="1" applyNumberFormat="1" applyFont="1" applyFill="1" applyBorder="1" applyAlignment="1" applyProtection="1">
      <alignment horizontal="center" vertical="top" wrapText="1"/>
    </xf>
    <xf numFmtId="40" fontId="33" fillId="0" borderId="465" xfId="0" applyNumberFormat="1" applyFont="1" applyBorder="1" applyAlignment="1">
      <alignment vertical="top" wrapText="1"/>
    </xf>
    <xf numFmtId="40" fontId="28" fillId="0" borderId="466" xfId="0" applyNumberFormat="1" applyFont="1" applyBorder="1" applyAlignment="1">
      <alignment vertical="top" wrapText="1"/>
    </xf>
    <xf numFmtId="0" fontId="14" fillId="15" borderId="119" xfId="0" applyFont="1" applyFill="1" applyBorder="1" applyAlignment="1">
      <alignment horizontal="center" vertical="top" wrapText="1"/>
    </xf>
    <xf numFmtId="0" fontId="14" fillId="15" borderId="132" xfId="0" applyFont="1" applyFill="1" applyBorder="1" applyAlignment="1">
      <alignment horizontal="center" vertical="top" wrapText="1"/>
    </xf>
    <xf numFmtId="14" fontId="5" fillId="15" borderId="132" xfId="0" applyNumberFormat="1" applyFont="1" applyFill="1" applyBorder="1" applyAlignment="1">
      <alignment horizontal="center" vertical="top" wrapText="1"/>
    </xf>
    <xf numFmtId="0" fontId="5" fillId="15" borderId="131" xfId="0" applyFont="1" applyFill="1" applyBorder="1" applyAlignment="1">
      <alignment vertical="top" wrapText="1"/>
    </xf>
    <xf numFmtId="14" fontId="5" fillId="15" borderId="131" xfId="0" applyNumberFormat="1" applyFont="1" applyFill="1" applyBorder="1" applyAlignment="1">
      <alignment horizontal="center" vertical="top" wrapText="1"/>
    </xf>
    <xf numFmtId="0" fontId="33" fillId="15" borderId="119" xfId="0" applyFont="1" applyFill="1" applyBorder="1" applyAlignment="1">
      <alignment vertical="top" wrapText="1"/>
    </xf>
    <xf numFmtId="0" fontId="33" fillId="15" borderId="131" xfId="0" applyFont="1" applyFill="1" applyBorder="1" applyAlignment="1">
      <alignment vertical="top" wrapText="1"/>
    </xf>
    <xf numFmtId="4" fontId="5" fillId="15" borderId="119" xfId="0" applyNumberFormat="1" applyFont="1" applyFill="1" applyBorder="1" applyAlignment="1">
      <alignment vertical="top" wrapText="1"/>
    </xf>
    <xf numFmtId="4" fontId="32" fillId="15" borderId="132" xfId="0" applyNumberFormat="1" applyFont="1" applyFill="1" applyBorder="1" applyAlignment="1">
      <alignment vertical="top" wrapText="1"/>
    </xf>
    <xf numFmtId="4" fontId="33" fillId="15" borderId="131" xfId="0" applyNumberFormat="1" applyFont="1" applyFill="1" applyBorder="1" applyAlignment="1">
      <alignment vertical="top" wrapText="1"/>
    </xf>
    <xf numFmtId="4" fontId="14" fillId="15" borderId="119" xfId="0" applyNumberFormat="1" applyFont="1" applyFill="1" applyBorder="1" applyAlignment="1">
      <alignment vertical="top" wrapText="1"/>
    </xf>
    <xf numFmtId="0" fontId="28" fillId="15" borderId="119" xfId="0" applyFont="1" applyFill="1" applyBorder="1" applyAlignment="1">
      <alignment horizontal="center" vertical="top" wrapText="1"/>
    </xf>
    <xf numFmtId="173" fontId="28" fillId="15" borderId="132" xfId="0" applyNumberFormat="1" applyFont="1" applyFill="1" applyBorder="1" applyAlignment="1">
      <alignment horizontal="center" vertical="top" wrapText="1"/>
    </xf>
    <xf numFmtId="0" fontId="28" fillId="15" borderId="132" xfId="0" applyFont="1" applyFill="1" applyBorder="1" applyAlignment="1">
      <alignment horizontal="center" vertical="top" wrapText="1"/>
    </xf>
    <xf numFmtId="166" fontId="7" fillId="28" borderId="89" xfId="5" applyNumberFormat="1" applyFont="1" applyFill="1" applyBorder="1" applyAlignment="1">
      <alignment horizontal="center" vertical="top" wrapText="1"/>
    </xf>
    <xf numFmtId="49" fontId="6" fillId="28" borderId="74" xfId="5" applyNumberFormat="1" applyFont="1" applyFill="1" applyBorder="1" applyAlignment="1">
      <alignment horizontal="left" vertical="top" wrapText="1"/>
    </xf>
    <xf numFmtId="40" fontId="33" fillId="28" borderId="63" xfId="0" applyNumberFormat="1" applyFont="1" applyFill="1" applyBorder="1" applyAlignment="1">
      <alignment vertical="top" wrapText="1"/>
    </xf>
    <xf numFmtId="40" fontId="33" fillId="28" borderId="23" xfId="0" applyNumberFormat="1" applyFont="1" applyFill="1" applyBorder="1" applyAlignment="1">
      <alignment vertical="top" wrapText="1"/>
    </xf>
    <xf numFmtId="0" fontId="5" fillId="20" borderId="132" xfId="0" applyFont="1" applyFill="1" applyBorder="1" applyAlignment="1">
      <alignment vertical="top" wrapText="1"/>
    </xf>
    <xf numFmtId="166" fontId="7" fillId="10" borderId="57" xfId="0" applyNumberFormat="1" applyFont="1" applyFill="1" applyBorder="1" applyAlignment="1">
      <alignment horizontal="center" vertical="top" wrapText="1"/>
    </xf>
    <xf numFmtId="0" fontId="33" fillId="15" borderId="467" xfId="0" applyFont="1" applyFill="1" applyBorder="1" applyAlignment="1">
      <alignment horizontal="center" vertical="center" wrapText="1"/>
    </xf>
    <xf numFmtId="0" fontId="14" fillId="15" borderId="468" xfId="0" applyFont="1" applyFill="1" applyBorder="1" applyAlignment="1">
      <alignment horizontal="center" vertical="top" wrapText="1"/>
    </xf>
    <xf numFmtId="14" fontId="5" fillId="15" borderId="468" xfId="0" applyNumberFormat="1" applyFont="1" applyFill="1" applyBorder="1" applyAlignment="1">
      <alignment horizontal="center" vertical="top" wrapText="1"/>
    </xf>
    <xf numFmtId="0" fontId="5" fillId="15" borderId="468" xfId="0" applyFont="1" applyFill="1" applyBorder="1" applyAlignment="1">
      <alignment horizontal="center" vertical="top" wrapText="1"/>
    </xf>
    <xf numFmtId="0" fontId="5" fillId="15" borderId="467" xfId="0" applyFont="1" applyFill="1" applyBorder="1" applyAlignment="1">
      <alignment vertical="top" wrapText="1"/>
    </xf>
    <xf numFmtId="0" fontId="5" fillId="15" borderId="468" xfId="0" applyFont="1" applyFill="1" applyBorder="1" applyAlignment="1">
      <alignment vertical="top" wrapText="1"/>
    </xf>
    <xf numFmtId="14" fontId="5" fillId="15" borderId="467" xfId="0" applyNumberFormat="1" applyFont="1" applyFill="1" applyBorder="1" applyAlignment="1">
      <alignment horizontal="center" vertical="top" wrapText="1"/>
    </xf>
    <xf numFmtId="0" fontId="5" fillId="20" borderId="468" xfId="0" applyFont="1" applyFill="1" applyBorder="1" applyAlignment="1">
      <alignment vertical="top" wrapText="1"/>
    </xf>
    <xf numFmtId="0" fontId="33" fillId="15" borderId="467" xfId="0" applyFont="1" applyFill="1" applyBorder="1" applyAlignment="1">
      <alignment vertical="top" wrapText="1"/>
    </xf>
    <xf numFmtId="4" fontId="32" fillId="15" borderId="468" xfId="0" applyNumberFormat="1" applyFont="1" applyFill="1" applyBorder="1" applyAlignment="1">
      <alignment vertical="top" wrapText="1"/>
    </xf>
    <xf numFmtId="4" fontId="33" fillId="15" borderId="467" xfId="0" applyNumberFormat="1" applyFont="1" applyFill="1" applyBorder="1" applyAlignment="1">
      <alignment vertical="top" wrapText="1"/>
    </xf>
    <xf numFmtId="4" fontId="32" fillId="15" borderId="469" xfId="0" applyNumberFormat="1" applyFont="1" applyFill="1" applyBorder="1" applyAlignment="1">
      <alignment vertical="top" wrapText="1"/>
    </xf>
    <xf numFmtId="4" fontId="28" fillId="15" borderId="467" xfId="0" applyNumberFormat="1" applyFont="1" applyFill="1" applyBorder="1" applyAlignment="1">
      <alignment vertical="top" wrapText="1"/>
    </xf>
    <xf numFmtId="173" fontId="28" fillId="15" borderId="468" xfId="0" applyNumberFormat="1" applyFont="1" applyFill="1" applyBorder="1" applyAlignment="1">
      <alignment horizontal="center" vertical="top" wrapText="1"/>
    </xf>
    <xf numFmtId="0" fontId="28" fillId="15" borderId="468" xfId="0" applyFont="1" applyFill="1" applyBorder="1" applyAlignment="1">
      <alignment horizontal="center" vertical="top" wrapText="1"/>
    </xf>
    <xf numFmtId="40" fontId="33" fillId="15" borderId="468" xfId="0" applyNumberFormat="1" applyFont="1" applyFill="1" applyBorder="1" applyAlignment="1">
      <alignment vertical="top" wrapText="1"/>
    </xf>
    <xf numFmtId="40" fontId="28" fillId="15" borderId="469" xfId="0" applyNumberFormat="1" applyFont="1" applyFill="1" applyBorder="1" applyAlignment="1">
      <alignment vertical="top" wrapText="1"/>
    </xf>
    <xf numFmtId="0" fontId="33" fillId="0" borderId="244" xfId="0" applyFont="1" applyBorder="1" applyAlignment="1">
      <alignment horizontal="center" vertical="center" wrapText="1"/>
    </xf>
    <xf numFmtId="0" fontId="14" fillId="0" borderId="245" xfId="0" applyFont="1" applyBorder="1" applyAlignment="1">
      <alignment horizontal="center" vertical="top" wrapText="1"/>
    </xf>
    <xf numFmtId="0" fontId="14" fillId="0" borderId="246" xfId="0" applyFont="1" applyBorder="1" applyAlignment="1">
      <alignment horizontal="center" vertical="top" wrapText="1"/>
    </xf>
    <xf numFmtId="14" fontId="5" fillId="0" borderId="246" xfId="0" applyNumberFormat="1" applyFont="1" applyBorder="1" applyAlignment="1">
      <alignment horizontal="center" vertical="top" wrapText="1"/>
    </xf>
    <xf numFmtId="165" fontId="5" fillId="0" borderId="246" xfId="0" applyNumberFormat="1" applyFont="1" applyBorder="1" applyAlignment="1">
      <alignment horizontal="center" vertical="top" wrapText="1"/>
    </xf>
    <xf numFmtId="182" fontId="5" fillId="0" borderId="246" xfId="1" applyNumberFormat="1" applyFont="1" applyFill="1" applyBorder="1" applyAlignment="1" applyProtection="1">
      <alignment horizontal="center" vertical="top" wrapText="1"/>
    </xf>
    <xf numFmtId="0" fontId="5" fillId="0" borderId="244" xfId="0" applyFont="1" applyBorder="1" applyAlignment="1">
      <alignment vertical="top" wrapText="1"/>
    </xf>
    <xf numFmtId="0" fontId="5" fillId="0" borderId="245" xfId="0" applyFont="1" applyBorder="1" applyAlignment="1">
      <alignment vertical="top" wrapText="1"/>
    </xf>
    <xf numFmtId="0" fontId="5" fillId="0" borderId="246" xfId="0" applyFont="1" applyBorder="1" applyAlignment="1">
      <alignment vertical="top" wrapText="1"/>
    </xf>
    <xf numFmtId="14" fontId="5" fillId="0" borderId="244" xfId="0" applyNumberFormat="1" applyFont="1" applyBorder="1" applyAlignment="1">
      <alignment horizontal="center" vertical="top" wrapText="1"/>
    </xf>
    <xf numFmtId="0" fontId="33" fillId="0" borderId="245" xfId="0" applyFont="1" applyBorder="1" applyAlignment="1">
      <alignment vertical="top" wrapText="1"/>
    </xf>
    <xf numFmtId="0" fontId="33" fillId="0" borderId="244" xfId="0" applyFont="1" applyBorder="1" applyAlignment="1">
      <alignment vertical="top" wrapText="1"/>
    </xf>
    <xf numFmtId="4" fontId="5" fillId="0" borderId="245" xfId="0" applyNumberFormat="1" applyFont="1" applyBorder="1" applyAlignment="1">
      <alignment vertical="top" wrapText="1"/>
    </xf>
    <xf numFmtId="4" fontId="32" fillId="0" borderId="246" xfId="0" applyNumberFormat="1" applyFont="1" applyBorder="1" applyAlignment="1">
      <alignment vertical="top" wrapText="1"/>
    </xf>
    <xf numFmtId="4" fontId="33" fillId="0" borderId="244" xfId="0" applyNumberFormat="1" applyFont="1" applyBorder="1" applyAlignment="1">
      <alignment vertical="top" wrapText="1"/>
    </xf>
    <xf numFmtId="4" fontId="14" fillId="0" borderId="245" xfId="0" applyNumberFormat="1" applyFont="1" applyBorder="1" applyAlignment="1">
      <alignment vertical="top" wrapText="1"/>
    </xf>
    <xf numFmtId="165" fontId="28" fillId="0" borderId="246" xfId="0" applyNumberFormat="1" applyFont="1" applyBorder="1" applyAlignment="1">
      <alignment horizontal="center" vertical="top" wrapText="1"/>
    </xf>
    <xf numFmtId="182" fontId="28" fillId="0" borderId="244" xfId="1" applyNumberFormat="1" applyFont="1" applyFill="1" applyBorder="1" applyAlignment="1" applyProtection="1">
      <alignment horizontal="center" vertical="top" wrapText="1"/>
    </xf>
    <xf numFmtId="40" fontId="33" fillId="0" borderId="245" xfId="0" applyNumberFormat="1" applyFont="1" applyBorder="1" applyAlignment="1">
      <alignment vertical="top" wrapText="1"/>
    </xf>
    <xf numFmtId="40" fontId="33" fillId="0" borderId="246" xfId="0" applyNumberFormat="1" applyFont="1" applyBorder="1" applyAlignment="1">
      <alignment vertical="top" wrapText="1"/>
    </xf>
    <xf numFmtId="40" fontId="28" fillId="0" borderId="247" xfId="0" applyNumberFormat="1" applyFont="1" applyBorder="1" applyAlignment="1">
      <alignment vertical="top" wrapText="1"/>
    </xf>
    <xf numFmtId="0" fontId="28" fillId="0" borderId="246" xfId="0" applyFont="1" applyBorder="1" applyAlignment="1">
      <alignment horizontal="center" vertical="top" wrapText="1"/>
    </xf>
    <xf numFmtId="0" fontId="5" fillId="14" borderId="132" xfId="0" applyFont="1" applyFill="1" applyBorder="1" applyAlignment="1">
      <alignment vertical="top" wrapText="1"/>
    </xf>
    <xf numFmtId="0" fontId="33" fillId="0" borderId="470" xfId="0" applyFont="1" applyBorder="1" applyAlignment="1">
      <alignment horizontal="center" vertical="center" wrapText="1"/>
    </xf>
    <xf numFmtId="0" fontId="14" fillId="0" borderId="471" xfId="0" applyFont="1" applyBorder="1" applyAlignment="1">
      <alignment horizontal="center" vertical="top" wrapText="1"/>
    </xf>
    <xf numFmtId="14" fontId="5" fillId="0" borderId="471" xfId="0" applyNumberFormat="1" applyFont="1" applyBorder="1" applyAlignment="1">
      <alignment horizontal="center" vertical="top" wrapText="1"/>
    </xf>
    <xf numFmtId="0" fontId="5" fillId="0" borderId="471" xfId="0" applyFont="1" applyBorder="1" applyAlignment="1">
      <alignment horizontal="center" vertical="top" wrapText="1"/>
    </xf>
    <xf numFmtId="0" fontId="5" fillId="0" borderId="470" xfId="0" applyFont="1" applyBorder="1" applyAlignment="1">
      <alignment vertical="top" wrapText="1"/>
    </xf>
    <xf numFmtId="0" fontId="5" fillId="0" borderId="471" xfId="0" applyFont="1" applyBorder="1" applyAlignment="1">
      <alignment vertical="top" wrapText="1"/>
    </xf>
    <xf numFmtId="14" fontId="5" fillId="0" borderId="470" xfId="0" applyNumberFormat="1" applyFont="1" applyBorder="1" applyAlignment="1">
      <alignment horizontal="center" vertical="top" wrapText="1"/>
    </xf>
    <xf numFmtId="0" fontId="33" fillId="0" borderId="470" xfId="0" applyFont="1" applyBorder="1" applyAlignment="1">
      <alignment vertical="top" wrapText="1"/>
    </xf>
    <xf numFmtId="4" fontId="32" fillId="0" borderId="471" xfId="0" applyNumberFormat="1" applyFont="1" applyBorder="1" applyAlignment="1">
      <alignment vertical="top" wrapText="1"/>
    </xf>
    <xf numFmtId="4" fontId="33" fillId="0" borderId="470" xfId="0" applyNumberFormat="1" applyFont="1" applyBorder="1" applyAlignment="1">
      <alignment vertical="top" wrapText="1"/>
    </xf>
    <xf numFmtId="4" fontId="32" fillId="0" borderId="472" xfId="0" applyNumberFormat="1" applyFont="1" applyBorder="1" applyAlignment="1">
      <alignment vertical="top" wrapText="1"/>
    </xf>
    <xf numFmtId="4" fontId="28" fillId="0" borderId="470" xfId="0" applyNumberFormat="1" applyFont="1" applyBorder="1" applyAlignment="1">
      <alignment vertical="top" wrapText="1"/>
    </xf>
    <xf numFmtId="173" fontId="28" fillId="0" borderId="471" xfId="0" applyNumberFormat="1" applyFont="1" applyBorder="1" applyAlignment="1">
      <alignment horizontal="center" vertical="top" wrapText="1"/>
    </xf>
    <xf numFmtId="0" fontId="28" fillId="0" borderId="471" xfId="0" applyFont="1" applyBorder="1" applyAlignment="1">
      <alignment horizontal="center" vertical="top" wrapText="1"/>
    </xf>
    <xf numFmtId="40" fontId="33" fillId="0" borderId="471" xfId="0" applyNumberFormat="1" applyFont="1" applyBorder="1" applyAlignment="1">
      <alignment vertical="top" wrapText="1"/>
    </xf>
    <xf numFmtId="40" fontId="28" fillId="0" borderId="472" xfId="0" applyNumberFormat="1" applyFont="1" applyBorder="1" applyAlignment="1">
      <alignment vertical="top" wrapText="1"/>
    </xf>
    <xf numFmtId="0" fontId="32" fillId="14" borderId="63" xfId="0" applyFont="1" applyFill="1" applyBorder="1" applyAlignment="1">
      <alignment vertical="top" wrapText="1"/>
    </xf>
    <xf numFmtId="0" fontId="32" fillId="15" borderId="473" xfId="0" applyFont="1" applyFill="1" applyBorder="1" applyAlignment="1">
      <alignment horizontal="center" vertical="center" wrapText="1"/>
    </xf>
    <xf numFmtId="0" fontId="28" fillId="15" borderId="474" xfId="0" applyFont="1" applyFill="1" applyBorder="1" applyAlignment="1">
      <alignment horizontal="center" vertical="top" wrapText="1"/>
    </xf>
    <xf numFmtId="14" fontId="5" fillId="15" borderId="474" xfId="0" applyNumberFormat="1" applyFont="1" applyFill="1" applyBorder="1" applyAlignment="1">
      <alignment horizontal="center" vertical="top" wrapText="1"/>
    </xf>
    <xf numFmtId="165" fontId="5" fillId="15" borderId="474" xfId="0" applyNumberFormat="1" applyFont="1" applyFill="1" applyBorder="1" applyAlignment="1">
      <alignment horizontal="center" vertical="top" wrapText="1"/>
    </xf>
    <xf numFmtId="182" fontId="5" fillId="15" borderId="474" xfId="1" applyNumberFormat="1" applyFont="1" applyFill="1" applyBorder="1" applyAlignment="1" applyProtection="1">
      <alignment horizontal="center" vertical="top" wrapText="1"/>
    </xf>
    <xf numFmtId="0" fontId="5" fillId="15" borderId="473" xfId="0" applyFont="1" applyFill="1" applyBorder="1" applyAlignment="1">
      <alignment vertical="top" wrapText="1"/>
    </xf>
    <xf numFmtId="0" fontId="5" fillId="15" borderId="474" xfId="0" applyFont="1" applyFill="1" applyBorder="1" applyAlignment="1">
      <alignment vertical="top" wrapText="1"/>
    </xf>
    <xf numFmtId="14" fontId="5" fillId="15" borderId="473" xfId="0" applyNumberFormat="1" applyFont="1" applyFill="1" applyBorder="1" applyAlignment="1">
      <alignment horizontal="center" vertical="top" wrapText="1"/>
    </xf>
    <xf numFmtId="0" fontId="33" fillId="15" borderId="473" xfId="0" applyFont="1" applyFill="1" applyBorder="1" applyAlignment="1">
      <alignment vertical="top" wrapText="1"/>
    </xf>
    <xf numFmtId="4" fontId="32" fillId="15" borderId="474" xfId="0" applyNumberFormat="1" applyFont="1" applyFill="1" applyBorder="1" applyAlignment="1">
      <alignment vertical="top" wrapText="1"/>
    </xf>
    <xf numFmtId="4" fontId="33" fillId="15" borderId="473" xfId="0" applyNumberFormat="1" applyFont="1" applyFill="1" applyBorder="1" applyAlignment="1">
      <alignment vertical="top" wrapText="1"/>
    </xf>
    <xf numFmtId="4" fontId="32" fillId="15" borderId="475" xfId="0" applyNumberFormat="1" applyFont="1" applyFill="1" applyBorder="1" applyAlignment="1">
      <alignment vertical="top" wrapText="1"/>
    </xf>
    <xf numFmtId="4" fontId="28" fillId="15" borderId="473" xfId="0" applyNumberFormat="1" applyFont="1" applyFill="1" applyBorder="1" applyAlignment="1">
      <alignment vertical="top" wrapText="1"/>
    </xf>
    <xf numFmtId="173" fontId="28" fillId="15" borderId="474" xfId="0" applyNumberFormat="1" applyFont="1" applyFill="1" applyBorder="1" applyAlignment="1">
      <alignment horizontal="center" vertical="top" wrapText="1"/>
    </xf>
    <xf numFmtId="165" fontId="28" fillId="15" borderId="474" xfId="0" applyNumberFormat="1" applyFont="1" applyFill="1" applyBorder="1" applyAlignment="1">
      <alignment horizontal="center" vertical="top" wrapText="1"/>
    </xf>
    <xf numFmtId="182" fontId="28" fillId="15" borderId="473" xfId="1" applyNumberFormat="1" applyFont="1" applyFill="1" applyBorder="1" applyAlignment="1" applyProtection="1">
      <alignment horizontal="center" vertical="top" wrapText="1"/>
    </xf>
    <xf numFmtId="40" fontId="33" fillId="15" borderId="474" xfId="0" applyNumberFormat="1" applyFont="1" applyFill="1" applyBorder="1" applyAlignment="1">
      <alignment vertical="top" wrapText="1"/>
    </xf>
    <xf numFmtId="40" fontId="28" fillId="15" borderId="475" xfId="0" applyNumberFormat="1" applyFont="1" applyFill="1" applyBorder="1" applyAlignment="1">
      <alignment vertical="top" wrapText="1"/>
    </xf>
    <xf numFmtId="0" fontId="33" fillId="0" borderId="476" xfId="0" applyFont="1" applyBorder="1" applyAlignment="1">
      <alignment horizontal="center" vertical="center" wrapText="1"/>
    </xf>
    <xf numFmtId="0" fontId="14" fillId="0" borderId="477" xfId="0" applyFont="1" applyBorder="1" applyAlignment="1">
      <alignment horizontal="center" vertical="top" wrapText="1"/>
    </xf>
    <xf numFmtId="14" fontId="5" fillId="0" borderId="477" xfId="0" applyNumberFormat="1" applyFont="1" applyBorder="1" applyAlignment="1">
      <alignment horizontal="center" vertical="top" wrapText="1"/>
    </xf>
    <xf numFmtId="0" fontId="5" fillId="0" borderId="477" xfId="0" applyFont="1" applyBorder="1" applyAlignment="1">
      <alignment horizontal="center" vertical="top" wrapText="1"/>
    </xf>
    <xf numFmtId="0" fontId="5" fillId="0" borderId="476" xfId="0" applyFont="1" applyBorder="1" applyAlignment="1">
      <alignment vertical="top" wrapText="1"/>
    </xf>
    <xf numFmtId="0" fontId="5" fillId="0" borderId="477" xfId="0" applyFont="1" applyBorder="1" applyAlignment="1">
      <alignment vertical="top" wrapText="1"/>
    </xf>
    <xf numFmtId="14" fontId="5" fillId="0" borderId="476" xfId="0" applyNumberFormat="1" applyFont="1" applyBorder="1" applyAlignment="1">
      <alignment horizontal="center" vertical="top" wrapText="1"/>
    </xf>
    <xf numFmtId="0" fontId="5" fillId="20" borderId="477" xfId="0" applyFont="1" applyFill="1" applyBorder="1" applyAlignment="1">
      <alignment vertical="top" wrapText="1"/>
    </xf>
    <xf numFmtId="0" fontId="33" fillId="0" borderId="476" xfId="0" applyFont="1" applyBorder="1" applyAlignment="1">
      <alignment vertical="top" wrapText="1"/>
    </xf>
    <xf numFmtId="4" fontId="32" fillId="0" borderId="477" xfId="0" applyNumberFormat="1" applyFont="1" applyBorder="1" applyAlignment="1">
      <alignment vertical="top" wrapText="1"/>
    </xf>
    <xf numFmtId="4" fontId="33" fillId="0" borderId="476" xfId="0" applyNumberFormat="1" applyFont="1" applyBorder="1" applyAlignment="1">
      <alignment vertical="top" wrapText="1"/>
    </xf>
    <xf numFmtId="4" fontId="32" fillId="0" borderId="478" xfId="0" applyNumberFormat="1" applyFont="1" applyBorder="1" applyAlignment="1">
      <alignment vertical="top" wrapText="1"/>
    </xf>
    <xf numFmtId="4" fontId="28" fillId="0" borderId="476" xfId="0" applyNumberFormat="1" applyFont="1" applyBorder="1" applyAlignment="1">
      <alignment vertical="top" wrapText="1"/>
    </xf>
    <xf numFmtId="173" fontId="28" fillId="0" borderId="477" xfId="0" applyNumberFormat="1" applyFont="1" applyBorder="1" applyAlignment="1">
      <alignment horizontal="center" vertical="top" wrapText="1"/>
    </xf>
    <xf numFmtId="0" fontId="28" fillId="0" borderId="477" xfId="0" applyFont="1" applyBorder="1" applyAlignment="1">
      <alignment horizontal="center" vertical="top" wrapText="1"/>
    </xf>
    <xf numFmtId="40" fontId="33" fillId="0" borderId="477" xfId="0" applyNumberFormat="1" applyFont="1" applyBorder="1" applyAlignment="1">
      <alignment vertical="top" wrapText="1"/>
    </xf>
    <xf numFmtId="40" fontId="28" fillId="0" borderId="478" xfId="0" applyNumberFormat="1" applyFont="1" applyBorder="1" applyAlignment="1">
      <alignment vertical="top" wrapText="1"/>
    </xf>
    <xf numFmtId="0" fontId="14" fillId="15" borderId="415" xfId="0" applyFont="1" applyFill="1" applyBorder="1" applyAlignment="1">
      <alignment horizontal="center" vertical="top" wrapText="1"/>
    </xf>
    <xf numFmtId="0" fontId="14" fillId="15" borderId="416" xfId="0" applyFont="1" applyFill="1" applyBorder="1" applyAlignment="1">
      <alignment horizontal="center" vertical="top" wrapText="1"/>
    </xf>
    <xf numFmtId="14" fontId="5" fillId="15" borderId="416" xfId="0" applyNumberFormat="1" applyFont="1" applyFill="1" applyBorder="1" applyAlignment="1">
      <alignment horizontal="center" vertical="top" wrapText="1"/>
    </xf>
    <xf numFmtId="0" fontId="5" fillId="15" borderId="415" xfId="0" applyFont="1" applyFill="1" applyBorder="1" applyAlignment="1">
      <alignment vertical="top" wrapText="1"/>
    </xf>
    <xf numFmtId="0" fontId="5" fillId="15" borderId="416" xfId="0" applyFont="1" applyFill="1" applyBorder="1" applyAlignment="1">
      <alignment vertical="top" wrapText="1"/>
    </xf>
    <xf numFmtId="0" fontId="5" fillId="15" borderId="414" xfId="0" applyFont="1" applyFill="1" applyBorder="1" applyAlignment="1">
      <alignment vertical="top" wrapText="1"/>
    </xf>
    <xf numFmtId="0" fontId="33" fillId="15" borderId="415" xfId="0" applyFont="1" applyFill="1" applyBorder="1" applyAlignment="1">
      <alignment vertical="top" wrapText="1"/>
    </xf>
    <xf numFmtId="0" fontId="33" fillId="15" borderId="414" xfId="0" applyFont="1" applyFill="1" applyBorder="1" applyAlignment="1">
      <alignment vertical="top" wrapText="1"/>
    </xf>
    <xf numFmtId="4" fontId="5" fillId="15" borderId="415" xfId="0" applyNumberFormat="1" applyFont="1" applyFill="1" applyBorder="1" applyAlignment="1">
      <alignment vertical="top" wrapText="1"/>
    </xf>
    <xf numFmtId="4" fontId="32" fillId="15" borderId="416" xfId="0" applyNumberFormat="1" applyFont="1" applyFill="1" applyBorder="1" applyAlignment="1">
      <alignment vertical="top" wrapText="1"/>
    </xf>
    <xf numFmtId="4" fontId="33" fillId="15" borderId="414" xfId="0" applyNumberFormat="1" applyFont="1" applyFill="1" applyBorder="1" applyAlignment="1">
      <alignment vertical="top" wrapText="1"/>
    </xf>
    <xf numFmtId="4" fontId="14" fillId="15" borderId="415" xfId="0" applyNumberFormat="1" applyFont="1" applyFill="1" applyBorder="1" applyAlignment="1">
      <alignment vertical="top" wrapText="1"/>
    </xf>
    <xf numFmtId="0" fontId="28" fillId="15" borderId="415" xfId="0" applyFont="1" applyFill="1" applyBorder="1" applyAlignment="1">
      <alignment horizontal="center" vertical="top" wrapText="1"/>
    </xf>
    <xf numFmtId="173" fontId="28" fillId="15" borderId="426" xfId="0" applyNumberFormat="1" applyFont="1" applyFill="1" applyBorder="1" applyAlignment="1">
      <alignment horizontal="center" vertical="top" wrapText="1"/>
    </xf>
    <xf numFmtId="0" fontId="28" fillId="15" borderId="426" xfId="0" applyFont="1" applyFill="1" applyBorder="1" applyAlignment="1">
      <alignment horizontal="center" vertical="top" wrapText="1"/>
    </xf>
    <xf numFmtId="0" fontId="5" fillId="15" borderId="418" xfId="0" applyFont="1" applyFill="1" applyBorder="1" applyAlignment="1">
      <alignment vertical="top" wrapText="1"/>
    </xf>
    <xf numFmtId="0" fontId="33" fillId="15" borderId="479" xfId="0" applyFont="1" applyFill="1" applyBorder="1" applyAlignment="1">
      <alignment horizontal="center" vertical="center" wrapText="1"/>
    </xf>
    <xf numFmtId="0" fontId="14" fillId="15" borderId="480" xfId="0" applyFont="1" applyFill="1" applyBorder="1" applyAlignment="1">
      <alignment horizontal="center" vertical="top" wrapText="1"/>
    </xf>
    <xf numFmtId="14" fontId="5" fillId="15" borderId="480" xfId="0" applyNumberFormat="1" applyFont="1" applyFill="1" applyBorder="1" applyAlignment="1">
      <alignment horizontal="center" vertical="top" wrapText="1"/>
    </xf>
    <xf numFmtId="0" fontId="5" fillId="15" borderId="480" xfId="0" applyFont="1" applyFill="1" applyBorder="1" applyAlignment="1">
      <alignment horizontal="center" vertical="top" wrapText="1"/>
    </xf>
    <xf numFmtId="0" fontId="5" fillId="15" borderId="479" xfId="0" applyFont="1" applyFill="1" applyBorder="1" applyAlignment="1">
      <alignment vertical="top" wrapText="1"/>
    </xf>
    <xf numFmtId="0" fontId="5" fillId="15" borderId="480" xfId="0" applyFont="1" applyFill="1" applyBorder="1" applyAlignment="1">
      <alignment vertical="top" wrapText="1"/>
    </xf>
    <xf numFmtId="14" fontId="5" fillId="15" borderId="479" xfId="0" applyNumberFormat="1" applyFont="1" applyFill="1" applyBorder="1" applyAlignment="1">
      <alignment horizontal="center" vertical="top" wrapText="1"/>
    </xf>
    <xf numFmtId="0" fontId="33" fillId="15" borderId="479" xfId="0" applyFont="1" applyFill="1" applyBorder="1" applyAlignment="1">
      <alignment vertical="top" wrapText="1"/>
    </xf>
    <xf numFmtId="4" fontId="32" fillId="15" borderId="480" xfId="0" applyNumberFormat="1" applyFont="1" applyFill="1" applyBorder="1" applyAlignment="1">
      <alignment vertical="top" wrapText="1"/>
    </xf>
    <xf numFmtId="4" fontId="33" fillId="15" borderId="479" xfId="0" applyNumberFormat="1" applyFont="1" applyFill="1" applyBorder="1" applyAlignment="1">
      <alignment vertical="top" wrapText="1"/>
    </xf>
    <xf numFmtId="4" fontId="32" fillId="15" borderId="481" xfId="0" applyNumberFormat="1" applyFont="1" applyFill="1" applyBorder="1" applyAlignment="1">
      <alignment vertical="top" wrapText="1"/>
    </xf>
    <xf numFmtId="4" fontId="28" fillId="15" borderId="479" xfId="0" applyNumberFormat="1" applyFont="1" applyFill="1" applyBorder="1" applyAlignment="1">
      <alignment vertical="top" wrapText="1"/>
    </xf>
    <xf numFmtId="173" fontId="28" fillId="15" borderId="480" xfId="0" applyNumberFormat="1" applyFont="1" applyFill="1" applyBorder="1" applyAlignment="1">
      <alignment horizontal="center" vertical="top" wrapText="1"/>
    </xf>
    <xf numFmtId="0" fontId="28" fillId="15" borderId="480" xfId="0" applyFont="1" applyFill="1" applyBorder="1" applyAlignment="1">
      <alignment horizontal="center" vertical="top" wrapText="1"/>
    </xf>
    <xf numFmtId="40" fontId="33" fillId="15" borderId="480" xfId="0" applyNumberFormat="1" applyFont="1" applyFill="1" applyBorder="1" applyAlignment="1">
      <alignment vertical="top" wrapText="1"/>
    </xf>
    <xf numFmtId="40" fontId="28" fillId="15" borderId="481" xfId="0" applyNumberFormat="1" applyFont="1" applyFill="1" applyBorder="1" applyAlignment="1">
      <alignment vertical="top" wrapText="1"/>
    </xf>
    <xf numFmtId="0" fontId="5" fillId="0" borderId="1" xfId="0" applyFont="1" applyBorder="1" applyAlignment="1">
      <alignment vertical="top" wrapText="1"/>
    </xf>
    <xf numFmtId="0" fontId="5" fillId="14" borderId="199" xfId="0" applyFont="1" applyFill="1" applyBorder="1" applyAlignment="1">
      <alignment vertical="top" wrapText="1"/>
    </xf>
    <xf numFmtId="14" fontId="5" fillId="0" borderId="23" xfId="0" applyNumberFormat="1" applyFont="1" applyBorder="1" applyAlignment="1">
      <alignment vertical="top" wrapText="1"/>
    </xf>
    <xf numFmtId="0" fontId="33" fillId="0" borderId="482" xfId="0" applyFont="1" applyBorder="1" applyAlignment="1">
      <alignment horizontal="center" vertical="center" wrapText="1"/>
    </xf>
    <xf numFmtId="0" fontId="14" fillId="0" borderId="483" xfId="0" applyFont="1" applyBorder="1" applyAlignment="1">
      <alignment horizontal="center" vertical="top" wrapText="1"/>
    </xf>
    <xf numFmtId="0" fontId="14" fillId="0" borderId="484" xfId="0" applyFont="1" applyBorder="1" applyAlignment="1">
      <alignment horizontal="center" vertical="top" wrapText="1"/>
    </xf>
    <xf numFmtId="14" fontId="5" fillId="0" borderId="484" xfId="0" applyNumberFormat="1" applyFont="1" applyBorder="1" applyAlignment="1">
      <alignment horizontal="center" vertical="top" wrapText="1"/>
    </xf>
    <xf numFmtId="0" fontId="5" fillId="0" borderId="484" xfId="0" applyFont="1" applyBorder="1" applyAlignment="1">
      <alignment horizontal="center" vertical="top" wrapText="1"/>
    </xf>
    <xf numFmtId="165" fontId="5" fillId="0" borderId="484" xfId="0" applyNumberFormat="1" applyFont="1" applyBorder="1" applyAlignment="1">
      <alignment horizontal="center" vertical="top" wrapText="1"/>
    </xf>
    <xf numFmtId="182" fontId="14" fillId="0" borderId="484" xfId="1" applyNumberFormat="1" applyFont="1" applyFill="1" applyBorder="1" applyAlignment="1" applyProtection="1">
      <alignment horizontal="center" vertical="top" wrapText="1"/>
    </xf>
    <xf numFmtId="0" fontId="5" fillId="0" borderId="482" xfId="0" applyFont="1" applyBorder="1" applyAlignment="1">
      <alignment vertical="top" wrapText="1"/>
    </xf>
    <xf numFmtId="0" fontId="5" fillId="0" borderId="483" xfId="0" applyFont="1" applyBorder="1" applyAlignment="1">
      <alignment vertical="top" wrapText="1"/>
    </xf>
    <xf numFmtId="0" fontId="5" fillId="0" borderId="484" xfId="0" applyFont="1" applyBorder="1" applyAlignment="1">
      <alignment vertical="top" wrapText="1"/>
    </xf>
    <xf numFmtId="14" fontId="5" fillId="0" borderId="482" xfId="0" applyNumberFormat="1" applyFont="1" applyBorder="1" applyAlignment="1">
      <alignment horizontal="center" vertical="top" wrapText="1"/>
    </xf>
    <xf numFmtId="0" fontId="33" fillId="0" borderId="483" xfId="0" applyFont="1" applyBorder="1" applyAlignment="1">
      <alignment vertical="top" wrapText="1"/>
    </xf>
    <xf numFmtId="0" fontId="5" fillId="20" borderId="484" xfId="0" applyFont="1" applyFill="1" applyBorder="1" applyAlignment="1">
      <alignment vertical="top" wrapText="1"/>
    </xf>
    <xf numFmtId="0" fontId="33" fillId="0" borderId="482" xfId="0" applyFont="1" applyBorder="1" applyAlignment="1">
      <alignment vertical="top" wrapText="1"/>
    </xf>
    <xf numFmtId="4" fontId="5" fillId="0" borderId="483" xfId="0" applyNumberFormat="1" applyFont="1" applyBorder="1" applyAlignment="1">
      <alignment vertical="top" wrapText="1"/>
    </xf>
    <xf numFmtId="4" fontId="32" fillId="0" borderId="484" xfId="0" applyNumberFormat="1" applyFont="1" applyBorder="1" applyAlignment="1">
      <alignment vertical="top" wrapText="1"/>
    </xf>
    <xf numFmtId="4" fontId="33" fillId="0" borderId="482" xfId="0" applyNumberFormat="1" applyFont="1" applyBorder="1" applyAlignment="1">
      <alignment vertical="top" wrapText="1"/>
    </xf>
    <xf numFmtId="4" fontId="5" fillId="10" borderId="483" xfId="0" applyNumberFormat="1" applyFont="1" applyFill="1" applyBorder="1" applyAlignment="1">
      <alignment vertical="top" wrapText="1"/>
    </xf>
    <xf numFmtId="4" fontId="32" fillId="10" borderId="484" xfId="0" applyNumberFormat="1" applyFont="1" applyFill="1" applyBorder="1" applyAlignment="1">
      <alignment vertical="top" wrapText="1"/>
    </xf>
    <xf numFmtId="4" fontId="33" fillId="10" borderId="482" xfId="0" applyNumberFormat="1" applyFont="1" applyFill="1" applyBorder="1" applyAlignment="1">
      <alignment vertical="top" wrapText="1"/>
    </xf>
    <xf numFmtId="4" fontId="14" fillId="0" borderId="483" xfId="0" applyNumberFormat="1" applyFont="1" applyBorder="1" applyAlignment="1">
      <alignment vertical="top" wrapText="1"/>
    </xf>
    <xf numFmtId="4" fontId="32" fillId="0" borderId="485" xfId="0" applyNumberFormat="1" applyFont="1" applyBorder="1" applyAlignment="1">
      <alignment vertical="top" wrapText="1"/>
    </xf>
    <xf numFmtId="4" fontId="28" fillId="0" borderId="482" xfId="0" applyNumberFormat="1" applyFont="1" applyBorder="1" applyAlignment="1">
      <alignment vertical="top" wrapText="1"/>
    </xf>
    <xf numFmtId="0" fontId="28" fillId="0" borderId="483" xfId="0" applyFont="1" applyBorder="1" applyAlignment="1">
      <alignment horizontal="center" vertical="top" wrapText="1"/>
    </xf>
    <xf numFmtId="173" fontId="28" fillId="0" borderId="484" xfId="0" applyNumberFormat="1" applyFont="1" applyBorder="1" applyAlignment="1">
      <alignment horizontal="center" vertical="top" wrapText="1"/>
    </xf>
    <xf numFmtId="0" fontId="28" fillId="0" borderId="484" xfId="0" applyFont="1" applyBorder="1" applyAlignment="1">
      <alignment horizontal="center" vertical="top" wrapText="1"/>
    </xf>
    <xf numFmtId="165" fontId="28" fillId="0" borderId="484" xfId="0" applyNumberFormat="1" applyFont="1" applyBorder="1" applyAlignment="1">
      <alignment horizontal="center" vertical="top" wrapText="1"/>
    </xf>
    <xf numFmtId="182" fontId="28" fillId="0" borderId="482" xfId="1" applyNumberFormat="1" applyFont="1" applyFill="1" applyBorder="1" applyAlignment="1" applyProtection="1">
      <alignment horizontal="center" vertical="top" wrapText="1"/>
    </xf>
    <xf numFmtId="40" fontId="33" fillId="0" borderId="483" xfId="0" applyNumberFormat="1" applyFont="1" applyBorder="1" applyAlignment="1">
      <alignment vertical="top" wrapText="1"/>
    </xf>
    <xf numFmtId="40" fontId="33" fillId="0" borderId="484" xfId="0" applyNumberFormat="1" applyFont="1" applyBorder="1" applyAlignment="1">
      <alignment vertical="top" wrapText="1"/>
    </xf>
    <xf numFmtId="40" fontId="33" fillId="10" borderId="484" xfId="0" applyNumberFormat="1" applyFont="1" applyFill="1" applyBorder="1" applyAlignment="1">
      <alignment vertical="top" wrapText="1"/>
    </xf>
    <xf numFmtId="40" fontId="28" fillId="0" borderId="485" xfId="0" applyNumberFormat="1" applyFont="1" applyBorder="1" applyAlignment="1">
      <alignment vertical="top" wrapText="1"/>
    </xf>
    <xf numFmtId="0" fontId="5" fillId="0" borderId="486" xfId="0" applyFont="1" applyBorder="1" applyAlignment="1">
      <alignment vertical="top" wrapText="1"/>
    </xf>
    <xf numFmtId="165" fontId="33" fillId="15" borderId="35" xfId="0" applyNumberFormat="1" applyFont="1" applyFill="1" applyBorder="1" applyAlignment="1">
      <alignment horizontal="center" vertical="top" wrapText="1"/>
    </xf>
    <xf numFmtId="0" fontId="14" fillId="28" borderId="230" xfId="0" applyFont="1" applyFill="1" applyBorder="1" applyAlignment="1">
      <alignment horizontal="center" vertical="top" wrapText="1"/>
    </xf>
    <xf numFmtId="0" fontId="33" fillId="19" borderId="73" xfId="0" applyFont="1" applyFill="1" applyBorder="1" applyAlignment="1">
      <alignment horizontal="center" vertical="center" wrapText="1"/>
    </xf>
    <xf numFmtId="0" fontId="14" fillId="19" borderId="23" xfId="0" applyFont="1" applyFill="1" applyBorder="1" applyAlignment="1">
      <alignment horizontal="center" vertical="top" wrapText="1"/>
    </xf>
    <xf numFmtId="14" fontId="5" fillId="19" borderId="23" xfId="0" applyNumberFormat="1" applyFont="1" applyFill="1" applyBorder="1" applyAlignment="1">
      <alignment horizontal="center" vertical="top" wrapText="1"/>
    </xf>
    <xf numFmtId="14" fontId="5" fillId="19" borderId="198" xfId="0" applyNumberFormat="1" applyFont="1" applyFill="1" applyBorder="1" applyAlignment="1">
      <alignment horizontal="center" vertical="top" wrapText="1"/>
    </xf>
    <xf numFmtId="165" fontId="5" fillId="19" borderId="23" xfId="0" applyNumberFormat="1" applyFont="1" applyFill="1" applyBorder="1" applyAlignment="1">
      <alignment horizontal="center" vertical="top" wrapText="1"/>
    </xf>
    <xf numFmtId="182" fontId="5" fillId="19" borderId="23" xfId="1" applyNumberFormat="1" applyFont="1" applyFill="1" applyBorder="1" applyAlignment="1" applyProtection="1">
      <alignment horizontal="center" vertical="top" wrapText="1"/>
    </xf>
    <xf numFmtId="0" fontId="5" fillId="19" borderId="34" xfId="0" applyFont="1" applyFill="1" applyBorder="1" applyAlignment="1">
      <alignment vertical="top" wrapText="1"/>
    </xf>
    <xf numFmtId="0" fontId="5" fillId="19" borderId="63" xfId="0" applyFont="1" applyFill="1" applyBorder="1" applyAlignment="1">
      <alignment vertical="top" wrapText="1"/>
    </xf>
    <xf numFmtId="0" fontId="5" fillId="19" borderId="23" xfId="0" applyFont="1" applyFill="1" applyBorder="1" applyAlignment="1">
      <alignment vertical="top" wrapText="1"/>
    </xf>
    <xf numFmtId="14" fontId="33" fillId="19" borderId="34" xfId="0" applyNumberFormat="1" applyFont="1" applyFill="1" applyBorder="1" applyAlignment="1">
      <alignment horizontal="center" vertical="top" wrapText="1"/>
    </xf>
    <xf numFmtId="0" fontId="33" fillId="19" borderId="63" xfId="0" applyFont="1" applyFill="1" applyBorder="1" applyAlignment="1">
      <alignment vertical="top" wrapText="1"/>
    </xf>
    <xf numFmtId="0" fontId="33" fillId="19" borderId="34" xfId="0" applyFont="1" applyFill="1" applyBorder="1" applyAlignment="1">
      <alignment vertical="top" wrapText="1"/>
    </xf>
    <xf numFmtId="4" fontId="5" fillId="19" borderId="63" xfId="0" applyNumberFormat="1" applyFont="1" applyFill="1" applyBorder="1" applyAlignment="1">
      <alignment vertical="top" wrapText="1"/>
    </xf>
    <xf numFmtId="4" fontId="32" fillId="19" borderId="23" xfId="0" applyNumberFormat="1" applyFont="1" applyFill="1" applyBorder="1" applyAlignment="1">
      <alignment vertical="top" wrapText="1"/>
    </xf>
    <xf numFmtId="4" fontId="33" fillId="19" borderId="34" xfId="0" applyNumberFormat="1" applyFont="1" applyFill="1" applyBorder="1" applyAlignment="1">
      <alignment vertical="top" wrapText="1"/>
    </xf>
    <xf numFmtId="4" fontId="14" fillId="19" borderId="63" xfId="0" applyNumberFormat="1" applyFont="1" applyFill="1" applyBorder="1" applyAlignment="1">
      <alignment vertical="top" wrapText="1"/>
    </xf>
    <xf numFmtId="4" fontId="32" fillId="19" borderId="258" xfId="0" applyNumberFormat="1" applyFont="1" applyFill="1" applyBorder="1" applyAlignment="1">
      <alignment vertical="top" wrapText="1"/>
    </xf>
    <xf numFmtId="4" fontId="28" fillId="19" borderId="34" xfId="0" applyNumberFormat="1" applyFont="1" applyFill="1" applyBorder="1" applyAlignment="1">
      <alignment vertical="top" wrapText="1"/>
    </xf>
    <xf numFmtId="0" fontId="28" fillId="19" borderId="63" xfId="0" applyFont="1" applyFill="1" applyBorder="1" applyAlignment="1">
      <alignment horizontal="center" vertical="top" wrapText="1"/>
    </xf>
    <xf numFmtId="173" fontId="28" fillId="19" borderId="23" xfId="0" applyNumberFormat="1" applyFont="1" applyFill="1" applyBorder="1" applyAlignment="1">
      <alignment horizontal="center" vertical="top" wrapText="1"/>
    </xf>
    <xf numFmtId="0" fontId="28" fillId="19" borderId="23" xfId="0" applyFont="1" applyFill="1" applyBorder="1" applyAlignment="1">
      <alignment horizontal="center" vertical="top" wrapText="1"/>
    </xf>
    <xf numFmtId="165" fontId="28" fillId="19" borderId="23" xfId="0" applyNumberFormat="1" applyFont="1" applyFill="1" applyBorder="1" applyAlignment="1">
      <alignment horizontal="center" vertical="top" wrapText="1"/>
    </xf>
    <xf numFmtId="182" fontId="28" fillId="19" borderId="34" xfId="1" applyNumberFormat="1" applyFont="1" applyFill="1" applyBorder="1" applyAlignment="1" applyProtection="1">
      <alignment horizontal="center" vertical="top" wrapText="1"/>
    </xf>
    <xf numFmtId="40" fontId="28" fillId="19" borderId="201" xfId="0" applyNumberFormat="1" applyFont="1" applyFill="1" applyBorder="1" applyAlignment="1">
      <alignment vertical="top" wrapText="1"/>
    </xf>
    <xf numFmtId="0" fontId="5" fillId="19" borderId="199" xfId="0" applyFont="1" applyFill="1" applyBorder="1" applyAlignment="1">
      <alignment vertical="top" wrapText="1"/>
    </xf>
    <xf numFmtId="0" fontId="33" fillId="0" borderId="229" xfId="0" applyFont="1" applyBorder="1" applyAlignment="1">
      <alignment horizontal="center" vertical="center" wrapText="1"/>
    </xf>
    <xf numFmtId="165" fontId="29" fillId="14" borderId="23" xfId="0" applyNumberFormat="1" applyFont="1" applyFill="1" applyBorder="1" applyAlignment="1">
      <alignment horizontal="center" vertical="top" wrapText="1"/>
    </xf>
    <xf numFmtId="182" fontId="29" fillId="14" borderId="34" xfId="1" applyNumberFormat="1" applyFont="1" applyFill="1" applyBorder="1" applyAlignment="1" applyProtection="1">
      <alignment horizontal="center" vertical="top" wrapText="1"/>
    </xf>
    <xf numFmtId="0" fontId="32" fillId="12" borderId="487" xfId="0" applyFont="1" applyFill="1" applyBorder="1" applyAlignment="1">
      <alignment horizontal="center" vertical="center" wrapText="1"/>
    </xf>
    <xf numFmtId="0" fontId="14" fillId="12" borderId="483" xfId="0" applyFont="1" applyFill="1" applyBorder="1" applyAlignment="1">
      <alignment horizontal="center" vertical="top" wrapText="1"/>
    </xf>
    <xf numFmtId="0" fontId="28" fillId="12" borderId="488" xfId="0" applyFont="1" applyFill="1" applyBorder="1" applyAlignment="1">
      <alignment horizontal="center" vertical="top" wrapText="1"/>
    </xf>
    <xf numFmtId="14" fontId="5" fillId="12" borderId="488" xfId="0" applyNumberFormat="1" applyFont="1" applyFill="1" applyBorder="1" applyAlignment="1">
      <alignment horizontal="center" vertical="top" wrapText="1"/>
    </xf>
    <xf numFmtId="165" fontId="5" fillId="12" borderId="488" xfId="0" applyNumberFormat="1" applyFont="1" applyFill="1" applyBorder="1" applyAlignment="1">
      <alignment horizontal="center" vertical="top" wrapText="1"/>
    </xf>
    <xf numFmtId="182" fontId="33" fillId="12" borderId="488" xfId="1" applyNumberFormat="1" applyFont="1" applyFill="1" applyBorder="1" applyAlignment="1" applyProtection="1">
      <alignment horizontal="center" vertical="top" wrapText="1"/>
    </xf>
    <xf numFmtId="0" fontId="5" fillId="12" borderId="487" xfId="0" applyFont="1" applyFill="1" applyBorder="1" applyAlignment="1">
      <alignment vertical="top" wrapText="1"/>
    </xf>
    <xf numFmtId="0" fontId="5" fillId="12" borderId="483" xfId="0" applyFont="1" applyFill="1" applyBorder="1" applyAlignment="1">
      <alignment vertical="top" wrapText="1"/>
    </xf>
    <xf numFmtId="0" fontId="5" fillId="12" borderId="488" xfId="0" applyFont="1" applyFill="1" applyBorder="1" applyAlignment="1">
      <alignment vertical="top" wrapText="1"/>
    </xf>
    <xf numFmtId="14" fontId="5" fillId="12" borderId="487" xfId="0" applyNumberFormat="1" applyFont="1" applyFill="1" applyBorder="1" applyAlignment="1">
      <alignment horizontal="center" vertical="top" wrapText="1"/>
    </xf>
    <xf numFmtId="0" fontId="33" fillId="12" borderId="483" xfId="0" applyFont="1" applyFill="1" applyBorder="1" applyAlignment="1">
      <alignment vertical="top" wrapText="1"/>
    </xf>
    <xf numFmtId="0" fontId="33" fillId="12" borderId="488" xfId="0" applyFont="1" applyFill="1" applyBorder="1" applyAlignment="1">
      <alignment vertical="top" wrapText="1"/>
    </xf>
    <xf numFmtId="0" fontId="33" fillId="12" borderId="487" xfId="0" applyFont="1" applyFill="1" applyBorder="1" applyAlignment="1">
      <alignment vertical="top" wrapText="1"/>
    </xf>
    <xf numFmtId="4" fontId="5" fillId="12" borderId="483" xfId="0" applyNumberFormat="1" applyFont="1" applyFill="1" applyBorder="1" applyAlignment="1">
      <alignment vertical="top" wrapText="1"/>
    </xf>
    <xf numFmtId="4" fontId="32" fillId="12" borderId="488" xfId="0" applyNumberFormat="1" applyFont="1" applyFill="1" applyBorder="1" applyAlignment="1">
      <alignment vertical="top" wrapText="1"/>
    </xf>
    <xf numFmtId="4" fontId="33" fillId="12" borderId="487" xfId="0" applyNumberFormat="1" applyFont="1" applyFill="1" applyBorder="1" applyAlignment="1">
      <alignment vertical="top" wrapText="1"/>
    </xf>
    <xf numFmtId="4" fontId="14" fillId="12" borderId="483" xfId="0" applyNumberFormat="1" applyFont="1" applyFill="1" applyBorder="1" applyAlignment="1">
      <alignment vertical="top" wrapText="1"/>
    </xf>
    <xf numFmtId="4" fontId="32" fillId="12" borderId="489" xfId="0" applyNumberFormat="1" applyFont="1" applyFill="1" applyBorder="1" applyAlignment="1">
      <alignment vertical="top" wrapText="1"/>
    </xf>
    <xf numFmtId="4" fontId="28" fillId="12" borderId="487" xfId="0" applyNumberFormat="1" applyFont="1" applyFill="1" applyBorder="1" applyAlignment="1">
      <alignment vertical="top" wrapText="1"/>
    </xf>
    <xf numFmtId="0" fontId="28" fillId="12" borderId="483" xfId="0" applyFont="1" applyFill="1" applyBorder="1" applyAlignment="1">
      <alignment horizontal="center" vertical="top" wrapText="1"/>
    </xf>
    <xf numFmtId="173" fontId="28" fillId="12" borderId="488" xfId="0" applyNumberFormat="1" applyFont="1" applyFill="1" applyBorder="1" applyAlignment="1">
      <alignment horizontal="center" vertical="top" wrapText="1"/>
    </xf>
    <xf numFmtId="165" fontId="28" fillId="12" borderId="488" xfId="0" applyNumberFormat="1" applyFont="1" applyFill="1" applyBorder="1" applyAlignment="1">
      <alignment horizontal="center" vertical="top" wrapText="1"/>
    </xf>
    <xf numFmtId="182" fontId="28" fillId="12" borderId="487" xfId="1" applyNumberFormat="1" applyFont="1" applyFill="1" applyBorder="1" applyAlignment="1" applyProtection="1">
      <alignment horizontal="center" vertical="top" wrapText="1"/>
    </xf>
    <xf numFmtId="40" fontId="33" fillId="12" borderId="483" xfId="0" applyNumberFormat="1" applyFont="1" applyFill="1" applyBorder="1" applyAlignment="1">
      <alignment vertical="top" wrapText="1"/>
    </xf>
    <xf numFmtId="40" fontId="33" fillId="12" borderId="488" xfId="0" applyNumberFormat="1" applyFont="1" applyFill="1" applyBorder="1" applyAlignment="1">
      <alignment vertical="top" wrapText="1"/>
    </xf>
    <xf numFmtId="40" fontId="28" fillId="12" borderId="489" xfId="0" applyNumberFormat="1" applyFont="1" applyFill="1" applyBorder="1" applyAlignment="1">
      <alignment vertical="top" wrapText="1"/>
    </xf>
    <xf numFmtId="0" fontId="5" fillId="12" borderId="486" xfId="0" applyFont="1" applyFill="1" applyBorder="1" applyAlignment="1">
      <alignment vertical="top" wrapText="1"/>
    </xf>
    <xf numFmtId="0" fontId="33" fillId="0" borderId="490" xfId="0" applyFont="1" applyBorder="1" applyAlignment="1">
      <alignment horizontal="center" vertical="center" wrapText="1"/>
    </xf>
    <xf numFmtId="0" fontId="14" fillId="0" borderId="438" xfId="0" applyFont="1" applyBorder="1" applyAlignment="1">
      <alignment horizontal="center" vertical="top" wrapText="1"/>
    </xf>
    <xf numFmtId="182" fontId="32" fillId="0" borderId="438" xfId="1" applyNumberFormat="1" applyFont="1" applyFill="1" applyBorder="1" applyAlignment="1" applyProtection="1">
      <alignment horizontal="center" vertical="top" wrapText="1"/>
    </xf>
    <xf numFmtId="0" fontId="5" fillId="0" borderId="457" xfId="0" applyFont="1" applyBorder="1" applyAlignment="1">
      <alignment vertical="top" wrapText="1"/>
    </xf>
    <xf numFmtId="14" fontId="5" fillId="0" borderId="457" xfId="0" applyNumberFormat="1" applyFont="1" applyBorder="1" applyAlignment="1">
      <alignment horizontal="center" vertical="top" wrapText="1"/>
    </xf>
    <xf numFmtId="0" fontId="33" fillId="0" borderId="457" xfId="0" applyFont="1" applyBorder="1" applyAlignment="1">
      <alignment vertical="top" wrapText="1"/>
    </xf>
    <xf numFmtId="4" fontId="33" fillId="0" borderId="457" xfId="0" applyNumberFormat="1" applyFont="1" applyBorder="1" applyAlignment="1">
      <alignment vertical="top" wrapText="1"/>
    </xf>
    <xf numFmtId="4" fontId="32" fillId="0" borderId="491" xfId="0" applyNumberFormat="1" applyFont="1" applyBorder="1" applyAlignment="1">
      <alignment vertical="top" wrapText="1"/>
    </xf>
    <xf numFmtId="4" fontId="28" fillId="0" borderId="490" xfId="0" applyNumberFormat="1" applyFont="1" applyBorder="1" applyAlignment="1">
      <alignment vertical="top" wrapText="1"/>
    </xf>
    <xf numFmtId="0" fontId="29" fillId="0" borderId="440" xfId="0" applyFont="1" applyBorder="1" applyAlignment="1">
      <alignment horizontal="center" vertical="top" wrapText="1"/>
    </xf>
    <xf numFmtId="173" fontId="29" fillId="0" borderId="492" xfId="0" applyNumberFormat="1" applyFont="1" applyBorder="1" applyAlignment="1">
      <alignment horizontal="center" vertical="top" wrapText="1"/>
    </xf>
    <xf numFmtId="165" fontId="29" fillId="0" borderId="492" xfId="0" applyNumberFormat="1" applyFont="1" applyBorder="1" applyAlignment="1">
      <alignment horizontal="center" vertical="top" wrapText="1"/>
    </xf>
    <xf numFmtId="182" fontId="29" fillId="0" borderId="490" xfId="1" applyNumberFormat="1" applyFont="1" applyFill="1" applyBorder="1" applyAlignment="1" applyProtection="1">
      <alignment horizontal="center" vertical="top" wrapText="1"/>
    </xf>
    <xf numFmtId="40" fontId="33" fillId="0" borderId="440" xfId="0" applyNumberFormat="1" applyFont="1" applyBorder="1" applyAlignment="1">
      <alignment vertical="top" wrapText="1"/>
    </xf>
    <xf numFmtId="40" fontId="33" fillId="0" borderId="492" xfId="0" applyNumberFormat="1" applyFont="1" applyBorder="1" applyAlignment="1">
      <alignment vertical="top" wrapText="1"/>
    </xf>
    <xf numFmtId="40" fontId="28" fillId="0" borderId="491" xfId="0" applyNumberFormat="1" applyFont="1" applyBorder="1" applyAlignment="1">
      <alignment vertical="top" wrapText="1"/>
    </xf>
    <xf numFmtId="0" fontId="14" fillId="0" borderId="492" xfId="0" applyFont="1" applyBorder="1" applyAlignment="1">
      <alignment horizontal="center" vertical="top" wrapText="1"/>
    </xf>
    <xf numFmtId="14" fontId="5" fillId="0" borderId="492" xfId="0" applyNumberFormat="1" applyFont="1" applyBorder="1" applyAlignment="1">
      <alignment horizontal="center" vertical="top" wrapText="1"/>
    </xf>
    <xf numFmtId="0" fontId="5" fillId="0" borderId="492" xfId="0" applyFont="1" applyBorder="1" applyAlignment="1">
      <alignment horizontal="center" vertical="top" wrapText="1"/>
    </xf>
    <xf numFmtId="165" fontId="5" fillId="0" borderId="492" xfId="0" applyNumberFormat="1" applyFont="1" applyBorder="1" applyAlignment="1">
      <alignment horizontal="center" vertical="top" wrapText="1"/>
    </xf>
    <xf numFmtId="182" fontId="5" fillId="0" borderId="492" xfId="1" applyNumberFormat="1" applyFont="1" applyFill="1" applyBorder="1" applyAlignment="1" applyProtection="1">
      <alignment horizontal="center" vertical="top" wrapText="1"/>
    </xf>
    <xf numFmtId="0" fontId="5" fillId="0" borderId="490" xfId="0" applyFont="1" applyBorder="1" applyAlignment="1">
      <alignment vertical="top" wrapText="1"/>
    </xf>
    <xf numFmtId="0" fontId="5" fillId="0" borderId="492" xfId="0" applyFont="1" applyBorder="1" applyAlignment="1">
      <alignment vertical="top" wrapText="1"/>
    </xf>
    <xf numFmtId="0" fontId="5" fillId="0" borderId="490" xfId="0" applyFont="1" applyBorder="1" applyAlignment="1">
      <alignment horizontal="center" vertical="top" wrapText="1"/>
    </xf>
    <xf numFmtId="0" fontId="33" fillId="0" borderId="490" xfId="0" applyFont="1" applyBorder="1" applyAlignment="1">
      <alignment vertical="top" wrapText="1"/>
    </xf>
    <xf numFmtId="4" fontId="32" fillId="0" borderId="492" xfId="0" applyNumberFormat="1" applyFont="1" applyBorder="1" applyAlignment="1">
      <alignment vertical="top" wrapText="1"/>
    </xf>
    <xf numFmtId="4" fontId="33" fillId="0" borderId="490" xfId="0" applyNumberFormat="1" applyFont="1" applyBorder="1" applyAlignment="1">
      <alignment vertical="top" wrapText="1"/>
    </xf>
    <xf numFmtId="40" fontId="33" fillId="29" borderId="440" xfId="0" applyNumberFormat="1" applyFont="1" applyFill="1" applyBorder="1" applyAlignment="1">
      <alignment vertical="top" wrapText="1"/>
    </xf>
    <xf numFmtId="40" fontId="33" fillId="29" borderId="492" xfId="0" applyNumberFormat="1" applyFont="1" applyFill="1" applyBorder="1" applyAlignment="1">
      <alignment vertical="top" wrapText="1"/>
    </xf>
    <xf numFmtId="0" fontId="28" fillId="0" borderId="492" xfId="0" applyFont="1" applyBorder="1" applyAlignment="1">
      <alignment horizontal="center" vertical="top" wrapText="1"/>
    </xf>
    <xf numFmtId="0" fontId="29" fillId="0" borderId="492" xfId="0" applyFont="1" applyBorder="1" applyAlignment="1">
      <alignment horizontal="center" vertical="top" wrapText="1"/>
    </xf>
    <xf numFmtId="0" fontId="28" fillId="28" borderId="23" xfId="0" applyFont="1" applyFill="1" applyBorder="1" applyAlignment="1">
      <alignment horizontal="center" vertical="top" wrapText="1"/>
    </xf>
    <xf numFmtId="0" fontId="33" fillId="28" borderId="73" xfId="0" applyFont="1" applyFill="1" applyBorder="1" applyAlignment="1">
      <alignment horizontal="center" vertical="center" wrapText="1"/>
    </xf>
    <xf numFmtId="0" fontId="14" fillId="28" borderId="23" xfId="0" applyFont="1" applyFill="1" applyBorder="1" applyAlignment="1">
      <alignment horizontal="center" vertical="top" wrapText="1"/>
    </xf>
    <xf numFmtId="14" fontId="5" fillId="28" borderId="23" xfId="0" applyNumberFormat="1" applyFont="1" applyFill="1" applyBorder="1" applyAlignment="1">
      <alignment horizontal="center" vertical="top" wrapText="1"/>
    </xf>
    <xf numFmtId="0" fontId="5" fillId="28" borderId="198" xfId="0" applyFont="1" applyFill="1" applyBorder="1" applyAlignment="1">
      <alignment horizontal="center" vertical="top" wrapText="1"/>
    </xf>
    <xf numFmtId="0" fontId="33" fillId="28" borderId="63" xfId="0" applyFont="1" applyFill="1" applyBorder="1" applyAlignment="1">
      <alignment vertical="top" wrapText="1"/>
    </xf>
    <xf numFmtId="0" fontId="33" fillId="28" borderId="34" xfId="0" applyFont="1" applyFill="1" applyBorder="1" applyAlignment="1">
      <alignment vertical="top" wrapText="1"/>
    </xf>
    <xf numFmtId="4" fontId="5" fillId="28" borderId="63" xfId="0" applyNumberFormat="1" applyFont="1" applyFill="1" applyBorder="1" applyAlignment="1">
      <alignment vertical="top" wrapText="1"/>
    </xf>
    <xf numFmtId="4" fontId="32" fillId="28" borderId="23" xfId="0" applyNumberFormat="1" applyFont="1" applyFill="1" applyBorder="1" applyAlignment="1">
      <alignment vertical="top" wrapText="1"/>
    </xf>
    <xf numFmtId="4" fontId="33" fillId="28" borderId="34" xfId="0" applyNumberFormat="1" applyFont="1" applyFill="1" applyBorder="1" applyAlignment="1">
      <alignment vertical="top" wrapText="1"/>
    </xf>
    <xf numFmtId="4" fontId="14" fillId="28" borderId="63" xfId="0" applyNumberFormat="1" applyFont="1" applyFill="1" applyBorder="1" applyAlignment="1">
      <alignment vertical="top" wrapText="1"/>
    </xf>
    <xf numFmtId="4" fontId="32" fillId="28" borderId="258" xfId="0" applyNumberFormat="1" applyFont="1" applyFill="1" applyBorder="1" applyAlignment="1">
      <alignment vertical="top" wrapText="1"/>
    </xf>
    <xf numFmtId="4" fontId="28" fillId="28" borderId="34" xfId="0" applyNumberFormat="1" applyFont="1" applyFill="1" applyBorder="1" applyAlignment="1">
      <alignment vertical="top" wrapText="1"/>
    </xf>
    <xf numFmtId="0" fontId="28" fillId="28" borderId="63" xfId="0" applyFont="1" applyFill="1" applyBorder="1" applyAlignment="1">
      <alignment horizontal="center" vertical="top" wrapText="1"/>
    </xf>
    <xf numFmtId="173" fontId="28" fillId="28" borderId="23" xfId="0" applyNumberFormat="1" applyFont="1" applyFill="1" applyBorder="1" applyAlignment="1">
      <alignment horizontal="center" vertical="top" wrapText="1"/>
    </xf>
    <xf numFmtId="165" fontId="28" fillId="28" borderId="35" xfId="0" applyNumberFormat="1" applyFont="1" applyFill="1" applyBorder="1" applyAlignment="1">
      <alignment horizontal="center" vertical="top" wrapText="1"/>
    </xf>
    <xf numFmtId="182" fontId="28" fillId="28" borderId="27" xfId="1" applyNumberFormat="1" applyFont="1" applyFill="1" applyBorder="1" applyAlignment="1" applyProtection="1">
      <alignment horizontal="center" vertical="top" wrapText="1"/>
    </xf>
    <xf numFmtId="40" fontId="28" fillId="28" borderId="201" xfId="0" applyNumberFormat="1" applyFont="1" applyFill="1" applyBorder="1" applyAlignment="1">
      <alignment vertical="top" wrapText="1"/>
    </xf>
    <xf numFmtId="0" fontId="5" fillId="28" borderId="199" xfId="0" applyFont="1" applyFill="1" applyBorder="1" applyAlignment="1">
      <alignment vertical="top" wrapText="1"/>
    </xf>
    <xf numFmtId="165" fontId="5" fillId="28" borderId="35" xfId="0" applyNumberFormat="1" applyFont="1" applyFill="1" applyBorder="1" applyAlignment="1">
      <alignment horizontal="center" vertical="top" wrapText="1"/>
    </xf>
    <xf numFmtId="182" fontId="14" fillId="28" borderId="35" xfId="1" applyNumberFormat="1" applyFont="1" applyFill="1" applyBorder="1" applyAlignment="1" applyProtection="1">
      <alignment horizontal="center" vertical="top" wrapText="1"/>
    </xf>
    <xf numFmtId="0" fontId="33" fillId="26" borderId="73" xfId="0" applyFont="1" applyFill="1" applyBorder="1" applyAlignment="1">
      <alignment horizontal="center" vertical="center" wrapText="1"/>
    </xf>
    <xf numFmtId="0" fontId="33" fillId="0" borderId="493" xfId="0" applyFont="1" applyBorder="1" applyAlignment="1">
      <alignment horizontal="center" vertical="center" wrapText="1"/>
    </xf>
    <xf numFmtId="0" fontId="14" fillId="0" borderId="488" xfId="0" applyFont="1" applyBorder="1" applyAlignment="1">
      <alignment horizontal="center" vertical="top" wrapText="1"/>
    </xf>
    <xf numFmtId="14" fontId="5" fillId="0" borderId="488" xfId="0" applyNumberFormat="1" applyFont="1" applyBorder="1" applyAlignment="1">
      <alignment horizontal="center" vertical="top" wrapText="1"/>
    </xf>
    <xf numFmtId="0" fontId="5" fillId="0" borderId="488" xfId="0" applyFont="1" applyBorder="1" applyAlignment="1">
      <alignment horizontal="center" vertical="top" wrapText="1"/>
    </xf>
    <xf numFmtId="0" fontId="5" fillId="0" borderId="487" xfId="0" applyFont="1" applyBorder="1" applyAlignment="1">
      <alignment vertical="top" wrapText="1"/>
    </xf>
    <xf numFmtId="0" fontId="5" fillId="0" borderId="488" xfId="0" applyFont="1" applyBorder="1" applyAlignment="1">
      <alignment vertical="top" wrapText="1"/>
    </xf>
    <xf numFmtId="14" fontId="5" fillId="0" borderId="487" xfId="0" applyNumberFormat="1" applyFont="1" applyBorder="1" applyAlignment="1">
      <alignment horizontal="center" vertical="top" wrapText="1"/>
    </xf>
    <xf numFmtId="0" fontId="5" fillId="20" borderId="488" xfId="0" applyFont="1" applyFill="1" applyBorder="1" applyAlignment="1">
      <alignment vertical="top" wrapText="1"/>
    </xf>
    <xf numFmtId="0" fontId="33" fillId="0" borderId="487" xfId="0" applyFont="1" applyBorder="1" applyAlignment="1">
      <alignment vertical="top" wrapText="1"/>
    </xf>
    <xf numFmtId="4" fontId="32" fillId="0" borderId="488" xfId="0" applyNumberFormat="1" applyFont="1" applyBorder="1" applyAlignment="1">
      <alignment vertical="top" wrapText="1"/>
    </xf>
    <xf numFmtId="4" fontId="33" fillId="0" borderId="487" xfId="0" applyNumberFormat="1" applyFont="1" applyBorder="1" applyAlignment="1">
      <alignment vertical="top" wrapText="1"/>
    </xf>
    <xf numFmtId="4" fontId="32" fillId="10" borderId="488" xfId="0" applyNumberFormat="1" applyFont="1" applyFill="1" applyBorder="1" applyAlignment="1">
      <alignment vertical="top" wrapText="1"/>
    </xf>
    <xf numFmtId="4" fontId="33" fillId="10" borderId="487" xfId="0" applyNumberFormat="1" applyFont="1" applyFill="1" applyBorder="1" applyAlignment="1">
      <alignment vertical="top" wrapText="1"/>
    </xf>
    <xf numFmtId="4" fontId="32" fillId="0" borderId="489" xfId="0" applyNumberFormat="1" applyFont="1" applyBorder="1" applyAlignment="1">
      <alignment vertical="top" wrapText="1"/>
    </xf>
    <xf numFmtId="4" fontId="28" fillId="0" borderId="487" xfId="0" applyNumberFormat="1" applyFont="1" applyBorder="1" applyAlignment="1">
      <alignment vertical="top" wrapText="1"/>
    </xf>
    <xf numFmtId="173" fontId="28" fillId="0" borderId="488" xfId="0" applyNumberFormat="1" applyFont="1" applyBorder="1" applyAlignment="1">
      <alignment horizontal="center" vertical="top" wrapText="1"/>
    </xf>
    <xf numFmtId="0" fontId="28" fillId="0" borderId="488" xfId="0" applyFont="1" applyBorder="1" applyAlignment="1">
      <alignment horizontal="center" vertical="top" wrapText="1"/>
    </xf>
    <xf numFmtId="40" fontId="33" fillId="0" borderId="488" xfId="0" applyNumberFormat="1" applyFont="1" applyBorder="1" applyAlignment="1">
      <alignment vertical="top" wrapText="1"/>
    </xf>
    <xf numFmtId="40" fontId="33" fillId="10" borderId="488" xfId="0" applyNumberFormat="1" applyFont="1" applyFill="1" applyBorder="1" applyAlignment="1">
      <alignment vertical="top" wrapText="1"/>
    </xf>
    <xf numFmtId="40" fontId="28" fillId="0" borderId="489" xfId="0" applyNumberFormat="1" applyFont="1" applyBorder="1" applyAlignment="1">
      <alignment vertical="top" wrapText="1"/>
    </xf>
    <xf numFmtId="0" fontId="5" fillId="17" borderId="23" xfId="0" applyFont="1" applyFill="1" applyBorder="1" applyAlignment="1">
      <alignment vertical="top" wrapText="1"/>
    </xf>
    <xf numFmtId="8" fontId="7" fillId="0" borderId="170" xfId="0" applyNumberFormat="1" applyFont="1" applyBorder="1" applyAlignment="1">
      <alignment vertical="top"/>
    </xf>
    <xf numFmtId="166" fontId="7" fillId="10" borderId="222" xfId="0" applyNumberFormat="1" applyFont="1" applyFill="1" applyBorder="1" applyAlignment="1">
      <alignment horizontal="center" vertical="top" wrapText="1"/>
    </xf>
    <xf numFmtId="0" fontId="28" fillId="8" borderId="23" xfId="0" applyFont="1" applyFill="1" applyBorder="1" applyAlignment="1">
      <alignment horizontal="center" vertical="top" wrapText="1"/>
    </xf>
    <xf numFmtId="14" fontId="5" fillId="8" borderId="23" xfId="0" applyNumberFormat="1" applyFont="1" applyFill="1" applyBorder="1" applyAlignment="1">
      <alignment horizontal="center" vertical="top" wrapText="1"/>
    </xf>
    <xf numFmtId="0" fontId="5" fillId="8" borderId="198" xfId="0" applyFont="1" applyFill="1" applyBorder="1" applyAlignment="1">
      <alignment horizontal="center" vertical="top" wrapText="1"/>
    </xf>
    <xf numFmtId="165" fontId="5" fillId="8" borderId="35" xfId="0" applyNumberFormat="1" applyFont="1" applyFill="1" applyBorder="1" applyAlignment="1">
      <alignment horizontal="center" vertical="top" wrapText="1"/>
    </xf>
    <xf numFmtId="0" fontId="5" fillId="8" borderId="34" xfId="0" applyFont="1" applyFill="1" applyBorder="1" applyAlignment="1">
      <alignment vertical="top" wrapText="1"/>
    </xf>
    <xf numFmtId="182" fontId="28" fillId="8" borderId="35" xfId="1" applyNumberFormat="1" applyFont="1" applyFill="1" applyBorder="1" applyAlignment="1" applyProtection="1">
      <alignment horizontal="center" vertical="top" wrapText="1"/>
    </xf>
    <xf numFmtId="0" fontId="33" fillId="15" borderId="494" xfId="0" applyFont="1" applyFill="1" applyBorder="1" applyAlignment="1">
      <alignment horizontal="center" vertical="center" wrapText="1"/>
    </xf>
    <xf numFmtId="0" fontId="14" fillId="15" borderId="483" xfId="0" applyFont="1" applyFill="1" applyBorder="1" applyAlignment="1">
      <alignment horizontal="center" vertical="top" wrapText="1"/>
    </xf>
    <xf numFmtId="0" fontId="14" fillId="15" borderId="495" xfId="0" applyFont="1" applyFill="1" applyBorder="1" applyAlignment="1">
      <alignment horizontal="center" vertical="top" wrapText="1"/>
    </xf>
    <xf numFmtId="14" fontId="5" fillId="15" borderId="495" xfId="0" applyNumberFormat="1" applyFont="1" applyFill="1" applyBorder="1" applyAlignment="1">
      <alignment horizontal="center" vertical="top" wrapText="1"/>
    </xf>
    <xf numFmtId="0" fontId="5" fillId="15" borderId="495" xfId="0" applyFont="1" applyFill="1" applyBorder="1" applyAlignment="1">
      <alignment horizontal="center" vertical="top" wrapText="1"/>
    </xf>
    <xf numFmtId="0" fontId="5" fillId="15" borderId="494" xfId="0" applyFont="1" applyFill="1" applyBorder="1" applyAlignment="1">
      <alignment vertical="top" wrapText="1"/>
    </xf>
    <xf numFmtId="0" fontId="5" fillId="15" borderId="483" xfId="0" applyFont="1" applyFill="1" applyBorder="1" applyAlignment="1">
      <alignment vertical="top" wrapText="1"/>
    </xf>
    <xf numFmtId="0" fontId="5" fillId="15" borderId="495" xfId="0" applyFont="1" applyFill="1" applyBorder="1" applyAlignment="1">
      <alignment vertical="top" wrapText="1"/>
    </xf>
    <xf numFmtId="14" fontId="5" fillId="15" borderId="494" xfId="0" applyNumberFormat="1" applyFont="1" applyFill="1" applyBorder="1" applyAlignment="1">
      <alignment horizontal="center" vertical="top" wrapText="1"/>
    </xf>
    <xf numFmtId="0" fontId="33" fillId="15" borderId="483" xfId="0" applyFont="1" applyFill="1" applyBorder="1" applyAlignment="1">
      <alignment vertical="top" wrapText="1"/>
    </xf>
    <xf numFmtId="0" fontId="33" fillId="15" borderId="494" xfId="0" applyFont="1" applyFill="1" applyBorder="1" applyAlignment="1">
      <alignment vertical="top" wrapText="1"/>
    </xf>
    <xf numFmtId="4" fontId="5" fillId="15" borderId="483" xfId="0" applyNumberFormat="1" applyFont="1" applyFill="1" applyBorder="1" applyAlignment="1">
      <alignment vertical="top" wrapText="1"/>
    </xf>
    <xf numFmtId="4" fontId="32" fillId="15" borderId="495" xfId="0" applyNumberFormat="1" applyFont="1" applyFill="1" applyBorder="1" applyAlignment="1">
      <alignment vertical="top" wrapText="1"/>
    </xf>
    <xf numFmtId="4" fontId="33" fillId="15" borderId="494" xfId="0" applyNumberFormat="1" applyFont="1" applyFill="1" applyBorder="1" applyAlignment="1">
      <alignment vertical="top" wrapText="1"/>
    </xf>
    <xf numFmtId="4" fontId="14" fillId="15" borderId="483" xfId="0" applyNumberFormat="1" applyFont="1" applyFill="1" applyBorder="1" applyAlignment="1">
      <alignment vertical="top" wrapText="1"/>
    </xf>
    <xf numFmtId="4" fontId="32" fillId="15" borderId="496" xfId="0" applyNumberFormat="1" applyFont="1" applyFill="1" applyBorder="1" applyAlignment="1">
      <alignment vertical="top" wrapText="1"/>
    </xf>
    <xf numFmtId="4" fontId="28" fillId="15" borderId="494" xfId="0" applyNumberFormat="1" applyFont="1" applyFill="1" applyBorder="1" applyAlignment="1">
      <alignment vertical="top" wrapText="1"/>
    </xf>
    <xf numFmtId="0" fontId="28" fillId="15" borderId="483" xfId="0" applyFont="1" applyFill="1" applyBorder="1" applyAlignment="1">
      <alignment horizontal="center" vertical="top" wrapText="1"/>
    </xf>
    <xf numFmtId="173" fontId="28" fillId="15" borderId="495" xfId="0" applyNumberFormat="1" applyFont="1" applyFill="1" applyBorder="1" applyAlignment="1">
      <alignment horizontal="center" vertical="top" wrapText="1"/>
    </xf>
    <xf numFmtId="40" fontId="33" fillId="15" borderId="483" xfId="0" applyNumberFormat="1" applyFont="1" applyFill="1" applyBorder="1" applyAlignment="1">
      <alignment vertical="top" wrapText="1"/>
    </xf>
    <xf numFmtId="40" fontId="33" fillId="15" borderId="495" xfId="0" applyNumberFormat="1" applyFont="1" applyFill="1" applyBorder="1" applyAlignment="1">
      <alignment vertical="top" wrapText="1"/>
    </xf>
    <xf numFmtId="40" fontId="28" fillId="15" borderId="496" xfId="0" applyNumberFormat="1" applyFont="1" applyFill="1" applyBorder="1" applyAlignment="1">
      <alignment vertical="top" wrapText="1"/>
    </xf>
    <xf numFmtId="0" fontId="5" fillId="15" borderId="486" xfId="0" applyFont="1" applyFill="1" applyBorder="1" applyAlignment="1">
      <alignment vertical="top" wrapText="1"/>
    </xf>
    <xf numFmtId="0" fontId="28" fillId="15" borderId="495" xfId="0" applyFont="1" applyFill="1" applyBorder="1" applyAlignment="1">
      <alignment horizontal="center" vertical="top" wrapText="1"/>
    </xf>
    <xf numFmtId="8" fontId="5" fillId="0" borderId="295" xfId="2" applyNumberFormat="1" applyFont="1" applyFill="1" applyBorder="1" applyAlignment="1" applyProtection="1">
      <alignment vertical="top" wrapText="1"/>
    </xf>
    <xf numFmtId="0" fontId="99" fillId="0" borderId="0" xfId="0" applyFont="1" applyAlignment="1">
      <alignment horizontal="right" vertical="center" wrapText="1"/>
    </xf>
    <xf numFmtId="0" fontId="0" fillId="0" borderId="0" xfId="0" applyAlignment="1">
      <alignment horizontal="right" vertical="center" wrapText="1"/>
    </xf>
    <xf numFmtId="0" fontId="33" fillId="0" borderId="264" xfId="0" applyFont="1" applyBorder="1" applyAlignment="1">
      <alignment horizontal="left" vertical="center" wrapText="1"/>
    </xf>
    <xf numFmtId="0" fontId="103" fillId="0" borderId="255" xfId="0" applyFont="1" applyBorder="1" applyAlignment="1">
      <alignment horizontal="left" vertical="center" wrapText="1"/>
    </xf>
    <xf numFmtId="0" fontId="103" fillId="0" borderId="225" xfId="0" applyFont="1" applyBorder="1" applyAlignment="1">
      <alignment horizontal="left" vertical="center" wrapText="1"/>
    </xf>
    <xf numFmtId="0" fontId="33" fillId="0" borderId="256" xfId="0" applyFont="1" applyBorder="1" applyAlignment="1">
      <alignment horizontal="left" vertical="center" wrapText="1"/>
    </xf>
    <xf numFmtId="0" fontId="103" fillId="0" borderId="172" xfId="0" applyFont="1" applyBorder="1" applyAlignment="1">
      <alignment horizontal="left" vertical="center" wrapText="1"/>
    </xf>
    <xf numFmtId="0" fontId="103" fillId="0" borderId="43" xfId="0" applyFont="1" applyBorder="1" applyAlignment="1">
      <alignment horizontal="left" vertical="center" wrapText="1"/>
    </xf>
    <xf numFmtId="0" fontId="99" fillId="0" borderId="264" xfId="0" applyFont="1" applyBorder="1" applyAlignment="1">
      <alignment vertical="center" wrapText="1"/>
    </xf>
    <xf numFmtId="0" fontId="0" fillId="0" borderId="255" xfId="0" applyBorder="1" applyAlignment="1">
      <alignment vertical="center" wrapText="1"/>
    </xf>
    <xf numFmtId="0" fontId="0" fillId="0" borderId="203" xfId="0" applyBorder="1" applyAlignment="1">
      <alignment vertical="center" wrapText="1"/>
    </xf>
    <xf numFmtId="0" fontId="102" fillId="0" borderId="264" xfId="0" applyFont="1" applyBorder="1" applyAlignment="1">
      <alignment horizontal="left" vertical="center" wrapText="1"/>
    </xf>
    <xf numFmtId="0" fontId="33" fillId="0" borderId="19" xfId="0" applyFont="1" applyBorder="1" applyAlignment="1">
      <alignment horizontal="left" vertical="center" wrapText="1"/>
    </xf>
    <xf numFmtId="0" fontId="103" fillId="0" borderId="11" xfId="0" applyFont="1" applyBorder="1" applyAlignment="1">
      <alignment horizontal="left" vertical="center" wrapText="1"/>
    </xf>
    <xf numFmtId="0" fontId="103" fillId="0" borderId="1" xfId="0" applyFont="1" applyBorder="1" applyAlignment="1">
      <alignment horizontal="left" vertical="center" wrapText="1"/>
    </xf>
    <xf numFmtId="0" fontId="103" fillId="0" borderId="255" xfId="0" applyFont="1" applyBorder="1" applyAlignment="1">
      <alignment vertical="center"/>
    </xf>
    <xf numFmtId="0" fontId="103" fillId="0" borderId="225" xfId="0" applyFont="1" applyBorder="1" applyAlignment="1">
      <alignment vertical="center"/>
    </xf>
    <xf numFmtId="0" fontId="33" fillId="0" borderId="12" xfId="0" applyFont="1" applyBorder="1" applyAlignment="1">
      <alignment horizontal="left" vertical="center" wrapText="1"/>
    </xf>
    <xf numFmtId="0" fontId="103" fillId="0" borderId="3" xfId="0" applyFont="1" applyBorder="1" applyAlignment="1">
      <alignment horizontal="left" vertical="center" wrapText="1"/>
    </xf>
    <xf numFmtId="0" fontId="103" fillId="0" borderId="17" xfId="0" applyFont="1" applyBorder="1" applyAlignment="1">
      <alignment horizontal="left" vertical="center" wrapText="1"/>
    </xf>
    <xf numFmtId="0" fontId="33" fillId="0" borderId="251" xfId="0" applyFont="1" applyBorder="1" applyAlignment="1">
      <alignment horizontal="left" vertical="center" wrapText="1"/>
    </xf>
    <xf numFmtId="0" fontId="0" fillId="0" borderId="251" xfId="0" applyBorder="1" applyAlignment="1">
      <alignment horizontal="left" vertical="center" wrapText="1"/>
    </xf>
    <xf numFmtId="0" fontId="0" fillId="0" borderId="260" xfId="0" applyBorder="1" applyAlignment="1">
      <alignment horizontal="left" vertical="center" wrapText="1"/>
    </xf>
    <xf numFmtId="0" fontId="33" fillId="0" borderId="240" xfId="0" applyFont="1" applyBorder="1" applyAlignment="1">
      <alignment horizontal="left" vertical="center" wrapText="1"/>
    </xf>
    <xf numFmtId="0" fontId="0" fillId="0" borderId="240" xfId="0" applyBorder="1" applyAlignment="1">
      <alignment horizontal="left" vertical="center" wrapText="1"/>
    </xf>
    <xf numFmtId="0" fontId="0" fillId="0" borderId="265" xfId="0" applyBorder="1" applyAlignment="1">
      <alignment horizontal="left" vertical="center" wrapText="1"/>
    </xf>
    <xf numFmtId="44" fontId="26" fillId="3" borderId="7" xfId="0" applyNumberFormat="1" applyFont="1" applyFill="1" applyBorder="1" applyAlignment="1">
      <alignment horizontal="center" vertical="top" wrapText="1"/>
    </xf>
    <xf numFmtId="44" fontId="25" fillId="3" borderId="7" xfId="0" applyNumberFormat="1" applyFont="1" applyFill="1" applyBorder="1" applyAlignment="1">
      <alignment vertical="top" wrapText="1"/>
    </xf>
    <xf numFmtId="44" fontId="25" fillId="3" borderId="18" xfId="0" applyNumberFormat="1" applyFont="1" applyFill="1" applyBorder="1" applyAlignment="1">
      <alignment vertical="top" wrapText="1"/>
    </xf>
    <xf numFmtId="0" fontId="6" fillId="2" borderId="21" xfId="0" applyFont="1" applyFill="1" applyBorder="1" applyAlignment="1">
      <alignment horizontal="center" vertical="top" wrapText="1"/>
    </xf>
    <xf numFmtId="0" fontId="7" fillId="2" borderId="24" xfId="0" applyFont="1" applyFill="1" applyBorder="1" applyAlignment="1">
      <alignment horizontal="center" vertical="top" wrapText="1"/>
    </xf>
    <xf numFmtId="0" fontId="26" fillId="6" borderId="21" xfId="0" applyFont="1" applyFill="1" applyBorder="1" applyAlignment="1">
      <alignment horizontal="center" vertical="top" wrapText="1"/>
    </xf>
    <xf numFmtId="0" fontId="25" fillId="6" borderId="24" xfId="0" applyFont="1" applyFill="1" applyBorder="1" applyAlignment="1">
      <alignment horizontal="center" vertical="top" wrapText="1"/>
    </xf>
    <xf numFmtId="0" fontId="26" fillId="6" borderId="24" xfId="0" applyFont="1" applyFill="1" applyBorder="1" applyAlignment="1">
      <alignment horizontal="center" vertical="top" wrapText="1"/>
    </xf>
    <xf numFmtId="0" fontId="26" fillId="10" borderId="21" xfId="0" applyFont="1" applyFill="1" applyBorder="1" applyAlignment="1">
      <alignment horizontal="center" vertical="top" wrapText="1"/>
    </xf>
    <xf numFmtId="0" fontId="25" fillId="10" borderId="24" xfId="0" applyFont="1" applyFill="1" applyBorder="1" applyAlignment="1">
      <alignment horizontal="center" vertical="top" wrapText="1"/>
    </xf>
    <xf numFmtId="44" fontId="6" fillId="2" borderId="25" xfId="2" applyFont="1" applyFill="1" applyBorder="1" applyAlignment="1" applyProtection="1">
      <alignment horizontal="center" vertical="top" wrapText="1"/>
    </xf>
    <xf numFmtId="44" fontId="7" fillId="2" borderId="7" xfId="2" applyFont="1" applyFill="1" applyBorder="1" applyAlignment="1" applyProtection="1">
      <alignment vertical="top" wrapText="1"/>
    </xf>
    <xf numFmtId="44" fontId="7" fillId="2" borderId="18" xfId="2" applyFont="1" applyFill="1" applyBorder="1" applyAlignment="1" applyProtection="1">
      <alignment vertical="top" wrapText="1"/>
    </xf>
    <xf numFmtId="0" fontId="6" fillId="2" borderId="13" xfId="0" applyFont="1" applyFill="1" applyBorder="1" applyAlignment="1">
      <alignment horizontal="center" vertical="top" wrapText="1"/>
    </xf>
    <xf numFmtId="0" fontId="7" fillId="2" borderId="14" xfId="0" applyFont="1" applyFill="1" applyBorder="1" applyAlignment="1">
      <alignment vertical="top" wrapText="1"/>
    </xf>
    <xf numFmtId="0" fontId="7" fillId="2" borderId="20" xfId="0" applyFont="1" applyFill="1" applyBorder="1" applyAlignment="1">
      <alignment vertical="top" wrapText="1"/>
    </xf>
    <xf numFmtId="0" fontId="7" fillId="2" borderId="15" xfId="0" applyFont="1" applyFill="1" applyBorder="1" applyAlignment="1">
      <alignment vertical="top" wrapText="1"/>
    </xf>
    <xf numFmtId="0" fontId="6" fillId="10" borderId="21" xfId="0" applyFont="1" applyFill="1" applyBorder="1" applyAlignment="1">
      <alignment horizontal="center" vertical="top" wrapText="1"/>
    </xf>
    <xf numFmtId="0" fontId="7" fillId="10" borderId="24" xfId="0" applyFont="1" applyFill="1" applyBorder="1" applyAlignment="1">
      <alignment horizontal="center" vertical="top" wrapText="1"/>
    </xf>
    <xf numFmtId="0" fontId="6" fillId="2" borderId="24" xfId="0" applyFont="1" applyFill="1" applyBorder="1" applyAlignment="1">
      <alignment horizontal="center" vertical="top" wrapText="1"/>
    </xf>
    <xf numFmtId="0" fontId="20" fillId="13" borderId="54" xfId="0" applyFont="1" applyFill="1" applyBorder="1" applyAlignment="1">
      <alignment horizontal="left" vertical="top" wrapText="1"/>
    </xf>
    <xf numFmtId="0" fontId="71" fillId="13" borderId="55" xfId="0" applyFont="1" applyFill="1" applyBorder="1" applyAlignment="1">
      <alignment wrapText="1"/>
    </xf>
    <xf numFmtId="0" fontId="71" fillId="13" borderId="56" xfId="0" applyFont="1" applyFill="1" applyBorder="1" applyAlignment="1">
      <alignment wrapText="1"/>
    </xf>
    <xf numFmtId="0" fontId="93" fillId="22" borderId="4" xfId="0" applyFont="1" applyFill="1" applyBorder="1" applyAlignment="1">
      <alignment vertical="center" wrapText="1"/>
    </xf>
    <xf numFmtId="0" fontId="5" fillId="22" borderId="0" xfId="0" applyFont="1" applyFill="1" applyAlignment="1">
      <alignment vertical="center"/>
    </xf>
    <xf numFmtId="0" fontId="5" fillId="0" borderId="9" xfId="0" applyFont="1" applyBorder="1"/>
    <xf numFmtId="0" fontId="5" fillId="22" borderId="4" xfId="0" applyFont="1" applyFill="1" applyBorder="1" applyAlignment="1">
      <alignment vertical="center"/>
    </xf>
    <xf numFmtId="0" fontId="95" fillId="20" borderId="54" xfId="0" applyFont="1" applyFill="1" applyBorder="1" applyAlignment="1">
      <alignment horizontal="left" vertical="top" wrapText="1"/>
    </xf>
    <xf numFmtId="0" fontId="96" fillId="20" borderId="55" xfId="0" applyFont="1" applyFill="1" applyBorder="1" applyAlignment="1">
      <alignment wrapText="1"/>
    </xf>
    <xf numFmtId="0" fontId="96" fillId="20" borderId="56" xfId="0" applyFont="1" applyFill="1" applyBorder="1" applyAlignment="1">
      <alignment wrapText="1"/>
    </xf>
    <xf numFmtId="0" fontId="80" fillId="13" borderId="54" xfId="0" applyFont="1" applyFill="1" applyBorder="1" applyAlignment="1">
      <alignment horizontal="left" vertical="top" wrapText="1"/>
    </xf>
    <xf numFmtId="0" fontId="81" fillId="13" borderId="55" xfId="0" applyFont="1" applyFill="1" applyBorder="1" applyAlignment="1">
      <alignment wrapText="1"/>
    </xf>
    <xf numFmtId="0" fontId="81" fillId="13" borderId="56" xfId="0" applyFont="1" applyFill="1" applyBorder="1" applyAlignment="1">
      <alignment wrapText="1"/>
    </xf>
    <xf numFmtId="40" fontId="50" fillId="12" borderId="90" xfId="0" applyNumberFormat="1" applyFont="1" applyFill="1" applyBorder="1" applyAlignment="1">
      <alignment vertical="top"/>
    </xf>
    <xf numFmtId="0" fontId="0" fillId="0" borderId="133" xfId="0" applyBorder="1" applyAlignment="1">
      <alignment vertical="top"/>
    </xf>
    <xf numFmtId="4" fontId="52" fillId="10" borderId="20" xfId="0" applyNumberFormat="1" applyFont="1" applyFill="1" applyBorder="1" applyAlignment="1">
      <alignment horizontal="left" vertical="top"/>
    </xf>
    <xf numFmtId="0" fontId="51" fillId="0" borderId="28" xfId="0" applyFont="1" applyBorder="1" applyAlignment="1">
      <alignment horizontal="left" vertical="top"/>
    </xf>
    <xf numFmtId="0" fontId="51" fillId="0" borderId="15" xfId="0" applyFont="1" applyBorder="1" applyAlignment="1">
      <alignment horizontal="left" vertical="top"/>
    </xf>
    <xf numFmtId="0" fontId="7" fillId="0" borderId="14" xfId="0" applyFont="1" applyBorder="1" applyAlignment="1">
      <alignment vertical="top" wrapText="1"/>
    </xf>
    <xf numFmtId="0" fontId="7" fillId="0" borderId="20" xfId="0" applyFont="1" applyBorder="1" applyAlignment="1">
      <alignment vertical="top" wrapText="1"/>
    </xf>
    <xf numFmtId="0" fontId="7" fillId="0" borderId="15" xfId="0" applyFont="1" applyBorder="1" applyAlignment="1">
      <alignment vertical="top" wrapText="1"/>
    </xf>
    <xf numFmtId="44" fontId="7" fillId="0" borderId="7" xfId="2" applyFont="1" applyBorder="1" applyAlignment="1" applyProtection="1">
      <alignment vertical="top" wrapText="1"/>
    </xf>
    <xf numFmtId="44" fontId="7" fillId="0" borderId="18" xfId="2" applyFont="1" applyBorder="1" applyAlignment="1" applyProtection="1">
      <alignment vertical="top" wrapText="1"/>
    </xf>
    <xf numFmtId="44" fontId="10" fillId="3" borderId="25" xfId="0" applyNumberFormat="1" applyFont="1" applyFill="1" applyBorder="1" applyAlignment="1">
      <alignment horizontal="center" vertical="top" wrapText="1"/>
    </xf>
    <xf numFmtId="44" fontId="11" fillId="3" borderId="7" xfId="0" applyNumberFormat="1" applyFont="1" applyFill="1" applyBorder="1" applyAlignment="1">
      <alignment vertical="top" wrapText="1"/>
    </xf>
    <xf numFmtId="44" fontId="11" fillId="3" borderId="18" xfId="0" applyNumberFormat="1" applyFont="1" applyFill="1" applyBorder="1" applyAlignment="1">
      <alignment vertical="top" wrapText="1"/>
    </xf>
    <xf numFmtId="4" fontId="52" fillId="8" borderId="5" xfId="0" applyNumberFormat="1" applyFont="1" applyFill="1" applyBorder="1" applyAlignment="1">
      <alignment vertical="top" wrapText="1"/>
    </xf>
    <xf numFmtId="0" fontId="52" fillId="8" borderId="11" xfId="0" applyFont="1" applyFill="1" applyBorder="1" applyAlignment="1">
      <alignment vertical="top" wrapText="1"/>
    </xf>
    <xf numFmtId="0" fontId="52" fillId="8" borderId="1" xfId="0" applyFont="1" applyFill="1" applyBorder="1" applyAlignment="1">
      <alignment vertical="top" wrapText="1"/>
    </xf>
    <xf numFmtId="0" fontId="50" fillId="12" borderId="5" xfId="0" applyFont="1" applyFill="1" applyBorder="1" applyAlignment="1">
      <alignment vertical="top" wrapText="1"/>
    </xf>
    <xf numFmtId="0" fontId="51" fillId="12" borderId="11" xfId="0" applyFont="1" applyFill="1" applyBorder="1" applyAlignment="1">
      <alignment vertical="top" wrapText="1"/>
    </xf>
    <xf numFmtId="0" fontId="51" fillId="12" borderId="1" xfId="0" applyFont="1" applyFill="1" applyBorder="1" applyAlignment="1">
      <alignment vertical="top" wrapText="1"/>
    </xf>
  </cellXfs>
  <cellStyles count="13">
    <cellStyle name="Comma" xfId="1" builtinId="3"/>
    <cellStyle name="Currency" xfId="2" builtinId="4"/>
    <cellStyle name="Currency 2" xfId="6" xr:uid="{00000000-0005-0000-0000-000002000000}"/>
    <cellStyle name="Currency 3" xfId="10" xr:uid="{00000000-0005-0000-0000-000003000000}"/>
    <cellStyle name="Hyperlink" xfId="12" builtinId="8"/>
    <cellStyle name="Normal" xfId="0" builtinId="0"/>
    <cellStyle name="Normal 2" xfId="3" xr:uid="{00000000-0005-0000-0000-000006000000}"/>
    <cellStyle name="Normal 2 2" xfId="8" xr:uid="{00000000-0005-0000-0000-000007000000}"/>
    <cellStyle name="Normal 3" xfId="4" xr:uid="{00000000-0005-0000-0000-000008000000}"/>
    <cellStyle name="Normal 4" xfId="5" xr:uid="{00000000-0005-0000-0000-000009000000}"/>
    <cellStyle name="Percent" xfId="11" builtinId="5"/>
    <cellStyle name="Percent 2" xfId="7" xr:uid="{00000000-0005-0000-0000-00000B000000}"/>
    <cellStyle name="Percent 3" xfId="9" xr:uid="{00000000-0005-0000-0000-00000C000000}"/>
  </cellStyles>
  <dxfs count="0"/>
  <tableStyles count="0" defaultTableStyle="TableStyleMedium2" defaultPivotStyle="PivotStyleLight16"/>
  <colors>
    <mruColors>
      <color rgb="FFCCFFCC"/>
      <color rgb="FFFFCCFF"/>
      <color rgb="FF0000FF"/>
      <color rgb="FF00FF00"/>
      <color rgb="FF99FF99"/>
      <color rgb="FFFF66CC"/>
      <color rgb="FFFF99FF"/>
      <color rgb="FFFFCC66"/>
      <color rgb="FFFF99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c@noosa.qld.gov.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7"/>
  <sheetViews>
    <sheetView tabSelected="1" zoomScaleNormal="100" workbookViewId="0">
      <selection activeCell="D4" sqref="D4"/>
    </sheetView>
  </sheetViews>
  <sheetFormatPr defaultRowHeight="12.75"/>
  <cols>
    <col min="1" max="1" width="48.85546875" customWidth="1"/>
    <col min="2" max="2" width="85" customWidth="1"/>
    <col min="3" max="3" width="27.28515625" bestFit="1" customWidth="1"/>
    <col min="4" max="4" width="20.140625" bestFit="1" customWidth="1"/>
  </cols>
  <sheetData>
    <row r="1" spans="1:4" ht="18">
      <c r="A1" s="4147" t="s">
        <v>7335</v>
      </c>
      <c r="B1" s="4148"/>
      <c r="C1" s="4150" t="s">
        <v>7366</v>
      </c>
      <c r="D1" s="4163">
        <v>22483097</v>
      </c>
    </row>
    <row r="2" spans="1:4" ht="18">
      <c r="A2" s="4147"/>
      <c r="B2" s="4148"/>
      <c r="C2" s="4150" t="s">
        <v>7364</v>
      </c>
      <c r="D2" s="4163" t="s">
        <v>12538</v>
      </c>
    </row>
    <row r="3" spans="1:4" ht="15">
      <c r="A3" s="4149"/>
      <c r="B3" s="4151"/>
      <c r="C3" s="4150" t="s">
        <v>7365</v>
      </c>
      <c r="D3" s="4164">
        <v>45474</v>
      </c>
    </row>
    <row r="4" spans="1:4" ht="14.25">
      <c r="A4" s="4149"/>
    </row>
    <row r="5" spans="1:4" ht="15">
      <c r="A5" s="4149"/>
      <c r="B5" s="4151"/>
      <c r="C5" s="4152"/>
      <c r="D5" s="4152"/>
    </row>
    <row r="6" spans="1:4" ht="30" customHeight="1">
      <c r="A6" s="6627" t="s">
        <v>7336</v>
      </c>
      <c r="B6" s="6625"/>
      <c r="C6" s="6625"/>
      <c r="D6" s="6626"/>
    </row>
    <row r="7" spans="1:4" ht="15" customHeight="1">
      <c r="A7" s="4153"/>
      <c r="B7" s="4154"/>
      <c r="C7" s="4155"/>
      <c r="D7" s="4155"/>
    </row>
    <row r="8" spans="1:4" ht="15.75">
      <c r="A8" s="4170" t="s">
        <v>7337</v>
      </c>
      <c r="B8" s="4154"/>
      <c r="C8" s="4155"/>
      <c r="D8" s="4155"/>
    </row>
    <row r="9" spans="1:4" ht="15.75" thickBot="1">
      <c r="A9" s="4156" t="s">
        <v>7338</v>
      </c>
      <c r="B9" s="4154"/>
      <c r="C9" s="4155"/>
      <c r="D9" s="4155"/>
    </row>
    <row r="10" spans="1:4" ht="54.95" customHeight="1">
      <c r="A10" s="4171" t="s">
        <v>7391</v>
      </c>
      <c r="B10" s="6628" t="s">
        <v>7339</v>
      </c>
      <c r="C10" s="6629"/>
      <c r="D10" s="6630"/>
    </row>
    <row r="11" spans="1:4" ht="27.95" customHeight="1">
      <c r="A11" s="4172" t="s">
        <v>7392</v>
      </c>
      <c r="B11" s="6618" t="s">
        <v>7356</v>
      </c>
      <c r="C11" s="6631"/>
      <c r="D11" s="6632"/>
    </row>
    <row r="12" spans="1:4" ht="27.95" customHeight="1" thickBot="1">
      <c r="A12" s="4173" t="s">
        <v>7393</v>
      </c>
      <c r="B12" s="6633" t="s">
        <v>7340</v>
      </c>
      <c r="C12" s="6634"/>
      <c r="D12" s="6635"/>
    </row>
    <row r="13" spans="1:4" ht="15" customHeight="1">
      <c r="A13" s="4153"/>
      <c r="B13" s="4154"/>
      <c r="C13" s="4155"/>
      <c r="D13" s="4155"/>
    </row>
    <row r="14" spans="1:4" ht="15.75" thickBot="1">
      <c r="A14" s="4156" t="s">
        <v>7355</v>
      </c>
      <c r="B14" s="4154"/>
      <c r="C14" s="4155"/>
      <c r="D14" s="4155"/>
    </row>
    <row r="15" spans="1:4" ht="27.95" customHeight="1">
      <c r="A15" s="4165" t="s">
        <v>7341</v>
      </c>
      <c r="B15" s="6628" t="s">
        <v>7412</v>
      </c>
      <c r="C15" s="6629"/>
      <c r="D15" s="6630"/>
    </row>
    <row r="16" spans="1:4" ht="27.95" customHeight="1">
      <c r="A16" s="4166" t="s">
        <v>7342</v>
      </c>
      <c r="B16" s="6618" t="s">
        <v>7343</v>
      </c>
      <c r="C16" s="6619"/>
      <c r="D16" s="6620"/>
    </row>
    <row r="17" spans="1:4" ht="27.95" customHeight="1">
      <c r="A17" s="4166" t="s">
        <v>7344</v>
      </c>
      <c r="B17" s="6618" t="s">
        <v>7413</v>
      </c>
      <c r="C17" s="6619"/>
      <c r="D17" s="6620"/>
    </row>
    <row r="18" spans="1:4" ht="27.95" customHeight="1">
      <c r="A18" s="4167" t="s">
        <v>7345</v>
      </c>
      <c r="B18" s="6621" t="s">
        <v>7346</v>
      </c>
      <c r="C18" s="6622"/>
      <c r="D18" s="6623"/>
    </row>
    <row r="19" spans="1:4" ht="27.95" customHeight="1">
      <c r="A19" s="4168" t="s">
        <v>7352</v>
      </c>
      <c r="B19" s="6636" t="s">
        <v>7414</v>
      </c>
      <c r="C19" s="6637"/>
      <c r="D19" s="6638"/>
    </row>
    <row r="20" spans="1:4" ht="27.95" customHeight="1" thickBot="1">
      <c r="A20" s="4169" t="s">
        <v>7353</v>
      </c>
      <c r="B20" s="6639" t="s">
        <v>7354</v>
      </c>
      <c r="C20" s="6640"/>
      <c r="D20" s="6641"/>
    </row>
    <row r="21" spans="1:4" ht="15">
      <c r="A21" s="4149"/>
      <c r="B21" s="4151"/>
      <c r="C21" s="4152"/>
      <c r="D21" s="4152"/>
    </row>
    <row r="22" spans="1:4" ht="30" customHeight="1">
      <c r="A22" s="6624" t="s">
        <v>7394</v>
      </c>
      <c r="B22" s="6625"/>
      <c r="C22" s="6625"/>
      <c r="D22" s="6626"/>
    </row>
    <row r="23" spans="1:4" ht="15">
      <c r="A23" s="4149"/>
      <c r="B23" s="4151"/>
      <c r="C23" s="4152"/>
      <c r="D23" s="4159"/>
    </row>
    <row r="24" spans="1:4" ht="15">
      <c r="A24" s="6616" t="s">
        <v>7347</v>
      </c>
      <c r="B24" s="6617"/>
      <c r="C24" s="4157" t="s">
        <v>7348</v>
      </c>
      <c r="D24" s="4158" t="s">
        <v>7349</v>
      </c>
    </row>
    <row r="25" spans="1:4" ht="14.25">
      <c r="A25" s="4159"/>
      <c r="B25" s="4160"/>
      <c r="C25" s="4157" t="s">
        <v>7395</v>
      </c>
      <c r="D25" s="4161" t="s">
        <v>7350</v>
      </c>
    </row>
    <row r="26" spans="1:4" ht="14.25">
      <c r="A26" s="4159"/>
      <c r="B26" s="4162"/>
      <c r="C26" s="4149"/>
      <c r="D26" s="4161" t="s">
        <v>7351</v>
      </c>
    </row>
    <row r="27" spans="1:4" ht="15">
      <c r="A27" s="4149"/>
      <c r="B27" s="4151"/>
      <c r="C27" s="4152"/>
      <c r="D27" s="4152"/>
    </row>
  </sheetData>
  <sheetProtection sheet="1" objects="1" scenarios="1"/>
  <mergeCells count="12">
    <mergeCell ref="A24:B24"/>
    <mergeCell ref="B17:D17"/>
    <mergeCell ref="B18:D18"/>
    <mergeCell ref="A22:D22"/>
    <mergeCell ref="A6:D6"/>
    <mergeCell ref="B10:D10"/>
    <mergeCell ref="B11:D11"/>
    <mergeCell ref="B12:D12"/>
    <mergeCell ref="B15:D15"/>
    <mergeCell ref="B16:D16"/>
    <mergeCell ref="B19:D19"/>
    <mergeCell ref="B20:D20"/>
  </mergeCells>
  <hyperlinks>
    <hyperlink ref="D24" r:id="rId1" display="mailto:ic@noosa.qld.gov.au"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32"/>
  <sheetViews>
    <sheetView zoomScaleNormal="100" workbookViewId="0">
      <pane xSplit="4" ySplit="6" topLeftCell="E31" activePane="bottomRight" state="frozen"/>
      <selection pane="topRight" activeCell="E1" sqref="E1"/>
      <selection pane="bottomLeft" activeCell="A7" sqref="A7"/>
      <selection pane="bottomRight" activeCell="B33" sqref="B33"/>
    </sheetView>
  </sheetViews>
  <sheetFormatPr defaultColWidth="9.140625" defaultRowHeight="11.25"/>
  <cols>
    <col min="1" max="1" width="22.28515625" style="27" customWidth="1"/>
    <col min="2" max="2" width="18.28515625" style="49" customWidth="1"/>
    <col min="3" max="3" width="14" style="50" customWidth="1"/>
    <col min="4" max="4" width="13.140625" style="79" customWidth="1"/>
    <col min="5" max="5" width="15" style="13" customWidth="1"/>
    <col min="6" max="6" width="14.5703125" style="14" customWidth="1"/>
    <col min="7" max="7" width="14.7109375" style="13" customWidth="1"/>
    <col min="8" max="8" width="14.140625" style="14" customWidth="1"/>
    <col min="9" max="9" width="17.28515625" style="13" customWidth="1"/>
    <col min="10" max="10" width="19.42578125" style="29" customWidth="1"/>
    <col min="11" max="11" width="16.140625" style="95" customWidth="1"/>
    <col min="12" max="12" width="14.28515625" style="96" customWidth="1"/>
    <col min="13" max="13" width="12.7109375" style="112" customWidth="1"/>
    <col min="14" max="14" width="15.5703125" style="113" customWidth="1"/>
    <col min="15" max="15" width="10.5703125" style="95" customWidth="1"/>
    <col min="16" max="16" width="14.28515625" style="97" customWidth="1"/>
    <col min="17" max="17" width="10.42578125" style="95" bestFit="1" customWidth="1"/>
    <col min="18" max="18" width="14.85546875" style="96" bestFit="1" customWidth="1"/>
    <col min="19" max="19" width="13.7109375" style="95" customWidth="1"/>
    <col min="20" max="20" width="15" style="193" customWidth="1"/>
    <col min="21" max="21" width="10.5703125" style="95" customWidth="1"/>
    <col min="22" max="22" width="14.7109375" style="97" customWidth="1"/>
    <col min="23" max="23" width="10.5703125" style="95" customWidth="1"/>
    <col min="24" max="24" width="14.140625" style="96" customWidth="1"/>
    <col min="25" max="25" width="11.7109375" style="95" bestFit="1" customWidth="1"/>
    <col min="26" max="26" width="14.85546875" style="96" bestFit="1" customWidth="1"/>
    <col min="27" max="27" width="12" style="95" bestFit="1" customWidth="1"/>
    <col min="28" max="28" width="14.85546875" style="98" customWidth="1"/>
    <col min="29" max="29" width="14.42578125" style="58" customWidth="1"/>
    <col min="30" max="30" width="19.85546875" style="159" customWidth="1"/>
    <col min="31" max="31" width="14" style="151" customWidth="1"/>
    <col min="32" max="32" width="10.85546875" style="152" bestFit="1" customWidth="1"/>
    <col min="33" max="33" width="17" style="257" customWidth="1"/>
    <col min="34" max="34" width="13.28515625" style="258" customWidth="1"/>
    <col min="35" max="35" width="17" style="259" bestFit="1" customWidth="1"/>
    <col min="36" max="36" width="12" style="260" bestFit="1" customWidth="1"/>
    <col min="37" max="37" width="14.85546875" style="218" bestFit="1" customWidth="1"/>
    <col min="38" max="38" width="12.7109375" style="217" bestFit="1" customWidth="1"/>
    <col min="39" max="39" width="19.28515625" style="218" customWidth="1"/>
    <col min="40" max="40" width="9.7109375" style="219" bestFit="1" customWidth="1"/>
    <col min="41" max="41" width="14.85546875" style="218" bestFit="1" customWidth="1"/>
    <col min="42" max="42" width="12.42578125" style="219" customWidth="1"/>
    <col min="43" max="43" width="14.85546875" style="218" bestFit="1" customWidth="1"/>
    <col min="44" max="44" width="11.7109375" style="219" bestFit="1" customWidth="1"/>
    <col min="45" max="45" width="14.85546875" style="218" bestFit="1" customWidth="1"/>
    <col min="46" max="46" width="10.5703125" style="219" bestFit="1" customWidth="1"/>
    <col min="47" max="47" width="14.85546875" style="218" bestFit="1" customWidth="1"/>
    <col min="48" max="48" width="10.42578125" style="219" bestFit="1" customWidth="1"/>
    <col min="49" max="49" width="14.85546875" style="218" bestFit="1" customWidth="1"/>
    <col min="50" max="50" width="14.85546875" style="219" bestFit="1" customWidth="1"/>
    <col min="51" max="51" width="14.85546875" style="218" bestFit="1" customWidth="1"/>
    <col min="52" max="52" width="10.42578125" style="219" bestFit="1" customWidth="1"/>
    <col min="53" max="53" width="14.85546875" style="261" bestFit="1" customWidth="1"/>
    <col min="54" max="54" width="13.5703125" style="264" bestFit="1" customWidth="1"/>
    <col min="55" max="55" width="12.42578125" style="230" bestFit="1" customWidth="1"/>
    <col min="56" max="16384" width="9.140625" style="55"/>
  </cols>
  <sheetData>
    <row r="1" spans="1:77" ht="12.75">
      <c r="A1" s="69" t="s">
        <v>518</v>
      </c>
      <c r="B1" s="136" t="s">
        <v>178</v>
      </c>
      <c r="C1" s="132" t="s">
        <v>1255</v>
      </c>
      <c r="D1" s="133"/>
      <c r="E1" s="134"/>
      <c r="F1" s="100"/>
      <c r="G1" s="47"/>
      <c r="H1" s="47"/>
      <c r="I1" s="47"/>
      <c r="J1" s="180" t="s">
        <v>772</v>
      </c>
      <c r="K1" s="181"/>
      <c r="L1" s="182">
        <f>SUM(K:K)</f>
        <v>198225</v>
      </c>
      <c r="M1" s="183"/>
      <c r="N1" s="184">
        <f>SUM(M:M)</f>
        <v>789170</v>
      </c>
      <c r="O1" s="185"/>
      <c r="P1" s="184">
        <f>SUM(O:O)</f>
        <v>1782</v>
      </c>
      <c r="Q1" s="185"/>
      <c r="R1" s="184">
        <f>SUM(Q:Q)</f>
        <v>454824</v>
      </c>
      <c r="S1" s="1291"/>
      <c r="T1" s="1292">
        <f>SUM(S:S)</f>
        <v>597648</v>
      </c>
      <c r="U1" s="1291"/>
      <c r="V1" s="1293">
        <f>SUM(U:U)</f>
        <v>103320</v>
      </c>
      <c r="W1" s="185"/>
      <c r="X1" s="184">
        <f>SUM(W:W)</f>
        <v>127475</v>
      </c>
      <c r="Y1" s="185"/>
      <c r="Z1" s="184">
        <f>SUM(Y:Y)</f>
        <v>306229</v>
      </c>
      <c r="AA1" s="185"/>
      <c r="AB1" s="187">
        <f>SUM(AA:AA)</f>
        <v>199355</v>
      </c>
      <c r="AC1" s="188" t="s">
        <v>940</v>
      </c>
      <c r="AD1" s="189">
        <f>SUM(AB1,Z1,X1,R1,P1,N1,L1)</f>
        <v>2077060</v>
      </c>
      <c r="AE1" s="1294">
        <f>SUM(T1,V1)</f>
        <v>700968</v>
      </c>
      <c r="AF1" s="162"/>
      <c r="AG1" s="220"/>
      <c r="AH1" s="221"/>
      <c r="AI1" s="222" t="s">
        <v>1414</v>
      </c>
      <c r="AJ1" s="223"/>
      <c r="AK1" s="225">
        <f>SUM(AJ:AJ)</f>
        <v>0</v>
      </c>
      <c r="AL1" s="224"/>
      <c r="AM1" s="225">
        <f>SUM(AL:AL)</f>
        <v>0</v>
      </c>
      <c r="AN1" s="226"/>
      <c r="AO1" s="225">
        <f>SUM(AN:AN)</f>
        <v>0</v>
      </c>
      <c r="AP1" s="226"/>
      <c r="AQ1" s="225">
        <f>SUM(AP:AP)</f>
        <v>0</v>
      </c>
      <c r="AR1" s="226"/>
      <c r="AS1" s="227">
        <f>SUM(AR:AR)</f>
        <v>0</v>
      </c>
      <c r="AT1" s="226"/>
      <c r="AU1" s="227">
        <f>SUM(AT:AT)</f>
        <v>0</v>
      </c>
      <c r="AV1" s="226"/>
      <c r="AW1" s="225">
        <f>SUM(AV:AV)</f>
        <v>0</v>
      </c>
      <c r="AX1" s="226"/>
      <c r="AY1" s="225">
        <f>SUM(AX:AX)</f>
        <v>0</v>
      </c>
      <c r="AZ1" s="226"/>
      <c r="BA1" s="228">
        <f>SUM(AZ:AZ)</f>
        <v>0</v>
      </c>
      <c r="BB1" s="229" t="s">
        <v>1415</v>
      </c>
      <c r="BC1" s="484">
        <f>AK1+AM1+AO1+AQ1+AS1+AU1+AW1+AY1+BA1</f>
        <v>0</v>
      </c>
    </row>
    <row r="2" spans="1:77" ht="67.5">
      <c r="A2" s="70" t="s">
        <v>271</v>
      </c>
      <c r="B2" s="137" t="s">
        <v>517</v>
      </c>
      <c r="C2" s="50" t="s">
        <v>440</v>
      </c>
      <c r="D2" s="173" t="s">
        <v>1103</v>
      </c>
      <c r="E2" s="21"/>
      <c r="F2" s="68"/>
      <c r="G2" s="21"/>
      <c r="H2" s="22"/>
      <c r="I2" s="150"/>
      <c r="J2" s="66"/>
      <c r="K2" s="85"/>
      <c r="L2" s="168"/>
      <c r="M2" s="110"/>
      <c r="N2" s="16"/>
      <c r="O2" s="15"/>
      <c r="P2" s="16"/>
      <c r="Q2" s="15"/>
      <c r="R2" s="16"/>
      <c r="S2" s="15"/>
      <c r="T2" s="31"/>
      <c r="U2" s="15"/>
      <c r="V2" s="16"/>
      <c r="W2" s="15"/>
      <c r="X2" s="16"/>
      <c r="Y2" s="15"/>
      <c r="Z2" s="16"/>
      <c r="AA2" s="15"/>
      <c r="AB2" s="17"/>
      <c r="AC2" s="160" t="s">
        <v>828</v>
      </c>
      <c r="AD2" s="163">
        <f>SUM(AC:AC)-AD1-AE1</f>
        <v>0</v>
      </c>
      <c r="AE2" s="144"/>
      <c r="AF2" s="153"/>
      <c r="AG2" s="230"/>
      <c r="AH2" s="231"/>
      <c r="AI2" s="216"/>
      <c r="AJ2" s="232"/>
      <c r="AK2" s="233"/>
      <c r="AM2" s="231"/>
      <c r="AN2" s="234"/>
      <c r="AO2" s="235"/>
      <c r="AP2" s="234"/>
      <c r="AQ2" s="235"/>
      <c r="AR2" s="234"/>
      <c r="AS2" s="235"/>
      <c r="AT2" s="234"/>
      <c r="AU2" s="235"/>
      <c r="AV2" s="234"/>
      <c r="AW2" s="235"/>
      <c r="AX2" s="234"/>
      <c r="AY2" s="235"/>
      <c r="AZ2" s="234"/>
      <c r="BA2" s="235"/>
      <c r="BB2" s="236" t="s">
        <v>1790</v>
      </c>
      <c r="BC2" s="492">
        <f>SUM(BB$9:BB$1048576)-BC1</f>
        <v>0</v>
      </c>
    </row>
    <row r="3" spans="1:77" ht="12" thickBot="1">
      <c r="A3" s="71"/>
      <c r="B3" s="138"/>
      <c r="C3" s="50" t="s">
        <v>1256</v>
      </c>
      <c r="D3" s="172">
        <f>COUNTA(C:C)-COUNTA(C1:C6)-1</f>
        <v>25</v>
      </c>
      <c r="E3" s="175"/>
      <c r="F3" s="101"/>
      <c r="G3" s="22"/>
      <c r="H3" s="22"/>
      <c r="I3" s="22"/>
      <c r="J3" s="170"/>
      <c r="K3" s="84"/>
      <c r="L3" s="171">
        <f>COUNTA(K$9:K$1048576)</f>
        <v>7</v>
      </c>
      <c r="M3" s="8"/>
      <c r="N3" s="171">
        <f>COUNTA(M$9:M$1048576)</f>
        <v>10</v>
      </c>
      <c r="O3" s="8"/>
      <c r="P3" s="171">
        <f>COUNTA(O$9:O$1048576)</f>
        <v>1</v>
      </c>
      <c r="Q3" s="8"/>
      <c r="R3" s="171">
        <f>COUNTA(Q$9:Q$1048576)</f>
        <v>6</v>
      </c>
      <c r="S3" s="8"/>
      <c r="T3" s="171">
        <f>COUNTA(S$9:S$1048576)</f>
        <v>4</v>
      </c>
      <c r="U3" s="8"/>
      <c r="V3" s="171">
        <f>COUNTA(U$9:U$1048576)</f>
        <v>3</v>
      </c>
      <c r="W3" s="8"/>
      <c r="X3" s="171">
        <f>COUNTA(W$9:W$1048576)</f>
        <v>4</v>
      </c>
      <c r="Y3" s="8"/>
      <c r="Z3" s="171">
        <f>COUNTA(Y$9:Y$1048576)</f>
        <v>11</v>
      </c>
      <c r="AA3" s="8"/>
      <c r="AB3" s="171">
        <f>COUNTA(AA$9:AA$1048576)</f>
        <v>2</v>
      </c>
      <c r="AC3" s="161"/>
      <c r="AD3" s="174"/>
      <c r="AE3" s="145"/>
      <c r="AF3" s="143"/>
      <c r="AG3" s="220"/>
      <c r="AH3" s="237"/>
      <c r="AI3" s="238"/>
      <c r="AJ3" s="239"/>
      <c r="AK3" s="493">
        <f>COUNTA(AJ$9:AJ$1048576)</f>
        <v>0</v>
      </c>
      <c r="AL3" s="489"/>
      <c r="AM3" s="493">
        <f>COUNTA(AL$9:AL$1048576)</f>
        <v>0</v>
      </c>
      <c r="AN3" s="489"/>
      <c r="AO3" s="488">
        <f>COUNTA(AN$9:AN$1048576)</f>
        <v>0</v>
      </c>
      <c r="AP3" s="490"/>
      <c r="AQ3" s="488">
        <f>COUNTA(AP$9:AP$1048576)</f>
        <v>0</v>
      </c>
      <c r="AR3" s="490"/>
      <c r="AS3" s="488">
        <f>COUNTA(AR$9:AR$1048576)</f>
        <v>0</v>
      </c>
      <c r="AT3" s="490"/>
      <c r="AU3" s="488">
        <f>COUNTA(AT$9:AT$1048576)</f>
        <v>0</v>
      </c>
      <c r="AV3" s="490"/>
      <c r="AW3" s="488">
        <f>COUNTA(AV$9:AV$1048576)</f>
        <v>0</v>
      </c>
      <c r="AX3" s="490"/>
      <c r="AY3" s="488">
        <f>COUNTA(AX$9:AX$1048576)</f>
        <v>0</v>
      </c>
      <c r="AZ3" s="490"/>
      <c r="BA3" s="488">
        <f>COUNTA(AZ$9:AZ$1048576)</f>
        <v>0</v>
      </c>
      <c r="BB3" s="491"/>
      <c r="BC3" s="231"/>
    </row>
    <row r="4" spans="1:77" ht="12.75" customHeight="1">
      <c r="A4" s="5352" t="s">
        <v>130</v>
      </c>
      <c r="B4" s="122"/>
      <c r="C4" s="72" t="s">
        <v>666</v>
      </c>
      <c r="D4" s="76" t="s">
        <v>18</v>
      </c>
      <c r="E4" s="102" t="s">
        <v>456</v>
      </c>
      <c r="F4" s="103"/>
      <c r="G4" s="116" t="s">
        <v>173</v>
      </c>
      <c r="H4" s="103"/>
      <c r="I4" s="6655" t="s">
        <v>631</v>
      </c>
      <c r="J4" s="6656"/>
      <c r="K4" s="123"/>
      <c r="L4" s="124"/>
      <c r="M4" s="123"/>
      <c r="N4" s="25"/>
      <c r="O4" s="123"/>
      <c r="P4" s="2"/>
      <c r="Q4" s="123"/>
      <c r="R4" s="2"/>
      <c r="S4" s="941"/>
      <c r="T4" s="1101"/>
      <c r="U4" s="941"/>
      <c r="V4" s="942"/>
      <c r="W4" s="9"/>
      <c r="X4" s="2"/>
      <c r="Y4" s="123"/>
      <c r="Z4" s="2"/>
      <c r="AA4" s="123"/>
      <c r="AB4" s="23"/>
      <c r="AC4" s="6652" t="s">
        <v>1253</v>
      </c>
      <c r="AD4" s="156" t="s">
        <v>695</v>
      </c>
      <c r="AE4" s="154"/>
      <c r="AF4" s="155"/>
      <c r="AG4" s="240" t="s">
        <v>583</v>
      </c>
      <c r="AH4" s="241"/>
      <c r="AI4" s="242"/>
      <c r="AJ4" s="243"/>
      <c r="AK4" s="244"/>
      <c r="AL4" s="485"/>
      <c r="AM4" s="244"/>
      <c r="AN4" s="486"/>
      <c r="AO4" s="244"/>
      <c r="AP4" s="486"/>
      <c r="AQ4" s="244"/>
      <c r="AR4" s="1112"/>
      <c r="AS4" s="1113"/>
      <c r="AT4" s="1112"/>
      <c r="AU4" s="1113"/>
      <c r="AV4" s="486"/>
      <c r="AW4" s="244"/>
      <c r="AX4" s="486"/>
      <c r="AY4" s="244"/>
      <c r="AZ4" s="486"/>
      <c r="BA4" s="487"/>
      <c r="BB4" s="6642" t="s">
        <v>1253</v>
      </c>
      <c r="BC4" s="787"/>
    </row>
    <row r="5" spans="1:77" ht="27">
      <c r="A5" s="5353" t="s">
        <v>8989</v>
      </c>
      <c r="B5" s="129" t="s">
        <v>4930</v>
      </c>
      <c r="C5" s="73"/>
      <c r="D5" s="77" t="s">
        <v>19</v>
      </c>
      <c r="E5" s="104"/>
      <c r="F5" s="105"/>
      <c r="G5" s="104"/>
      <c r="H5" s="105"/>
      <c r="I5" s="6657"/>
      <c r="J5" s="6658"/>
      <c r="K5" s="6645" t="s">
        <v>1791</v>
      </c>
      <c r="L5" s="6646"/>
      <c r="M5" s="6645" t="s">
        <v>1189</v>
      </c>
      <c r="N5" s="6661"/>
      <c r="O5" s="6645" t="s">
        <v>1789</v>
      </c>
      <c r="P5" s="6646"/>
      <c r="Q5" s="6645" t="s">
        <v>1788</v>
      </c>
      <c r="R5" s="6646"/>
      <c r="S5" s="6659" t="s">
        <v>1785</v>
      </c>
      <c r="T5" s="6660"/>
      <c r="U5" s="6659" t="s">
        <v>1784</v>
      </c>
      <c r="V5" s="6660"/>
      <c r="W5" s="6645" t="s">
        <v>1786</v>
      </c>
      <c r="X5" s="6646"/>
      <c r="Y5" s="6645" t="s">
        <v>1783</v>
      </c>
      <c r="Z5" s="6646"/>
      <c r="AA5" s="6645" t="s">
        <v>1787</v>
      </c>
      <c r="AB5" s="6646"/>
      <c r="AC5" s="6653"/>
      <c r="AD5" s="157"/>
      <c r="AE5" s="139"/>
      <c r="AF5" s="141"/>
      <c r="AG5" s="245" t="s">
        <v>670</v>
      </c>
      <c r="AH5" s="246" t="s">
        <v>495</v>
      </c>
      <c r="AI5" s="247" t="s">
        <v>1101</v>
      </c>
      <c r="AJ5" s="6647" t="s">
        <v>1792</v>
      </c>
      <c r="AK5" s="6648"/>
      <c r="AL5" s="6647" t="s">
        <v>1189</v>
      </c>
      <c r="AM5" s="6649"/>
      <c r="AN5" s="6647" t="s">
        <v>1789</v>
      </c>
      <c r="AO5" s="6648"/>
      <c r="AP5" s="6647" t="s">
        <v>1788</v>
      </c>
      <c r="AQ5" s="6648"/>
      <c r="AR5" s="6650" t="s">
        <v>1785</v>
      </c>
      <c r="AS5" s="6651"/>
      <c r="AT5" s="6650" t="s">
        <v>1784</v>
      </c>
      <c r="AU5" s="6651"/>
      <c r="AV5" s="6647" t="s">
        <v>1786</v>
      </c>
      <c r="AW5" s="6648"/>
      <c r="AX5" s="6647" t="s">
        <v>1783</v>
      </c>
      <c r="AY5" s="6648"/>
      <c r="AZ5" s="6647" t="s">
        <v>1787</v>
      </c>
      <c r="BA5" s="6648"/>
      <c r="BB5" s="6643"/>
      <c r="BC5" s="786"/>
    </row>
    <row r="6" spans="1:77" ht="12" thickBot="1">
      <c r="A6" s="130"/>
      <c r="B6" s="131"/>
      <c r="C6" s="74"/>
      <c r="D6" s="135"/>
      <c r="E6" s="106" t="s">
        <v>1005</v>
      </c>
      <c r="F6" s="107" t="s">
        <v>603</v>
      </c>
      <c r="G6" s="106" t="s">
        <v>236</v>
      </c>
      <c r="H6" s="107" t="s">
        <v>603</v>
      </c>
      <c r="I6" s="108" t="s">
        <v>477</v>
      </c>
      <c r="J6" s="109" t="s">
        <v>1277</v>
      </c>
      <c r="K6" s="10" t="s">
        <v>247</v>
      </c>
      <c r="L6" s="83" t="s">
        <v>1254</v>
      </c>
      <c r="M6" s="10" t="s">
        <v>247</v>
      </c>
      <c r="N6" s="5" t="s">
        <v>1254</v>
      </c>
      <c r="O6" s="10" t="s">
        <v>247</v>
      </c>
      <c r="P6" s="5" t="s">
        <v>1254</v>
      </c>
      <c r="Q6" s="10" t="s">
        <v>247</v>
      </c>
      <c r="R6" s="5" t="s">
        <v>1254</v>
      </c>
      <c r="S6" s="943" t="s">
        <v>247</v>
      </c>
      <c r="T6" s="1102" t="s">
        <v>1254</v>
      </c>
      <c r="U6" s="943" t="s">
        <v>247</v>
      </c>
      <c r="V6" s="944" t="s">
        <v>1254</v>
      </c>
      <c r="W6" s="10" t="s">
        <v>247</v>
      </c>
      <c r="X6" s="5" t="s">
        <v>1254</v>
      </c>
      <c r="Y6" s="10" t="s">
        <v>247</v>
      </c>
      <c r="Z6" s="5" t="s">
        <v>1254</v>
      </c>
      <c r="AA6" s="10" t="s">
        <v>247</v>
      </c>
      <c r="AB6" s="24" t="s">
        <v>1254</v>
      </c>
      <c r="AC6" s="6654"/>
      <c r="AD6" s="158" t="s">
        <v>753</v>
      </c>
      <c r="AE6" s="140" t="s">
        <v>928</v>
      </c>
      <c r="AF6" s="142" t="s">
        <v>979</v>
      </c>
      <c r="AG6" s="248"/>
      <c r="AH6" s="249"/>
      <c r="AI6" s="250"/>
      <c r="AJ6" s="251" t="s">
        <v>247</v>
      </c>
      <c r="AK6" s="252" t="s">
        <v>1254</v>
      </c>
      <c r="AL6" s="253" t="s">
        <v>247</v>
      </c>
      <c r="AM6" s="252" t="s">
        <v>1254</v>
      </c>
      <c r="AN6" s="254" t="s">
        <v>247</v>
      </c>
      <c r="AO6" s="252" t="s">
        <v>1254</v>
      </c>
      <c r="AP6" s="254" t="s">
        <v>247</v>
      </c>
      <c r="AQ6" s="252" t="s">
        <v>1254</v>
      </c>
      <c r="AR6" s="1114" t="s">
        <v>247</v>
      </c>
      <c r="AS6" s="1115" t="s">
        <v>1254</v>
      </c>
      <c r="AT6" s="1114" t="s">
        <v>247</v>
      </c>
      <c r="AU6" s="1115" t="s">
        <v>1254</v>
      </c>
      <c r="AV6" s="254" t="s">
        <v>247</v>
      </c>
      <c r="AW6" s="252" t="s">
        <v>1254</v>
      </c>
      <c r="AX6" s="254" t="s">
        <v>247</v>
      </c>
      <c r="AY6" s="252" t="s">
        <v>1254</v>
      </c>
      <c r="AZ6" s="254" t="s">
        <v>247</v>
      </c>
      <c r="BA6" s="255" t="s">
        <v>1254</v>
      </c>
      <c r="BB6" s="6644"/>
      <c r="BC6" s="788"/>
    </row>
    <row r="7" spans="1:77" s="47" customFormat="1" ht="56.25">
      <c r="A7" s="2057" t="s">
        <v>4109</v>
      </c>
      <c r="B7" s="2058" t="s">
        <v>175</v>
      </c>
      <c r="C7" s="2059" t="s">
        <v>376</v>
      </c>
      <c r="D7" s="2060" t="s">
        <v>788</v>
      </c>
      <c r="E7" s="1919" t="s">
        <v>4268</v>
      </c>
      <c r="F7" s="1920" t="s">
        <v>1035</v>
      </c>
      <c r="G7" s="1919" t="s">
        <v>766</v>
      </c>
      <c r="H7" s="1920" t="s">
        <v>6343</v>
      </c>
      <c r="I7" s="1919" t="s">
        <v>682</v>
      </c>
      <c r="J7" s="2061" t="s">
        <v>683</v>
      </c>
      <c r="K7" s="2062"/>
      <c r="L7" s="2063"/>
      <c r="M7" s="2064"/>
      <c r="N7" s="2065"/>
      <c r="O7" s="2062"/>
      <c r="P7" s="2066"/>
      <c r="Q7" s="2062"/>
      <c r="R7" s="1920"/>
      <c r="S7" s="2062">
        <v>179</v>
      </c>
      <c r="T7" s="2067">
        <v>38504</v>
      </c>
      <c r="U7" s="2062">
        <v>1277</v>
      </c>
      <c r="V7" s="2068">
        <v>38504</v>
      </c>
      <c r="W7" s="2062"/>
      <c r="X7" s="1920"/>
      <c r="Y7" s="2062">
        <v>2488</v>
      </c>
      <c r="Z7" s="2063">
        <v>38504</v>
      </c>
      <c r="AA7" s="2062"/>
      <c r="AB7" s="2061"/>
      <c r="AC7" s="2069">
        <f t="shared" ref="AC7:AC27" si="0">K7+M7+O7+Q7+S7+U7+W7+Y7+AA7</f>
        <v>3944</v>
      </c>
      <c r="AD7" s="2070" t="s">
        <v>464</v>
      </c>
      <c r="AE7" s="2071" t="s">
        <v>22</v>
      </c>
      <c r="AF7" s="2072" t="s">
        <v>4922</v>
      </c>
      <c r="AG7" s="2073"/>
      <c r="AH7" s="2074"/>
      <c r="AI7" s="2075"/>
      <c r="AJ7" s="2076"/>
      <c r="AK7" s="2077"/>
      <c r="AL7" s="2078"/>
      <c r="AM7" s="2077"/>
      <c r="AN7" s="2079"/>
      <c r="AO7" s="2077"/>
      <c r="AP7" s="2079"/>
      <c r="AQ7" s="2077"/>
      <c r="AR7" s="2079"/>
      <c r="AS7" s="2077"/>
      <c r="AT7" s="2079"/>
      <c r="AU7" s="2077"/>
      <c r="AV7" s="2079"/>
      <c r="AW7" s="2077"/>
      <c r="AX7" s="2079"/>
      <c r="AY7" s="2077"/>
      <c r="AZ7" s="2079"/>
      <c r="BA7" s="2080"/>
      <c r="BB7" s="2081">
        <f t="shared" ref="BB7:BB30" si="1">AJ7+AL7+AN7+AP7+AR7+AT7+AV7+AX7+AZ7</f>
        <v>0</v>
      </c>
      <c r="BC7" s="788"/>
      <c r="BD7" s="55"/>
      <c r="BE7" s="55"/>
      <c r="BF7" s="55"/>
      <c r="BG7" s="55"/>
      <c r="BH7" s="55"/>
      <c r="BI7" s="55"/>
    </row>
    <row r="8" spans="1:77" s="47" customFormat="1" ht="47.25">
      <c r="A8" s="2085" t="s">
        <v>3475</v>
      </c>
      <c r="B8" s="2058" t="s">
        <v>175</v>
      </c>
      <c r="C8" s="2059" t="s">
        <v>244</v>
      </c>
      <c r="D8" s="2060" t="s">
        <v>788</v>
      </c>
      <c r="E8" s="1919" t="s">
        <v>241</v>
      </c>
      <c r="F8" s="1920" t="s">
        <v>458</v>
      </c>
      <c r="G8" s="1919" t="s">
        <v>734</v>
      </c>
      <c r="H8" s="1920" t="s">
        <v>6345</v>
      </c>
      <c r="I8" s="1919" t="s">
        <v>926</v>
      </c>
      <c r="J8" s="2061" t="s">
        <v>0</v>
      </c>
      <c r="K8" s="2062"/>
      <c r="L8" s="2063"/>
      <c r="M8" s="2064"/>
      <c r="N8" s="2065"/>
      <c r="O8" s="2062"/>
      <c r="P8" s="2066"/>
      <c r="Q8" s="2062">
        <v>1108</v>
      </c>
      <c r="R8" s="2063">
        <v>39142</v>
      </c>
      <c r="S8" s="2062"/>
      <c r="T8" s="2082"/>
      <c r="U8" s="2062"/>
      <c r="V8" s="2066"/>
      <c r="W8" s="2062"/>
      <c r="X8" s="1920"/>
      <c r="Y8" s="2062"/>
      <c r="Z8" s="1920"/>
      <c r="AA8" s="2062"/>
      <c r="AB8" s="2061"/>
      <c r="AC8" s="2069">
        <f t="shared" si="0"/>
        <v>1108</v>
      </c>
      <c r="AD8" s="2083" t="s">
        <v>3474</v>
      </c>
      <c r="AE8" s="2084" t="s">
        <v>3473</v>
      </c>
      <c r="AF8" s="2072" t="s">
        <v>4922</v>
      </c>
      <c r="AG8" s="2073"/>
      <c r="AH8" s="2074"/>
      <c r="AI8" s="2075"/>
      <c r="AJ8" s="2076"/>
      <c r="AK8" s="2077"/>
      <c r="AL8" s="2078"/>
      <c r="AM8" s="2077"/>
      <c r="AN8" s="2079"/>
      <c r="AO8" s="2077"/>
      <c r="AP8" s="2079"/>
      <c r="AQ8" s="2077"/>
      <c r="AR8" s="2079"/>
      <c r="AS8" s="2077"/>
      <c r="AT8" s="2079"/>
      <c r="AU8" s="2077"/>
      <c r="AV8" s="2079"/>
      <c r="AW8" s="2077"/>
      <c r="AX8" s="2079"/>
      <c r="AY8" s="2077"/>
      <c r="AZ8" s="2079"/>
      <c r="BA8" s="2080"/>
      <c r="BB8" s="2081">
        <f t="shared" si="1"/>
        <v>0</v>
      </c>
      <c r="BC8" s="788"/>
      <c r="BD8" s="55"/>
      <c r="BE8" s="55"/>
      <c r="BF8" s="55"/>
      <c r="BG8" s="55"/>
      <c r="BH8" s="55"/>
      <c r="BI8" s="55"/>
    </row>
    <row r="9" spans="1:77" s="47" customFormat="1" ht="56.25">
      <c r="A9" s="3269" t="s">
        <v>2255</v>
      </c>
      <c r="B9" s="2577" t="s">
        <v>709</v>
      </c>
      <c r="C9" s="3261" t="s">
        <v>10456</v>
      </c>
      <c r="D9" s="2576" t="s">
        <v>788</v>
      </c>
      <c r="E9" s="3267" t="s">
        <v>37</v>
      </c>
      <c r="F9" s="3268" t="s">
        <v>774</v>
      </c>
      <c r="G9" s="3267" t="s">
        <v>1124</v>
      </c>
      <c r="H9" s="3268" t="s">
        <v>1022</v>
      </c>
      <c r="I9" s="354" t="s">
        <v>391</v>
      </c>
      <c r="J9" s="355" t="s">
        <v>1171</v>
      </c>
      <c r="K9" s="370">
        <v>168</v>
      </c>
      <c r="L9" s="357">
        <v>38412</v>
      </c>
      <c r="M9" s="392"/>
      <c r="N9" s="393" t="s">
        <v>2233</v>
      </c>
      <c r="O9" s="370"/>
      <c r="P9" s="373"/>
      <c r="Q9" s="370"/>
      <c r="R9" s="357"/>
      <c r="S9" s="948"/>
      <c r="T9" s="951"/>
      <c r="U9" s="948"/>
      <c r="V9" s="952"/>
      <c r="W9" s="370"/>
      <c r="X9" s="353"/>
      <c r="Y9" s="370">
        <v>627</v>
      </c>
      <c r="Z9" s="357">
        <v>38412</v>
      </c>
      <c r="AA9" s="370"/>
      <c r="AB9" s="355"/>
      <c r="AC9" s="358">
        <f t="shared" si="0"/>
        <v>795</v>
      </c>
      <c r="AD9" s="374" t="s">
        <v>506</v>
      </c>
      <c r="AE9" s="375" t="s">
        <v>10457</v>
      </c>
      <c r="AF9" s="402" t="s">
        <v>10464</v>
      </c>
      <c r="AG9" s="359" t="s">
        <v>1409</v>
      </c>
      <c r="AH9" s="360">
        <v>38547</v>
      </c>
      <c r="AI9" s="361">
        <v>93891</v>
      </c>
      <c r="AJ9" s="362"/>
      <c r="AK9" s="363"/>
      <c r="AL9" s="416"/>
      <c r="AM9" s="404" t="s">
        <v>2232</v>
      </c>
      <c r="AN9" s="365"/>
      <c r="AO9" s="363"/>
      <c r="AP9" s="365"/>
      <c r="AQ9" s="363"/>
      <c r="AR9" s="935"/>
      <c r="AS9" s="936"/>
      <c r="AT9" s="935"/>
      <c r="AU9" s="936"/>
      <c r="AV9" s="365"/>
      <c r="AW9" s="363"/>
      <c r="AX9" s="365"/>
      <c r="AY9" s="363"/>
      <c r="AZ9" s="365"/>
      <c r="BA9" s="366"/>
      <c r="BB9" s="367">
        <f t="shared" si="1"/>
        <v>0</v>
      </c>
      <c r="BC9" s="788"/>
      <c r="BD9" s="55"/>
      <c r="BE9" s="55"/>
      <c r="BF9" s="55"/>
      <c r="BG9" s="55"/>
      <c r="BH9" s="55"/>
      <c r="BI9" s="55"/>
    </row>
    <row r="10" spans="1:77" s="47" customFormat="1" ht="56.25">
      <c r="A10" s="3269" t="s">
        <v>2255</v>
      </c>
      <c r="B10" s="2577" t="s">
        <v>649</v>
      </c>
      <c r="C10" s="3261" t="s">
        <v>10459</v>
      </c>
      <c r="D10" s="2576" t="s">
        <v>788</v>
      </c>
      <c r="E10" s="3267" t="s">
        <v>37</v>
      </c>
      <c r="F10" s="3268" t="s">
        <v>774</v>
      </c>
      <c r="G10" s="3267" t="s">
        <v>897</v>
      </c>
      <c r="H10" s="3268" t="s">
        <v>1146</v>
      </c>
      <c r="I10" s="354" t="s">
        <v>391</v>
      </c>
      <c r="J10" s="355" t="s">
        <v>1171</v>
      </c>
      <c r="K10" s="370">
        <v>168</v>
      </c>
      <c r="L10" s="357">
        <v>38412</v>
      </c>
      <c r="M10" s="392"/>
      <c r="N10" s="393" t="s">
        <v>2233</v>
      </c>
      <c r="O10" s="370"/>
      <c r="P10" s="373"/>
      <c r="Q10" s="370"/>
      <c r="R10" s="357"/>
      <c r="S10" s="948"/>
      <c r="T10" s="951"/>
      <c r="U10" s="948"/>
      <c r="V10" s="952"/>
      <c r="W10" s="370"/>
      <c r="X10" s="353"/>
      <c r="Y10" s="370">
        <v>627</v>
      </c>
      <c r="Z10" s="357">
        <v>38412</v>
      </c>
      <c r="AA10" s="370"/>
      <c r="AB10" s="355"/>
      <c r="AC10" s="358">
        <f t="shared" si="0"/>
        <v>795</v>
      </c>
      <c r="AD10" s="374" t="s">
        <v>506</v>
      </c>
      <c r="AE10" s="375" t="s">
        <v>10458</v>
      </c>
      <c r="AF10" s="402" t="s">
        <v>10463</v>
      </c>
      <c r="AG10" s="359" t="s">
        <v>1410</v>
      </c>
      <c r="AH10" s="360">
        <v>38547</v>
      </c>
      <c r="AI10" s="361">
        <v>93892</v>
      </c>
      <c r="AJ10" s="362"/>
      <c r="AK10" s="363"/>
      <c r="AL10" s="416"/>
      <c r="AM10" s="404" t="s">
        <v>2232</v>
      </c>
      <c r="AN10" s="365"/>
      <c r="AO10" s="363"/>
      <c r="AP10" s="365"/>
      <c r="AQ10" s="363"/>
      <c r="AR10" s="935"/>
      <c r="AS10" s="936"/>
      <c r="AT10" s="935"/>
      <c r="AU10" s="936"/>
      <c r="AV10" s="365"/>
      <c r="AW10" s="363"/>
      <c r="AX10" s="365"/>
      <c r="AY10" s="363"/>
      <c r="AZ10" s="365"/>
      <c r="BA10" s="366"/>
      <c r="BB10" s="367">
        <f t="shared" si="1"/>
        <v>0</v>
      </c>
      <c r="BC10" s="788"/>
      <c r="BD10" s="55"/>
      <c r="BE10" s="55"/>
      <c r="BF10" s="55"/>
      <c r="BG10" s="55"/>
      <c r="BH10" s="55"/>
      <c r="BI10" s="55"/>
    </row>
    <row r="11" spans="1:77" s="47" customFormat="1" ht="56.25">
      <c r="A11" s="3269" t="s">
        <v>2255</v>
      </c>
      <c r="B11" s="2577" t="s">
        <v>650</v>
      </c>
      <c r="C11" s="3261" t="s">
        <v>10460</v>
      </c>
      <c r="D11" s="2576" t="s">
        <v>788</v>
      </c>
      <c r="E11" s="3267" t="s">
        <v>37</v>
      </c>
      <c r="F11" s="3268" t="s">
        <v>774</v>
      </c>
      <c r="G11" s="3267" t="s">
        <v>238</v>
      </c>
      <c r="H11" s="3268" t="s">
        <v>318</v>
      </c>
      <c r="I11" s="354" t="s">
        <v>391</v>
      </c>
      <c r="J11" s="355" t="s">
        <v>1171</v>
      </c>
      <c r="K11" s="370">
        <v>168</v>
      </c>
      <c r="L11" s="357">
        <v>38412</v>
      </c>
      <c r="M11" s="392"/>
      <c r="N11" s="393" t="s">
        <v>2233</v>
      </c>
      <c r="O11" s="370"/>
      <c r="P11" s="373"/>
      <c r="Q11" s="370"/>
      <c r="R11" s="357"/>
      <c r="S11" s="948"/>
      <c r="T11" s="951"/>
      <c r="U11" s="948"/>
      <c r="V11" s="952"/>
      <c r="W11" s="370"/>
      <c r="X11" s="353"/>
      <c r="Y11" s="370">
        <v>627</v>
      </c>
      <c r="Z11" s="357">
        <v>38412</v>
      </c>
      <c r="AA11" s="370"/>
      <c r="AB11" s="355"/>
      <c r="AC11" s="358">
        <f t="shared" si="0"/>
        <v>795</v>
      </c>
      <c r="AD11" s="374" t="s">
        <v>506</v>
      </c>
      <c r="AE11" s="375" t="s">
        <v>10461</v>
      </c>
      <c r="AF11" s="402" t="s">
        <v>10462</v>
      </c>
      <c r="AG11" s="359" t="s">
        <v>1409</v>
      </c>
      <c r="AH11" s="360">
        <v>38547</v>
      </c>
      <c r="AI11" s="361">
        <v>93893</v>
      </c>
      <c r="AJ11" s="362"/>
      <c r="AK11" s="363"/>
      <c r="AL11" s="416"/>
      <c r="AM11" s="404" t="s">
        <v>2232</v>
      </c>
      <c r="AN11" s="365"/>
      <c r="AO11" s="363"/>
      <c r="AP11" s="365"/>
      <c r="AQ11" s="363"/>
      <c r="AR11" s="935"/>
      <c r="AS11" s="936"/>
      <c r="AT11" s="935"/>
      <c r="AU11" s="936"/>
      <c r="AV11" s="365"/>
      <c r="AW11" s="363"/>
      <c r="AX11" s="365"/>
      <c r="AY11" s="363"/>
      <c r="AZ11" s="365"/>
      <c r="BA11" s="366"/>
      <c r="BB11" s="367">
        <f t="shared" si="1"/>
        <v>0</v>
      </c>
      <c r="BC11" s="788"/>
      <c r="BD11" s="55"/>
      <c r="BE11" s="55"/>
      <c r="BF11" s="55"/>
      <c r="BG11" s="55"/>
      <c r="BH11" s="55"/>
      <c r="BI11" s="55"/>
    </row>
    <row r="12" spans="1:77" s="47" customFormat="1" ht="56.25">
      <c r="A12" s="391" t="s">
        <v>10466</v>
      </c>
      <c r="B12" s="368" t="s">
        <v>175</v>
      </c>
      <c r="C12" s="215" t="s">
        <v>568</v>
      </c>
      <c r="D12" s="350" t="s">
        <v>1190</v>
      </c>
      <c r="E12" s="354" t="s">
        <v>1</v>
      </c>
      <c r="F12" s="353" t="s">
        <v>1195</v>
      </c>
      <c r="G12" s="354" t="s">
        <v>350</v>
      </c>
      <c r="H12" s="353" t="s">
        <v>6352</v>
      </c>
      <c r="I12" s="354" t="s">
        <v>579</v>
      </c>
      <c r="J12" s="355" t="s">
        <v>6460</v>
      </c>
      <c r="K12" s="370"/>
      <c r="L12" s="357"/>
      <c r="M12" s="371"/>
      <c r="N12" s="372"/>
      <c r="O12" s="370"/>
      <c r="P12" s="373"/>
      <c r="Q12" s="365">
        <v>1032</v>
      </c>
      <c r="R12" s="357" t="s">
        <v>6461</v>
      </c>
      <c r="S12" s="948"/>
      <c r="T12" s="951"/>
      <c r="U12" s="948"/>
      <c r="V12" s="952"/>
      <c r="W12" s="370"/>
      <c r="X12" s="353"/>
      <c r="Y12" s="365">
        <v>1506</v>
      </c>
      <c r="Z12" s="357" t="s">
        <v>6462</v>
      </c>
      <c r="AA12" s="370"/>
      <c r="AB12" s="355"/>
      <c r="AC12" s="358">
        <f t="shared" si="0"/>
        <v>2538</v>
      </c>
      <c r="AD12" s="423" t="s">
        <v>168</v>
      </c>
      <c r="AE12" s="401" t="s">
        <v>386</v>
      </c>
      <c r="AF12" s="5766" t="s">
        <v>10465</v>
      </c>
      <c r="AG12" s="359" t="s">
        <v>1156</v>
      </c>
      <c r="AH12" s="360" t="s">
        <v>678</v>
      </c>
      <c r="AI12" s="361" t="s">
        <v>599</v>
      </c>
      <c r="AJ12" s="362"/>
      <c r="AK12" s="363"/>
      <c r="AL12" s="364"/>
      <c r="AM12" s="363"/>
      <c r="AN12" s="365"/>
      <c r="AO12" s="363"/>
      <c r="AP12" s="365"/>
      <c r="AQ12" s="363" t="s">
        <v>2230</v>
      </c>
      <c r="AR12" s="935"/>
      <c r="AS12" s="936"/>
      <c r="AT12" s="935"/>
      <c r="AU12" s="936"/>
      <c r="AV12" s="365"/>
      <c r="AW12" s="363"/>
      <c r="AX12" s="365"/>
      <c r="AY12" s="363" t="s">
        <v>2229</v>
      </c>
      <c r="AZ12" s="365"/>
      <c r="BA12" s="366"/>
      <c r="BB12" s="367">
        <f t="shared" si="1"/>
        <v>0</v>
      </c>
      <c r="BC12" s="788"/>
      <c r="BD12" s="55"/>
      <c r="BE12" s="55"/>
      <c r="BF12" s="55"/>
      <c r="BG12" s="55"/>
      <c r="BH12" s="55"/>
      <c r="BI12" s="55"/>
    </row>
    <row r="13" spans="1:77" s="47" customFormat="1" ht="56.25">
      <c r="A13" s="395" t="s">
        <v>2252</v>
      </c>
      <c r="B13" s="368" t="s">
        <v>175</v>
      </c>
      <c r="C13" s="215" t="s">
        <v>510</v>
      </c>
      <c r="D13" s="350" t="s">
        <v>788</v>
      </c>
      <c r="E13" s="354" t="s">
        <v>511</v>
      </c>
      <c r="F13" s="353" t="s">
        <v>746</v>
      </c>
      <c r="G13" s="354" t="s">
        <v>783</v>
      </c>
      <c r="H13" s="353" t="s">
        <v>6353</v>
      </c>
      <c r="I13" s="354" t="s">
        <v>1257</v>
      </c>
      <c r="J13" s="355" t="s">
        <v>1004</v>
      </c>
      <c r="K13" s="370"/>
      <c r="L13" s="357"/>
      <c r="M13" s="371"/>
      <c r="N13" s="372"/>
      <c r="O13" s="370"/>
      <c r="P13" s="373"/>
      <c r="Q13" s="370"/>
      <c r="R13" s="353"/>
      <c r="S13" s="948"/>
      <c r="T13" s="951"/>
      <c r="U13" s="948"/>
      <c r="V13" s="952"/>
      <c r="W13" s="370"/>
      <c r="X13" s="353"/>
      <c r="Y13" s="356">
        <f>2600*2</f>
        <v>5200</v>
      </c>
      <c r="Z13" s="357" t="s">
        <v>2231</v>
      </c>
      <c r="AA13" s="370"/>
      <c r="AB13" s="355"/>
      <c r="AC13" s="358">
        <f t="shared" si="0"/>
        <v>5200</v>
      </c>
      <c r="AD13" s="400" t="s">
        <v>586</v>
      </c>
      <c r="AE13" s="401" t="s">
        <v>366</v>
      </c>
      <c r="AF13" s="402" t="s">
        <v>4923</v>
      </c>
      <c r="AG13" s="359" t="s">
        <v>1736</v>
      </c>
      <c r="AH13" s="360" t="s">
        <v>1734</v>
      </c>
      <c r="AI13" s="361" t="s">
        <v>1735</v>
      </c>
      <c r="AJ13" s="362"/>
      <c r="AK13" s="363"/>
      <c r="AL13" s="364"/>
      <c r="AM13" s="363"/>
      <c r="AN13" s="365"/>
      <c r="AO13" s="363"/>
      <c r="AP13" s="365"/>
      <c r="AQ13" s="363"/>
      <c r="AR13" s="935"/>
      <c r="AS13" s="936"/>
      <c r="AT13" s="935"/>
      <c r="AU13" s="936"/>
      <c r="AV13" s="365"/>
      <c r="AW13" s="363"/>
      <c r="AX13" s="365"/>
      <c r="AY13" s="363" t="s">
        <v>1737</v>
      </c>
      <c r="AZ13" s="365"/>
      <c r="BA13" s="366"/>
      <c r="BB13" s="367">
        <f t="shared" si="1"/>
        <v>0</v>
      </c>
      <c r="BC13" s="788"/>
      <c r="BD13" s="55"/>
      <c r="BE13" s="55"/>
      <c r="BF13" s="55"/>
      <c r="BG13" s="55"/>
      <c r="BH13" s="55"/>
      <c r="BI13" s="55"/>
    </row>
    <row r="14" spans="1:77" s="47" customFormat="1" ht="90">
      <c r="A14" s="5860" t="s">
        <v>10817</v>
      </c>
      <c r="B14" s="5767" t="s">
        <v>3356</v>
      </c>
      <c r="C14" s="5768" t="s">
        <v>10467</v>
      </c>
      <c r="D14" s="5769" t="s">
        <v>788</v>
      </c>
      <c r="E14" s="5861" t="s">
        <v>708</v>
      </c>
      <c r="F14" s="5862" t="s">
        <v>685</v>
      </c>
      <c r="G14" s="5861" t="s">
        <v>463</v>
      </c>
      <c r="H14" s="5862" t="s">
        <v>6360</v>
      </c>
      <c r="I14" s="354" t="s">
        <v>745</v>
      </c>
      <c r="J14" s="355" t="s">
        <v>1013</v>
      </c>
      <c r="K14" s="370"/>
      <c r="L14" s="357"/>
      <c r="M14" s="419">
        <v>7129</v>
      </c>
      <c r="N14" s="444" t="s">
        <v>2152</v>
      </c>
      <c r="O14" s="419">
        <v>1782</v>
      </c>
      <c r="P14" s="420" t="s">
        <v>2153</v>
      </c>
      <c r="Q14" s="370">
        <v>653</v>
      </c>
      <c r="R14" s="357">
        <v>39142</v>
      </c>
      <c r="S14" s="948"/>
      <c r="T14" s="951"/>
      <c r="U14" s="948"/>
      <c r="V14" s="952"/>
      <c r="W14" s="370"/>
      <c r="X14" s="353"/>
      <c r="Y14" s="370"/>
      <c r="Z14" s="353"/>
      <c r="AA14" s="370"/>
      <c r="AB14" s="355"/>
      <c r="AC14" s="358">
        <f t="shared" si="0"/>
        <v>9564</v>
      </c>
      <c r="AD14" s="385" t="s">
        <v>3393</v>
      </c>
      <c r="AE14" s="424" t="s">
        <v>10468</v>
      </c>
      <c r="AF14" s="214" t="s">
        <v>10469</v>
      </c>
      <c r="AG14" s="359"/>
      <c r="AH14" s="360"/>
      <c r="AI14" s="361"/>
      <c r="AJ14" s="362"/>
      <c r="AK14" s="363"/>
      <c r="AL14" s="364"/>
      <c r="AM14" s="363"/>
      <c r="AN14" s="365"/>
      <c r="AO14" s="363"/>
      <c r="AP14" s="365"/>
      <c r="AQ14" s="363"/>
      <c r="AR14" s="935"/>
      <c r="AS14" s="936"/>
      <c r="AT14" s="935"/>
      <c r="AU14" s="936"/>
      <c r="AV14" s="365"/>
      <c r="AW14" s="363"/>
      <c r="AX14" s="365"/>
      <c r="AY14" s="363"/>
      <c r="AZ14" s="365"/>
      <c r="BA14" s="366"/>
      <c r="BB14" s="367">
        <f t="shared" si="1"/>
        <v>0</v>
      </c>
      <c r="BC14" s="788"/>
      <c r="BD14" s="55"/>
      <c r="BE14" s="55"/>
      <c r="BF14" s="55"/>
      <c r="BG14" s="55"/>
      <c r="BH14" s="55"/>
      <c r="BI14" s="55"/>
    </row>
    <row r="15" spans="1:77" s="47" customFormat="1" ht="78.75">
      <c r="A15" s="350" t="s">
        <v>3780</v>
      </c>
      <c r="B15" s="368" t="s">
        <v>175</v>
      </c>
      <c r="C15" s="215" t="s">
        <v>564</v>
      </c>
      <c r="D15" s="350" t="s">
        <v>788</v>
      </c>
      <c r="E15" s="354" t="s">
        <v>165</v>
      </c>
      <c r="F15" s="353" t="s">
        <v>320</v>
      </c>
      <c r="G15" s="354" t="s">
        <v>197</v>
      </c>
      <c r="H15" s="353" t="s">
        <v>6363</v>
      </c>
      <c r="I15" s="421"/>
      <c r="J15" s="355" t="s">
        <v>8138</v>
      </c>
      <c r="K15" s="370">
        <v>219</v>
      </c>
      <c r="L15" s="357">
        <v>39234</v>
      </c>
      <c r="M15" s="371"/>
      <c r="N15" s="372"/>
      <c r="O15" s="370"/>
      <c r="P15" s="373"/>
      <c r="Q15" s="370">
        <v>224</v>
      </c>
      <c r="R15" s="357">
        <v>39234</v>
      </c>
      <c r="S15" s="948">
        <v>3622</v>
      </c>
      <c r="T15" s="949">
        <v>39234</v>
      </c>
      <c r="U15" s="948">
        <v>6434</v>
      </c>
      <c r="V15" s="950">
        <v>39234</v>
      </c>
      <c r="W15" s="370">
        <f>6500*4</f>
        <v>26000</v>
      </c>
      <c r="X15" s="353" t="s">
        <v>3779</v>
      </c>
      <c r="Y15" s="370">
        <v>462</v>
      </c>
      <c r="Z15" s="422">
        <v>39234</v>
      </c>
      <c r="AA15" s="370"/>
      <c r="AB15" s="355"/>
      <c r="AC15" s="358">
        <f t="shared" si="0"/>
        <v>36961</v>
      </c>
      <c r="AD15" s="385" t="s">
        <v>465</v>
      </c>
      <c r="AE15" s="213">
        <v>39366</v>
      </c>
      <c r="AF15" s="214" t="s">
        <v>4926</v>
      </c>
      <c r="AG15" s="359"/>
      <c r="AH15" s="360"/>
      <c r="AI15" s="361"/>
      <c r="AJ15" s="362"/>
      <c r="AK15" s="363"/>
      <c r="AL15" s="364"/>
      <c r="AM15" s="363"/>
      <c r="AN15" s="365"/>
      <c r="AO15" s="363"/>
      <c r="AP15" s="365"/>
      <c r="AQ15" s="363"/>
      <c r="AR15" s="935"/>
      <c r="AS15" s="936"/>
      <c r="AT15" s="935"/>
      <c r="AU15" s="936"/>
      <c r="AV15" s="365"/>
      <c r="AW15" s="363"/>
      <c r="AX15" s="365"/>
      <c r="AY15" s="363"/>
      <c r="AZ15" s="365"/>
      <c r="BA15" s="366"/>
      <c r="BB15" s="367">
        <f t="shared" si="1"/>
        <v>0</v>
      </c>
      <c r="BC15" s="788"/>
      <c r="BD15" s="55"/>
      <c r="BE15" s="55"/>
      <c r="BF15" s="55"/>
      <c r="BG15" s="55"/>
      <c r="BH15" s="55"/>
      <c r="BI15" s="55"/>
      <c r="BJ15" s="55"/>
      <c r="BK15" s="55"/>
      <c r="BL15" s="55"/>
      <c r="BM15" s="55"/>
      <c r="BN15" s="55"/>
      <c r="BO15" s="55"/>
      <c r="BP15" s="55"/>
      <c r="BQ15" s="55"/>
      <c r="BR15" s="55"/>
      <c r="BS15" s="55"/>
      <c r="BT15" s="55"/>
      <c r="BU15" s="55"/>
      <c r="BV15" s="55"/>
      <c r="BW15" s="55"/>
      <c r="BX15" s="55"/>
      <c r="BY15" s="55"/>
    </row>
    <row r="16" spans="1:77" s="47" customFormat="1" ht="101.25">
      <c r="A16" s="2576" t="s">
        <v>10824</v>
      </c>
      <c r="B16" s="2577" t="s">
        <v>4267</v>
      </c>
      <c r="C16" s="3262" t="s">
        <v>7644</v>
      </c>
      <c r="D16" s="2576" t="s">
        <v>788</v>
      </c>
      <c r="E16" s="863" t="s">
        <v>1058</v>
      </c>
      <c r="F16" s="1212" t="s">
        <v>574</v>
      </c>
      <c r="G16" s="863" t="s">
        <v>3329</v>
      </c>
      <c r="H16" s="1212" t="s">
        <v>6364</v>
      </c>
      <c r="I16" s="863" t="s">
        <v>684</v>
      </c>
      <c r="J16" s="3260" t="s">
        <v>3305</v>
      </c>
      <c r="K16" s="885"/>
      <c r="L16" s="1466"/>
      <c r="M16" s="887"/>
      <c r="N16" s="1467"/>
      <c r="O16" s="885"/>
      <c r="P16" s="1212"/>
      <c r="Q16" s="885"/>
      <c r="R16" s="1468"/>
      <c r="S16" s="974"/>
      <c r="T16" s="1469"/>
      <c r="U16" s="974"/>
      <c r="V16" s="1470"/>
      <c r="W16" s="885"/>
      <c r="X16" s="1468"/>
      <c r="Y16" s="1213">
        <v>15210</v>
      </c>
      <c r="Z16" s="1214" t="s">
        <v>3491</v>
      </c>
      <c r="AA16" s="1213">
        <v>83330</v>
      </c>
      <c r="AB16" s="1214" t="s">
        <v>3492</v>
      </c>
      <c r="AC16" s="358">
        <f t="shared" si="0"/>
        <v>98540</v>
      </c>
      <c r="AD16" s="1232" t="s">
        <v>3304</v>
      </c>
      <c r="AE16" s="424" t="s">
        <v>7655</v>
      </c>
      <c r="AF16" s="1215" t="s">
        <v>7645</v>
      </c>
      <c r="AG16" s="1471"/>
      <c r="AH16" s="360"/>
      <c r="AI16" s="1216"/>
      <c r="AJ16" s="1463"/>
      <c r="AK16" s="1464"/>
      <c r="AL16" s="1465"/>
      <c r="AM16" s="1464"/>
      <c r="AN16" s="1217"/>
      <c r="AO16" s="1464"/>
      <c r="AP16" s="1217"/>
      <c r="AQ16" s="1464"/>
      <c r="AR16" s="1051"/>
      <c r="AS16" s="1235"/>
      <c r="AT16" s="1051"/>
      <c r="AU16" s="1235"/>
      <c r="AV16" s="1217"/>
      <c r="AW16" s="1464"/>
      <c r="AX16" s="1217"/>
      <c r="AY16" s="1464"/>
      <c r="AZ16" s="1217"/>
      <c r="BA16" s="366"/>
      <c r="BB16" s="367">
        <f t="shared" si="1"/>
        <v>0</v>
      </c>
      <c r="BC16" s="788"/>
      <c r="BD16" s="55"/>
      <c r="BE16" s="55"/>
      <c r="BF16" s="55"/>
      <c r="BG16" s="55"/>
      <c r="BH16" s="55"/>
      <c r="BI16" s="55"/>
    </row>
    <row r="17" spans="1:72" s="47" customFormat="1" ht="123.75">
      <c r="A17" s="3263" t="s">
        <v>3495</v>
      </c>
      <c r="B17" s="3264" t="s">
        <v>3345</v>
      </c>
      <c r="C17" s="3265" t="s">
        <v>7643</v>
      </c>
      <c r="D17" s="3263" t="s">
        <v>788</v>
      </c>
      <c r="E17" s="13" t="s">
        <v>1058</v>
      </c>
      <c r="F17" s="14" t="s">
        <v>574</v>
      </c>
      <c r="G17" s="13" t="s">
        <v>3331</v>
      </c>
      <c r="H17" s="14" t="s">
        <v>6365</v>
      </c>
      <c r="I17" s="1562" t="s">
        <v>684</v>
      </c>
      <c r="J17" s="3266" t="s">
        <v>3494</v>
      </c>
      <c r="K17" s="28"/>
      <c r="L17" s="48"/>
      <c r="M17" s="64"/>
      <c r="N17" s="65"/>
      <c r="O17" s="28"/>
      <c r="P17" s="14"/>
      <c r="Q17" s="28"/>
      <c r="R17" s="12"/>
      <c r="S17" s="954"/>
      <c r="T17" s="1459"/>
      <c r="U17" s="954"/>
      <c r="V17" s="1460"/>
      <c r="W17" s="28"/>
      <c r="X17" s="12"/>
      <c r="Y17" s="1461">
        <v>21178</v>
      </c>
      <c r="Z17" s="1462" t="s">
        <v>3496</v>
      </c>
      <c r="AA17" s="1461">
        <v>116025</v>
      </c>
      <c r="AB17" s="1462" t="s">
        <v>3493</v>
      </c>
      <c r="AC17" s="536">
        <f t="shared" si="0"/>
        <v>137203</v>
      </c>
      <c r="AD17" s="1472" t="s">
        <v>3330</v>
      </c>
      <c r="AE17" s="4350" t="s">
        <v>7656</v>
      </c>
      <c r="AF17" s="1563" t="s">
        <v>7646</v>
      </c>
      <c r="AG17" s="30"/>
      <c r="AH17" s="713"/>
      <c r="AI17" s="714"/>
      <c r="AJ17" s="715"/>
      <c r="AK17" s="716"/>
      <c r="AL17" s="717"/>
      <c r="AM17" s="716"/>
      <c r="AN17" s="719"/>
      <c r="AO17" s="716"/>
      <c r="AP17" s="719"/>
      <c r="AQ17" s="716"/>
      <c r="AR17" s="990"/>
      <c r="AS17" s="991"/>
      <c r="AT17" s="990"/>
      <c r="AU17" s="991"/>
      <c r="AV17" s="719"/>
      <c r="AW17" s="716"/>
      <c r="AX17" s="719"/>
      <c r="AY17" s="716"/>
      <c r="AZ17" s="719"/>
      <c r="BA17" s="720"/>
      <c r="BB17" s="721">
        <f t="shared" si="1"/>
        <v>0</v>
      </c>
      <c r="BC17" s="788"/>
      <c r="BD17" s="55"/>
      <c r="BE17" s="55"/>
      <c r="BF17" s="55"/>
      <c r="BG17" s="55"/>
      <c r="BH17" s="55"/>
      <c r="BI17" s="55"/>
    </row>
    <row r="18" spans="1:72" ht="112.5">
      <c r="A18" s="418" t="s">
        <v>2760</v>
      </c>
      <c r="B18" s="2577" t="s">
        <v>175</v>
      </c>
      <c r="C18" s="3261" t="s">
        <v>5268</v>
      </c>
      <c r="D18" s="2576" t="s">
        <v>2768</v>
      </c>
      <c r="E18" s="354" t="s">
        <v>2763</v>
      </c>
      <c r="F18" s="353" t="s">
        <v>2764</v>
      </c>
      <c r="G18" s="3267" t="s">
        <v>487</v>
      </c>
      <c r="H18" s="3268" t="s">
        <v>986</v>
      </c>
      <c r="I18" s="354" t="s">
        <v>2140</v>
      </c>
      <c r="J18" s="355" t="s">
        <v>3531</v>
      </c>
      <c r="K18" s="370">
        <v>100281</v>
      </c>
      <c r="L18" s="357">
        <v>41883</v>
      </c>
      <c r="M18" s="371"/>
      <c r="N18" s="372"/>
      <c r="O18" s="370"/>
      <c r="P18" s="373"/>
      <c r="Q18" s="370">
        <v>65665</v>
      </c>
      <c r="R18" s="357">
        <v>41883</v>
      </c>
      <c r="S18" s="948">
        <v>191289</v>
      </c>
      <c r="T18" s="949">
        <v>41883</v>
      </c>
      <c r="U18" s="948">
        <v>85641</v>
      </c>
      <c r="V18" s="963">
        <v>41883</v>
      </c>
      <c r="W18" s="370"/>
      <c r="X18" s="353"/>
      <c r="Y18" s="370">
        <v>213506</v>
      </c>
      <c r="Z18" s="357">
        <v>41883</v>
      </c>
      <c r="AA18" s="370"/>
      <c r="AB18" s="355"/>
      <c r="AC18" s="358">
        <f t="shared" si="0"/>
        <v>656382</v>
      </c>
      <c r="AD18" s="374" t="s">
        <v>1426</v>
      </c>
      <c r="AE18" s="375" t="s">
        <v>5276</v>
      </c>
      <c r="AF18" s="376" t="s">
        <v>5277</v>
      </c>
      <c r="AG18" s="377"/>
      <c r="AH18" s="378"/>
      <c r="AI18" s="379"/>
      <c r="AJ18" s="380"/>
      <c r="AK18" s="381"/>
      <c r="AL18" s="382"/>
      <c r="AM18" s="381"/>
      <c r="AN18" s="383"/>
      <c r="AO18" s="381"/>
      <c r="AP18" s="383"/>
      <c r="AQ18" s="381"/>
      <c r="AR18" s="982"/>
      <c r="AS18" s="984"/>
      <c r="AT18" s="982"/>
      <c r="AU18" s="984"/>
      <c r="AV18" s="383"/>
      <c r="AW18" s="381"/>
      <c r="AX18" s="383"/>
      <c r="AY18" s="381"/>
      <c r="AZ18" s="383"/>
      <c r="BA18" s="384"/>
      <c r="BB18" s="367">
        <f t="shared" si="1"/>
        <v>0</v>
      </c>
      <c r="BC18" s="788"/>
    </row>
    <row r="19" spans="1:72" ht="112.5">
      <c r="A19" s="418" t="s">
        <v>2761</v>
      </c>
      <c r="B19" s="2577" t="s">
        <v>175</v>
      </c>
      <c r="C19" s="3261" t="s">
        <v>5268</v>
      </c>
      <c r="D19" s="2576" t="s">
        <v>2767</v>
      </c>
      <c r="E19" s="354" t="s">
        <v>2763</v>
      </c>
      <c r="F19" s="353" t="s">
        <v>2764</v>
      </c>
      <c r="G19" s="3267" t="s">
        <v>487</v>
      </c>
      <c r="H19" s="3268" t="s">
        <v>986</v>
      </c>
      <c r="I19" s="354" t="s">
        <v>2140</v>
      </c>
      <c r="J19" s="355" t="s">
        <v>3532</v>
      </c>
      <c r="K19" s="370">
        <v>11672</v>
      </c>
      <c r="L19" s="357">
        <v>41883</v>
      </c>
      <c r="M19" s="371"/>
      <c r="N19" s="372"/>
      <c r="O19" s="370"/>
      <c r="P19" s="373"/>
      <c r="Q19" s="370">
        <v>7643</v>
      </c>
      <c r="R19" s="357">
        <v>41883</v>
      </c>
      <c r="S19" s="948">
        <v>22264</v>
      </c>
      <c r="T19" s="949">
        <v>41883</v>
      </c>
      <c r="U19" s="948">
        <v>9968</v>
      </c>
      <c r="V19" s="963">
        <v>41883</v>
      </c>
      <c r="W19" s="370"/>
      <c r="X19" s="353"/>
      <c r="Y19" s="370">
        <v>24798</v>
      </c>
      <c r="Z19" s="357">
        <v>41883</v>
      </c>
      <c r="AA19" s="370"/>
      <c r="AB19" s="355"/>
      <c r="AC19" s="358">
        <f t="shared" si="0"/>
        <v>76345</v>
      </c>
      <c r="AD19" s="374" t="s">
        <v>1426</v>
      </c>
      <c r="AE19" s="375" t="s">
        <v>5278</v>
      </c>
      <c r="AF19" s="376" t="s">
        <v>5279</v>
      </c>
      <c r="AG19" s="377"/>
      <c r="AH19" s="378"/>
      <c r="AI19" s="379"/>
      <c r="AJ19" s="380"/>
      <c r="AK19" s="381"/>
      <c r="AL19" s="382"/>
      <c r="AM19" s="381"/>
      <c r="AN19" s="383"/>
      <c r="AO19" s="381"/>
      <c r="AP19" s="383"/>
      <c r="AQ19" s="381"/>
      <c r="AR19" s="982"/>
      <c r="AS19" s="984"/>
      <c r="AT19" s="982"/>
      <c r="AU19" s="984"/>
      <c r="AV19" s="383"/>
      <c r="AW19" s="381"/>
      <c r="AX19" s="383"/>
      <c r="AY19" s="381"/>
      <c r="AZ19" s="383"/>
      <c r="BA19" s="384"/>
      <c r="BB19" s="367">
        <f t="shared" si="1"/>
        <v>0</v>
      </c>
      <c r="BC19" s="788"/>
    </row>
    <row r="20" spans="1:72" ht="146.25">
      <c r="A20" s="661" t="s">
        <v>10328</v>
      </c>
      <c r="B20" s="368" t="s">
        <v>10825</v>
      </c>
      <c r="C20" s="215" t="s">
        <v>10330</v>
      </c>
      <c r="D20" s="447" t="s">
        <v>788</v>
      </c>
      <c r="E20" s="354" t="s">
        <v>10331</v>
      </c>
      <c r="F20" s="353" t="s">
        <v>10332</v>
      </c>
      <c r="G20" s="354" t="s">
        <v>10329</v>
      </c>
      <c r="H20" s="353" t="s">
        <v>10333</v>
      </c>
      <c r="I20" s="354" t="s">
        <v>2245</v>
      </c>
      <c r="J20" s="355" t="s">
        <v>10335</v>
      </c>
      <c r="K20" s="430"/>
      <c r="L20" s="434"/>
      <c r="M20" s="432"/>
      <c r="N20" s="448"/>
      <c r="O20" s="430"/>
      <c r="P20" s="435"/>
      <c r="Q20" s="430"/>
      <c r="R20" s="434"/>
      <c r="S20" s="964"/>
      <c r="T20" s="1109"/>
      <c r="U20" s="964"/>
      <c r="V20" s="967"/>
      <c r="W20" s="430"/>
      <c r="X20" s="434"/>
      <c r="Y20" s="430">
        <f>1000*20</f>
        <v>20000</v>
      </c>
      <c r="Z20" s="353" t="s">
        <v>2249</v>
      </c>
      <c r="AA20" s="430"/>
      <c r="AB20" s="436"/>
      <c r="AC20" s="358">
        <f t="shared" si="0"/>
        <v>20000</v>
      </c>
      <c r="AD20" s="666" t="s">
        <v>465</v>
      </c>
      <c r="AE20" s="424" t="s">
        <v>10334</v>
      </c>
      <c r="AF20" s="425" t="s">
        <v>2651</v>
      </c>
      <c r="AG20" s="359" t="s">
        <v>2248</v>
      </c>
      <c r="AH20" s="360" t="s">
        <v>2246</v>
      </c>
      <c r="AI20" s="361" t="s">
        <v>2247</v>
      </c>
      <c r="AJ20" s="380"/>
      <c r="AK20" s="381"/>
      <c r="AL20" s="382"/>
      <c r="AM20" s="381"/>
      <c r="AN20" s="383"/>
      <c r="AO20" s="381"/>
      <c r="AP20" s="383"/>
      <c r="AQ20" s="381"/>
      <c r="AR20" s="982"/>
      <c r="AS20" s="984"/>
      <c r="AT20" s="982"/>
      <c r="AU20" s="984"/>
      <c r="AV20" s="383"/>
      <c r="AW20" s="381"/>
      <c r="AX20" s="383"/>
      <c r="AY20" s="363" t="s">
        <v>5289</v>
      </c>
      <c r="AZ20" s="383"/>
      <c r="BA20" s="384"/>
      <c r="BB20" s="367">
        <f t="shared" si="1"/>
        <v>0</v>
      </c>
      <c r="BC20" s="788"/>
    </row>
    <row r="21" spans="1:72" s="47" customFormat="1" ht="168.75">
      <c r="A21" s="4223" t="s">
        <v>10818</v>
      </c>
      <c r="B21" s="4224" t="s">
        <v>102</v>
      </c>
      <c r="C21" s="4225" t="s">
        <v>974</v>
      </c>
      <c r="D21" s="4226" t="s">
        <v>1330</v>
      </c>
      <c r="E21" s="4227" t="s">
        <v>1102</v>
      </c>
      <c r="F21" s="5863" t="s">
        <v>25</v>
      </c>
      <c r="G21" s="5866" t="s">
        <v>623</v>
      </c>
      <c r="H21" s="5867" t="s">
        <v>6346</v>
      </c>
      <c r="I21" s="4227" t="s">
        <v>613</v>
      </c>
      <c r="J21" s="4229" t="s">
        <v>536</v>
      </c>
      <c r="K21" s="4235"/>
      <c r="L21" s="4268"/>
      <c r="M21" s="4231">
        <v>2648</v>
      </c>
      <c r="N21" s="4232">
        <v>38777</v>
      </c>
      <c r="O21" s="4235"/>
      <c r="P21" s="4271"/>
      <c r="Q21" s="4230"/>
      <c r="R21" s="4233"/>
      <c r="S21" s="4230"/>
      <c r="T21" s="4228"/>
      <c r="U21" s="4230"/>
      <c r="V21" s="4234"/>
      <c r="W21" s="4230"/>
      <c r="X21" s="4233"/>
      <c r="Y21" s="4230"/>
      <c r="Z21" s="4228"/>
      <c r="AA21" s="4230"/>
      <c r="AB21" s="4228"/>
      <c r="AC21" s="4237">
        <f t="shared" si="0"/>
        <v>2648</v>
      </c>
      <c r="AD21" s="4238" t="s">
        <v>269</v>
      </c>
      <c r="AE21" s="4239">
        <v>38842</v>
      </c>
      <c r="AF21" s="4240">
        <v>39573</v>
      </c>
      <c r="AG21" s="5872" t="s">
        <v>10833</v>
      </c>
      <c r="AH21" s="4241"/>
      <c r="AI21" s="4242"/>
      <c r="AJ21" s="4245"/>
      <c r="AK21" s="4243"/>
      <c r="AL21" s="4244"/>
      <c r="AM21" s="4243"/>
      <c r="AN21" s="4245"/>
      <c r="AO21" s="4243"/>
      <c r="AP21" s="4245"/>
      <c r="AQ21" s="4243"/>
      <c r="AR21" s="4245"/>
      <c r="AS21" s="4243"/>
      <c r="AT21" s="4245"/>
      <c r="AU21" s="4243"/>
      <c r="AV21" s="4245"/>
      <c r="AW21" s="4243"/>
      <c r="AX21" s="4245"/>
      <c r="AY21" s="4243"/>
      <c r="AZ21" s="4245"/>
      <c r="BA21" s="4243"/>
      <c r="BB21" s="4246">
        <f t="shared" si="1"/>
        <v>0</v>
      </c>
      <c r="BC21" s="788"/>
      <c r="BD21" s="55"/>
      <c r="BE21" s="55"/>
      <c r="BF21" s="55"/>
      <c r="BG21" s="55"/>
      <c r="BH21" s="55"/>
      <c r="BI21" s="55"/>
      <c r="BJ21" s="4245"/>
      <c r="BK21" s="4243"/>
      <c r="BL21" s="4245"/>
      <c r="BM21" s="4243"/>
      <c r="BN21" s="4245"/>
      <c r="BO21" s="4243"/>
      <c r="BP21" s="4245"/>
      <c r="BQ21" s="4243"/>
      <c r="BR21" s="4245"/>
      <c r="BS21" s="4243"/>
      <c r="BT21" s="4246">
        <f t="shared" ref="BT21:BT27" si="2">AT21+AV21+AX21+AZ21+BB21+BD21+BF21+BH21+BJ21+BL21+BN21+BP21+BR21</f>
        <v>0</v>
      </c>
    </row>
    <row r="22" spans="1:72" s="47" customFormat="1" ht="168.75">
      <c r="A22" s="4223" t="s">
        <v>10818</v>
      </c>
      <c r="B22" s="4224" t="s">
        <v>206</v>
      </c>
      <c r="C22" s="4225" t="s">
        <v>778</v>
      </c>
      <c r="D22" s="4226" t="s">
        <v>1330</v>
      </c>
      <c r="E22" s="4227" t="s">
        <v>1102</v>
      </c>
      <c r="F22" s="5863" t="s">
        <v>25</v>
      </c>
      <c r="G22" s="5866" t="s">
        <v>99</v>
      </c>
      <c r="H22" s="5867" t="s">
        <v>6347</v>
      </c>
      <c r="I22" s="4227" t="s">
        <v>1052</v>
      </c>
      <c r="J22" s="4229" t="s">
        <v>536</v>
      </c>
      <c r="K22" s="4235"/>
      <c r="L22" s="4268"/>
      <c r="M22" s="4231">
        <v>2648</v>
      </c>
      <c r="N22" s="4232">
        <v>38777</v>
      </c>
      <c r="O22" s="4235"/>
      <c r="P22" s="4271"/>
      <c r="Q22" s="4230"/>
      <c r="R22" s="4233"/>
      <c r="S22" s="4230"/>
      <c r="T22" s="4228"/>
      <c r="U22" s="4230"/>
      <c r="V22" s="4234"/>
      <c r="W22" s="4230"/>
      <c r="X22" s="4233"/>
      <c r="Y22" s="4230"/>
      <c r="Z22" s="4228"/>
      <c r="AA22" s="4230"/>
      <c r="AB22" s="4228"/>
      <c r="AC22" s="4237">
        <f t="shared" si="0"/>
        <v>2648</v>
      </c>
      <c r="AD22" s="4238" t="s">
        <v>269</v>
      </c>
      <c r="AE22" s="4239">
        <v>38842</v>
      </c>
      <c r="AF22" s="4240">
        <v>39573</v>
      </c>
      <c r="AG22" s="5872" t="s">
        <v>10833</v>
      </c>
      <c r="AH22" s="4241"/>
      <c r="AI22" s="4242"/>
      <c r="AJ22" s="4245"/>
      <c r="AK22" s="4243"/>
      <c r="AL22" s="4244"/>
      <c r="AM22" s="4243"/>
      <c r="AN22" s="4245"/>
      <c r="AO22" s="4243"/>
      <c r="AP22" s="4245"/>
      <c r="AQ22" s="4243"/>
      <c r="AR22" s="4245"/>
      <c r="AS22" s="4243"/>
      <c r="AT22" s="4245"/>
      <c r="AU22" s="4243"/>
      <c r="AV22" s="4245"/>
      <c r="AW22" s="4243"/>
      <c r="AX22" s="4245"/>
      <c r="AY22" s="4243"/>
      <c r="AZ22" s="4245"/>
      <c r="BA22" s="4243"/>
      <c r="BB22" s="4246">
        <f t="shared" si="1"/>
        <v>0</v>
      </c>
      <c r="BC22" s="788"/>
      <c r="BD22" s="55"/>
      <c r="BE22" s="55"/>
      <c r="BF22" s="55"/>
      <c r="BG22" s="55"/>
      <c r="BH22" s="55"/>
      <c r="BI22" s="55"/>
      <c r="BJ22" s="4245"/>
      <c r="BK22" s="4243"/>
      <c r="BL22" s="4245"/>
      <c r="BM22" s="4243"/>
      <c r="BN22" s="4245"/>
      <c r="BO22" s="4243"/>
      <c r="BP22" s="4245"/>
      <c r="BQ22" s="4243"/>
      <c r="BR22" s="4245"/>
      <c r="BS22" s="4243"/>
      <c r="BT22" s="4246">
        <f t="shared" si="2"/>
        <v>0</v>
      </c>
    </row>
    <row r="23" spans="1:72" s="47" customFormat="1" ht="168.75">
      <c r="A23" s="4247" t="s">
        <v>10818</v>
      </c>
      <c r="B23" s="4248" t="s">
        <v>355</v>
      </c>
      <c r="C23" s="4249" t="s">
        <v>364</v>
      </c>
      <c r="D23" s="4250" t="s">
        <v>1330</v>
      </c>
      <c r="E23" s="4251" t="s">
        <v>1102</v>
      </c>
      <c r="F23" s="5864" t="s">
        <v>25</v>
      </c>
      <c r="G23" s="4251" t="s">
        <v>367</v>
      </c>
      <c r="H23" s="5868" t="s">
        <v>6633</v>
      </c>
      <c r="I23" s="4251" t="s">
        <v>613</v>
      </c>
      <c r="J23" s="4253" t="s">
        <v>536</v>
      </c>
      <c r="K23" s="4235"/>
      <c r="L23" s="4268"/>
      <c r="M23" s="4255">
        <v>2648</v>
      </c>
      <c r="N23" s="4256">
        <v>38777</v>
      </c>
      <c r="O23" s="4235"/>
      <c r="P23" s="4271"/>
      <c r="Q23" s="4254"/>
      <c r="R23" s="4257"/>
      <c r="S23" s="4254"/>
      <c r="T23" s="4252"/>
      <c r="U23" s="4254"/>
      <c r="V23" s="4258"/>
      <c r="W23" s="4254"/>
      <c r="X23" s="4257"/>
      <c r="Y23" s="4254"/>
      <c r="Z23" s="4252"/>
      <c r="AA23" s="4254"/>
      <c r="AB23" s="4252"/>
      <c r="AC23" s="4237">
        <f t="shared" si="0"/>
        <v>2648</v>
      </c>
      <c r="AD23" s="4259" t="s">
        <v>269</v>
      </c>
      <c r="AE23" s="4260">
        <v>38842</v>
      </c>
      <c r="AF23" s="4261">
        <v>39573</v>
      </c>
      <c r="AG23" s="5872" t="s">
        <v>10833</v>
      </c>
      <c r="AH23" s="4241"/>
      <c r="AI23" s="4242"/>
      <c r="AJ23" s="4245"/>
      <c r="AK23" s="4243"/>
      <c r="AL23" s="4244"/>
      <c r="AM23" s="4243"/>
      <c r="AN23" s="4245"/>
      <c r="AO23" s="4243"/>
      <c r="AP23" s="4245"/>
      <c r="AQ23" s="4243"/>
      <c r="AR23" s="4245"/>
      <c r="AS23" s="4243"/>
      <c r="AT23" s="4245"/>
      <c r="AU23" s="4243"/>
      <c r="AV23" s="4245"/>
      <c r="AW23" s="4243"/>
      <c r="AX23" s="4245"/>
      <c r="AY23" s="4243"/>
      <c r="AZ23" s="4245"/>
      <c r="BA23" s="4243"/>
      <c r="BB23" s="4246">
        <f t="shared" si="1"/>
        <v>0</v>
      </c>
      <c r="BC23" s="788"/>
      <c r="BD23" s="55"/>
      <c r="BE23" s="55"/>
      <c r="BF23" s="55"/>
      <c r="BG23" s="55"/>
      <c r="BH23" s="55"/>
      <c r="BI23" s="55"/>
      <c r="BJ23" s="4245"/>
      <c r="BK23" s="4243"/>
      <c r="BL23" s="4245"/>
      <c r="BM23" s="4243"/>
      <c r="BN23" s="4245"/>
      <c r="BO23" s="4243"/>
      <c r="BP23" s="4245"/>
      <c r="BQ23" s="4243"/>
      <c r="BR23" s="4245"/>
      <c r="BS23" s="4243"/>
      <c r="BT23" s="4246">
        <f t="shared" si="2"/>
        <v>0</v>
      </c>
    </row>
    <row r="24" spans="1:72" s="47" customFormat="1" ht="168.75">
      <c r="A24" s="4262" t="s">
        <v>10818</v>
      </c>
      <c r="B24" s="4263" t="s">
        <v>848</v>
      </c>
      <c r="C24" s="4264" t="s">
        <v>365</v>
      </c>
      <c r="D24" s="4265" t="s">
        <v>1330</v>
      </c>
      <c r="E24" s="4266" t="s">
        <v>1102</v>
      </c>
      <c r="F24" s="5863" t="s">
        <v>25</v>
      </c>
      <c r="G24" s="5866" t="s">
        <v>368</v>
      </c>
      <c r="H24" s="5867" t="s">
        <v>6348</v>
      </c>
      <c r="I24" s="4266" t="s">
        <v>613</v>
      </c>
      <c r="J24" s="4267" t="s">
        <v>536</v>
      </c>
      <c r="K24" s="4235"/>
      <c r="L24" s="4268"/>
      <c r="M24" s="4269">
        <v>2648</v>
      </c>
      <c r="N24" s="4270">
        <v>38777</v>
      </c>
      <c r="O24" s="4235"/>
      <c r="P24" s="4271"/>
      <c r="Q24" s="4235"/>
      <c r="R24" s="4271"/>
      <c r="S24" s="4235"/>
      <c r="T24" s="4236"/>
      <c r="U24" s="4235"/>
      <c r="V24" s="4272"/>
      <c r="W24" s="4235"/>
      <c r="X24" s="4271"/>
      <c r="Y24" s="4235"/>
      <c r="Z24" s="4236"/>
      <c r="AA24" s="4235"/>
      <c r="AB24" s="4236"/>
      <c r="AC24" s="4237">
        <f t="shared" si="0"/>
        <v>2648</v>
      </c>
      <c r="AD24" s="4273" t="s">
        <v>269</v>
      </c>
      <c r="AE24" s="4274">
        <v>38842</v>
      </c>
      <c r="AF24" s="4275">
        <v>39573</v>
      </c>
      <c r="AG24" s="5872" t="s">
        <v>10833</v>
      </c>
      <c r="AH24" s="4241"/>
      <c r="AI24" s="4242"/>
      <c r="AJ24" s="4245"/>
      <c r="AK24" s="4243"/>
      <c r="AL24" s="4244"/>
      <c r="AM24" s="4243"/>
      <c r="AN24" s="4245"/>
      <c r="AO24" s="4243"/>
      <c r="AP24" s="4245"/>
      <c r="AQ24" s="4243"/>
      <c r="AR24" s="4245"/>
      <c r="AS24" s="4243"/>
      <c r="AT24" s="4245"/>
      <c r="AU24" s="4243"/>
      <c r="AV24" s="4245"/>
      <c r="AW24" s="4243"/>
      <c r="AX24" s="4245"/>
      <c r="AY24" s="4243"/>
      <c r="AZ24" s="4245"/>
      <c r="BA24" s="4243"/>
      <c r="BB24" s="4246">
        <f t="shared" si="1"/>
        <v>0</v>
      </c>
      <c r="BC24" s="788"/>
      <c r="BD24" s="55"/>
      <c r="BE24" s="55"/>
      <c r="BF24" s="55"/>
      <c r="BG24" s="55"/>
      <c r="BH24" s="55"/>
      <c r="BI24" s="55"/>
      <c r="BJ24" s="4245"/>
      <c r="BK24" s="4243"/>
      <c r="BL24" s="4245"/>
      <c r="BM24" s="4243"/>
      <c r="BN24" s="4245"/>
      <c r="BO24" s="4243"/>
      <c r="BP24" s="4245"/>
      <c r="BQ24" s="4243"/>
      <c r="BR24" s="4245"/>
      <c r="BS24" s="4243"/>
      <c r="BT24" s="4246">
        <f t="shared" si="2"/>
        <v>0</v>
      </c>
    </row>
    <row r="25" spans="1:72" s="47" customFormat="1" ht="168.75">
      <c r="A25" s="4262" t="s">
        <v>10818</v>
      </c>
      <c r="B25" s="4263" t="s">
        <v>248</v>
      </c>
      <c r="C25" s="4264" t="s">
        <v>955</v>
      </c>
      <c r="D25" s="4265" t="s">
        <v>1330</v>
      </c>
      <c r="E25" s="4266" t="s">
        <v>896</v>
      </c>
      <c r="F25" s="5863" t="s">
        <v>593</v>
      </c>
      <c r="G25" s="5866" t="s">
        <v>33</v>
      </c>
      <c r="H25" s="5867" t="s">
        <v>6349</v>
      </c>
      <c r="I25" s="4266" t="s">
        <v>221</v>
      </c>
      <c r="J25" s="4267" t="s">
        <v>1151</v>
      </c>
      <c r="K25" s="4235"/>
      <c r="L25" s="4268"/>
      <c r="M25" s="4269">
        <v>3511</v>
      </c>
      <c r="N25" s="4270">
        <v>38777</v>
      </c>
      <c r="O25" s="4235"/>
      <c r="P25" s="4271"/>
      <c r="Q25" s="4235"/>
      <c r="R25" s="4271"/>
      <c r="S25" s="4235"/>
      <c r="T25" s="4236"/>
      <c r="U25" s="4235"/>
      <c r="V25" s="4272"/>
      <c r="W25" s="4235"/>
      <c r="X25" s="4271"/>
      <c r="Y25" s="4235"/>
      <c r="Z25" s="4236"/>
      <c r="AA25" s="4235"/>
      <c r="AB25" s="4236"/>
      <c r="AC25" s="4237">
        <f t="shared" si="0"/>
        <v>3511</v>
      </c>
      <c r="AD25" s="4276" t="s">
        <v>779</v>
      </c>
      <c r="AE25" s="4274">
        <v>38909</v>
      </c>
      <c r="AF25" s="4275">
        <v>39640</v>
      </c>
      <c r="AG25" s="5872" t="s">
        <v>10833</v>
      </c>
      <c r="AH25" s="4241"/>
      <c r="AI25" s="4242"/>
      <c r="AJ25" s="4245"/>
      <c r="AK25" s="4243"/>
      <c r="AL25" s="4244"/>
      <c r="AM25" s="4243"/>
      <c r="AN25" s="4245"/>
      <c r="AO25" s="4243"/>
      <c r="AP25" s="4245"/>
      <c r="AQ25" s="4243"/>
      <c r="AR25" s="4245"/>
      <c r="AS25" s="4243"/>
      <c r="AT25" s="4245"/>
      <c r="AU25" s="4243"/>
      <c r="AV25" s="4245"/>
      <c r="AW25" s="4243"/>
      <c r="AX25" s="4245"/>
      <c r="AY25" s="4243"/>
      <c r="AZ25" s="4245"/>
      <c r="BA25" s="4243"/>
      <c r="BB25" s="4246">
        <f t="shared" si="1"/>
        <v>0</v>
      </c>
      <c r="BC25" s="788"/>
      <c r="BD25" s="55"/>
      <c r="BE25" s="55"/>
      <c r="BF25" s="55"/>
      <c r="BG25" s="55"/>
      <c r="BH25" s="55"/>
      <c r="BI25" s="55"/>
      <c r="BJ25" s="4245"/>
      <c r="BK25" s="4243"/>
      <c r="BL25" s="4245"/>
      <c r="BM25" s="4243"/>
      <c r="BN25" s="4245"/>
      <c r="BO25" s="4243"/>
      <c r="BP25" s="4245"/>
      <c r="BQ25" s="4243"/>
      <c r="BR25" s="4245"/>
      <c r="BS25" s="4243"/>
      <c r="BT25" s="4246">
        <f t="shared" si="2"/>
        <v>0</v>
      </c>
    </row>
    <row r="26" spans="1:72" s="47" customFormat="1" ht="213.75">
      <c r="A26" s="4265" t="s">
        <v>10819</v>
      </c>
      <c r="B26" s="4263" t="s">
        <v>331</v>
      </c>
      <c r="C26" s="4264" t="s">
        <v>144</v>
      </c>
      <c r="D26" s="4265" t="s">
        <v>1330</v>
      </c>
      <c r="E26" s="4266" t="s">
        <v>332</v>
      </c>
      <c r="F26" s="5863" t="s">
        <v>1059</v>
      </c>
      <c r="G26" s="5866" t="s">
        <v>1243</v>
      </c>
      <c r="H26" s="5867" t="s">
        <v>6350</v>
      </c>
      <c r="I26" s="4266" t="s">
        <v>577</v>
      </c>
      <c r="J26" s="4267" t="s">
        <v>1209</v>
      </c>
      <c r="K26" s="4235"/>
      <c r="L26" s="4268"/>
      <c r="M26" s="4269">
        <v>2035</v>
      </c>
      <c r="N26" s="4270">
        <v>39234</v>
      </c>
      <c r="O26" s="4235"/>
      <c r="P26" s="4271"/>
      <c r="Q26" s="4235"/>
      <c r="R26" s="4271"/>
      <c r="S26" s="4235"/>
      <c r="T26" s="4236"/>
      <c r="U26" s="4235"/>
      <c r="V26" s="4272"/>
      <c r="W26" s="4235"/>
      <c r="X26" s="4271"/>
      <c r="Y26" s="4235"/>
      <c r="Z26" s="4236"/>
      <c r="AA26" s="4235"/>
      <c r="AB26" s="4236"/>
      <c r="AC26" s="4237">
        <f t="shared" si="0"/>
        <v>2035</v>
      </c>
      <c r="AD26" s="4273" t="s">
        <v>269</v>
      </c>
      <c r="AE26" s="4274">
        <v>39275</v>
      </c>
      <c r="AF26" s="4275">
        <v>40006</v>
      </c>
      <c r="AG26" s="5872" t="s">
        <v>10833</v>
      </c>
      <c r="AH26" s="4241"/>
      <c r="AI26" s="4242"/>
      <c r="AJ26" s="4245"/>
      <c r="AK26" s="4243"/>
      <c r="AL26" s="4244"/>
      <c r="AM26" s="4243"/>
      <c r="AN26" s="4245"/>
      <c r="AO26" s="4243"/>
      <c r="AP26" s="4245"/>
      <c r="AQ26" s="4243"/>
      <c r="AR26" s="4245"/>
      <c r="AS26" s="4243"/>
      <c r="AT26" s="4245"/>
      <c r="AU26" s="4243"/>
      <c r="AV26" s="4245"/>
      <c r="AW26" s="4243"/>
      <c r="AX26" s="4245"/>
      <c r="AY26" s="4243"/>
      <c r="AZ26" s="4245"/>
      <c r="BA26" s="4243"/>
      <c r="BB26" s="4246">
        <f t="shared" si="1"/>
        <v>0</v>
      </c>
      <c r="BC26" s="788"/>
      <c r="BD26" s="55"/>
      <c r="BE26" s="55"/>
      <c r="BF26" s="55"/>
      <c r="BG26" s="55"/>
      <c r="BH26" s="55"/>
      <c r="BI26" s="55"/>
      <c r="BJ26" s="4245"/>
      <c r="BK26" s="4243"/>
      <c r="BL26" s="4245"/>
      <c r="BM26" s="4243"/>
      <c r="BN26" s="4245"/>
      <c r="BO26" s="4243"/>
      <c r="BP26" s="4245"/>
      <c r="BQ26" s="4243"/>
      <c r="BR26" s="4245"/>
      <c r="BS26" s="4243"/>
      <c r="BT26" s="4246">
        <f t="shared" si="2"/>
        <v>0</v>
      </c>
    </row>
    <row r="27" spans="1:72" ht="202.5">
      <c r="A27" s="4265" t="s">
        <v>10820</v>
      </c>
      <c r="B27" s="4263" t="s">
        <v>289</v>
      </c>
      <c r="C27" s="4264" t="s">
        <v>10816</v>
      </c>
      <c r="D27" s="4265" t="s">
        <v>1330</v>
      </c>
      <c r="E27" s="4266" t="s">
        <v>995</v>
      </c>
      <c r="F27" s="5863" t="s">
        <v>328</v>
      </c>
      <c r="G27" s="5866" t="s">
        <v>1128</v>
      </c>
      <c r="H27" s="5867" t="s">
        <v>6351</v>
      </c>
      <c r="I27" s="4266" t="s">
        <v>1257</v>
      </c>
      <c r="J27" s="4267" t="s">
        <v>581</v>
      </c>
      <c r="K27" s="4235"/>
      <c r="L27" s="4268"/>
      <c r="M27" s="4269">
        <v>2818</v>
      </c>
      <c r="N27" s="4270">
        <v>39417</v>
      </c>
      <c r="O27" s="4235"/>
      <c r="P27" s="4271"/>
      <c r="Q27" s="4235"/>
      <c r="R27" s="4271"/>
      <c r="S27" s="4235"/>
      <c r="T27" s="4236"/>
      <c r="U27" s="4235"/>
      <c r="V27" s="4272"/>
      <c r="W27" s="4235"/>
      <c r="X27" s="4271"/>
      <c r="Y27" s="4235"/>
      <c r="Z27" s="4236"/>
      <c r="AA27" s="4235"/>
      <c r="AB27" s="4236"/>
      <c r="AC27" s="4237">
        <f t="shared" si="0"/>
        <v>2818</v>
      </c>
      <c r="AD27" s="4273" t="s">
        <v>269</v>
      </c>
      <c r="AE27" s="4274">
        <v>39540</v>
      </c>
      <c r="AF27" s="4275">
        <v>40270</v>
      </c>
      <c r="AG27" s="5872" t="s">
        <v>10833</v>
      </c>
      <c r="AH27" s="4241"/>
      <c r="AI27" s="4242"/>
      <c r="AJ27" s="4245"/>
      <c r="AK27" s="4243"/>
      <c r="AL27" s="4244"/>
      <c r="AM27" s="4243"/>
      <c r="AN27" s="4245"/>
      <c r="AO27" s="4243"/>
      <c r="AP27" s="4245"/>
      <c r="AQ27" s="4243"/>
      <c r="AR27" s="4245"/>
      <c r="AS27" s="4243"/>
      <c r="AT27" s="4245"/>
      <c r="AU27" s="4243"/>
      <c r="AV27" s="4245"/>
      <c r="AW27" s="4243"/>
      <c r="AX27" s="4245"/>
      <c r="AY27" s="4243"/>
      <c r="AZ27" s="4245"/>
      <c r="BA27" s="4243"/>
      <c r="BB27" s="4246">
        <f t="shared" si="1"/>
        <v>0</v>
      </c>
      <c r="BC27" s="788"/>
      <c r="BJ27" s="4245"/>
      <c r="BK27" s="4243"/>
      <c r="BL27" s="4245"/>
      <c r="BM27" s="4243"/>
      <c r="BN27" s="4245"/>
      <c r="BO27" s="4243"/>
      <c r="BP27" s="4245"/>
      <c r="BQ27" s="4243"/>
      <c r="BR27" s="4245"/>
      <c r="BS27" s="4243"/>
      <c r="BT27" s="4246">
        <f t="shared" si="2"/>
        <v>0</v>
      </c>
    </row>
    <row r="28" spans="1:72" ht="213.75">
      <c r="A28" s="4265" t="s">
        <v>10821</v>
      </c>
      <c r="B28" s="4263" t="s">
        <v>796</v>
      </c>
      <c r="C28" s="4264" t="s">
        <v>1018</v>
      </c>
      <c r="D28" s="4265" t="s">
        <v>1330</v>
      </c>
      <c r="E28" s="4266" t="s">
        <v>387</v>
      </c>
      <c r="F28" s="5863" t="s">
        <v>381</v>
      </c>
      <c r="G28" s="5866" t="s">
        <v>90</v>
      </c>
      <c r="H28" s="5867" t="s">
        <v>91</v>
      </c>
      <c r="I28" s="4266" t="s">
        <v>1257</v>
      </c>
      <c r="J28" s="4267" t="s">
        <v>81</v>
      </c>
      <c r="K28" s="4235"/>
      <c r="L28" s="4268"/>
      <c r="M28" s="4269">
        <v>2983</v>
      </c>
      <c r="N28" s="4270">
        <v>39965</v>
      </c>
      <c r="O28" s="4235"/>
      <c r="P28" s="4271"/>
      <c r="Q28" s="4235"/>
      <c r="R28" s="4236"/>
      <c r="S28" s="4235"/>
      <c r="T28" s="4272"/>
      <c r="U28" s="4235"/>
      <c r="V28" s="4271"/>
      <c r="W28" s="4235"/>
      <c r="X28" s="4236"/>
      <c r="Y28" s="4235"/>
      <c r="Z28" s="4236"/>
      <c r="AA28" s="4235"/>
      <c r="AB28" s="4236"/>
      <c r="AC28" s="4237">
        <f>K28+M28+O28+Q28+S28+U28+W28+Y28+AA28</f>
        <v>2983</v>
      </c>
      <c r="AD28" s="4273" t="s">
        <v>269</v>
      </c>
      <c r="AE28" s="4274">
        <v>40018</v>
      </c>
      <c r="AF28" s="4275">
        <v>40748</v>
      </c>
      <c r="AG28" s="5872" t="s">
        <v>10833</v>
      </c>
      <c r="AH28" s="4241"/>
      <c r="AI28" s="4242"/>
      <c r="AJ28" s="4245"/>
      <c r="AK28" s="4243"/>
      <c r="AL28" s="4244"/>
      <c r="AM28" s="4243"/>
      <c r="AN28" s="4245"/>
      <c r="AO28" s="4243"/>
      <c r="AP28" s="4245"/>
      <c r="AQ28" s="4243"/>
      <c r="AR28" s="4245"/>
      <c r="AS28" s="4243"/>
      <c r="AT28" s="4245"/>
      <c r="AU28" s="4243"/>
      <c r="AV28" s="4245"/>
      <c r="AW28" s="4243"/>
      <c r="AX28" s="4245"/>
      <c r="AY28" s="4243"/>
      <c r="AZ28" s="4245"/>
      <c r="BA28" s="4243"/>
      <c r="BB28" s="4246">
        <f t="shared" si="1"/>
        <v>0</v>
      </c>
      <c r="BC28" s="788"/>
    </row>
    <row r="29" spans="1:72" ht="140.25">
      <c r="A29" s="350" t="s">
        <v>4336</v>
      </c>
      <c r="B29" s="368" t="s">
        <v>10826</v>
      </c>
      <c r="C29" s="6287" t="s">
        <v>11787</v>
      </c>
      <c r="D29" s="350" t="s">
        <v>788</v>
      </c>
      <c r="E29" s="3267" t="s">
        <v>475</v>
      </c>
      <c r="F29" s="5865" t="s">
        <v>490</v>
      </c>
      <c r="G29" s="5869" t="s">
        <v>918</v>
      </c>
      <c r="H29" s="5870" t="s">
        <v>1117</v>
      </c>
      <c r="I29" s="1734" t="s">
        <v>3747</v>
      </c>
      <c r="J29" s="1747" t="s">
        <v>3758</v>
      </c>
      <c r="K29" s="365">
        <v>85549</v>
      </c>
      <c r="L29" s="1735" t="s">
        <v>4337</v>
      </c>
      <c r="M29" s="419">
        <v>760102</v>
      </c>
      <c r="N29" s="444">
        <v>42705</v>
      </c>
      <c r="O29" s="370"/>
      <c r="P29" s="373"/>
      <c r="Q29" s="2138">
        <v>378499</v>
      </c>
      <c r="R29" s="2137" t="s">
        <v>4343</v>
      </c>
      <c r="S29" s="935">
        <v>380294</v>
      </c>
      <c r="T29" s="1737" t="s">
        <v>4338</v>
      </c>
      <c r="U29" s="948"/>
      <c r="V29" s="1738" t="s">
        <v>3749</v>
      </c>
      <c r="W29" s="370"/>
      <c r="X29" s="353"/>
      <c r="Y29" s="370"/>
      <c r="Z29" s="353"/>
      <c r="AA29" s="370"/>
      <c r="AB29" s="1736" t="s">
        <v>5300</v>
      </c>
      <c r="AC29" s="358">
        <f>K29+M29+O29+Q29+S29+U29+W29+Y29+AA29</f>
        <v>1604444</v>
      </c>
      <c r="AD29" s="1744" t="s">
        <v>4339</v>
      </c>
      <c r="AE29" s="1745" t="s">
        <v>4340</v>
      </c>
      <c r="AF29" s="6286" t="s">
        <v>11786</v>
      </c>
      <c r="AG29" s="759" t="s">
        <v>11788</v>
      </c>
      <c r="AH29" s="360" t="s">
        <v>11789</v>
      </c>
      <c r="AI29" s="361" t="s">
        <v>11790</v>
      </c>
      <c r="AJ29" s="380"/>
      <c r="AK29" s="381"/>
      <c r="AL29" s="382"/>
      <c r="AM29" s="381"/>
      <c r="AN29" s="383"/>
      <c r="AO29" s="381"/>
      <c r="AP29" s="383"/>
      <c r="AQ29" s="381"/>
      <c r="AR29" s="982"/>
      <c r="AS29" s="984"/>
      <c r="AT29" s="982"/>
      <c r="AU29" s="984"/>
      <c r="AV29" s="383"/>
      <c r="AW29" s="381"/>
      <c r="AX29" s="383"/>
      <c r="AY29" s="381"/>
      <c r="AZ29" s="1739"/>
      <c r="BA29" s="1740" t="s">
        <v>5841</v>
      </c>
      <c r="BB29" s="367">
        <f t="shared" si="1"/>
        <v>0</v>
      </c>
    </row>
    <row r="30" spans="1:72" ht="180">
      <c r="A30" s="3612" t="s">
        <v>2116</v>
      </c>
      <c r="B30" s="3613" t="s">
        <v>10827</v>
      </c>
      <c r="C30" s="3614" t="s">
        <v>6817</v>
      </c>
      <c r="D30" s="3615" t="s">
        <v>788</v>
      </c>
      <c r="E30" s="2769" t="s">
        <v>6818</v>
      </c>
      <c r="F30" s="5865" t="s">
        <v>6628</v>
      </c>
      <c r="G30" s="4789" t="s">
        <v>6820</v>
      </c>
      <c r="H30" s="5871" t="s">
        <v>6819</v>
      </c>
      <c r="I30" s="2769" t="s">
        <v>10823</v>
      </c>
      <c r="J30" s="3611" t="s">
        <v>10822</v>
      </c>
      <c r="K30" s="3617"/>
      <c r="L30" s="3618"/>
      <c r="M30" s="3619"/>
      <c r="N30" s="3620"/>
      <c r="O30" s="3617"/>
      <c r="P30" s="3621"/>
      <c r="Q30" s="3617"/>
      <c r="R30" s="3618"/>
      <c r="S30" s="3633"/>
      <c r="T30" s="3632"/>
      <c r="U30" s="3633"/>
      <c r="V30" s="3634"/>
      <c r="W30" s="3617">
        <v>30000</v>
      </c>
      <c r="X30" s="3616" t="s">
        <v>8136</v>
      </c>
      <c r="Y30" s="3617"/>
      <c r="Z30" s="3618"/>
      <c r="AA30" s="3617"/>
      <c r="AB30" s="3622"/>
      <c r="AC30" s="358">
        <f>K30+M30+O30+Q30+S30+U30+W30+Y30+AA30</f>
        <v>30000</v>
      </c>
      <c r="AD30" s="2788" t="s">
        <v>7844</v>
      </c>
      <c r="AE30" s="4552" t="s">
        <v>7843</v>
      </c>
      <c r="AF30" s="3631">
        <v>45881</v>
      </c>
      <c r="AG30" s="3623"/>
      <c r="AH30" s="3624"/>
      <c r="AI30" s="3625"/>
      <c r="AJ30" s="3626"/>
      <c r="AK30" s="3627"/>
      <c r="AL30" s="3628"/>
      <c r="AM30" s="3627"/>
      <c r="AN30" s="3629"/>
      <c r="AO30" s="3627"/>
      <c r="AP30" s="3629"/>
      <c r="AQ30" s="3627"/>
      <c r="AR30" s="982"/>
      <c r="AS30" s="984"/>
      <c r="AT30" s="982"/>
      <c r="AU30" s="984"/>
      <c r="AV30" s="3629"/>
      <c r="AW30" s="3627"/>
      <c r="AX30" s="3629"/>
      <c r="AY30" s="3627"/>
      <c r="AZ30" s="3629"/>
      <c r="BA30" s="3630"/>
      <c r="BB30" s="367">
        <f t="shared" si="1"/>
        <v>0</v>
      </c>
    </row>
    <row r="31" spans="1:72" ht="101.25">
      <c r="A31" s="3612" t="s">
        <v>2116</v>
      </c>
      <c r="B31" s="3613" t="s">
        <v>10849</v>
      </c>
      <c r="C31" s="3614" t="s">
        <v>10848</v>
      </c>
      <c r="D31" s="3615" t="s">
        <v>788</v>
      </c>
      <c r="E31" s="2769" t="s">
        <v>10842</v>
      </c>
      <c r="F31" s="5865" t="s">
        <v>10843</v>
      </c>
      <c r="G31" s="4789" t="s">
        <v>10845</v>
      </c>
      <c r="H31" s="5871" t="s">
        <v>10851</v>
      </c>
      <c r="I31" s="2769" t="s">
        <v>10847</v>
      </c>
      <c r="J31" s="3611" t="s">
        <v>10846</v>
      </c>
      <c r="K31" s="3617"/>
      <c r="L31" s="3618"/>
      <c r="M31" s="3619"/>
      <c r="N31" s="3620"/>
      <c r="O31" s="3617"/>
      <c r="P31" s="3621"/>
      <c r="Q31" s="3617"/>
      <c r="R31" s="3618"/>
      <c r="S31" s="3633"/>
      <c r="T31" s="3632"/>
      <c r="U31" s="3633"/>
      <c r="V31" s="3634"/>
      <c r="W31" s="3617">
        <v>53512</v>
      </c>
      <c r="X31" s="3616" t="s">
        <v>10852</v>
      </c>
      <c r="Y31" s="3617"/>
      <c r="Z31" s="3618"/>
      <c r="AA31" s="3617"/>
      <c r="AB31" s="3622"/>
      <c r="AC31" s="358">
        <f>K31+M31+O31+Q31+S31+U31+W31+Y31+AA31</f>
        <v>53512</v>
      </c>
      <c r="AD31" s="2788" t="s">
        <v>465</v>
      </c>
      <c r="AE31" s="4552">
        <v>44978</v>
      </c>
      <c r="AF31" s="3631">
        <v>46799</v>
      </c>
      <c r="AG31" s="3623"/>
      <c r="AH31" s="3624"/>
      <c r="AI31" s="3625"/>
      <c r="AJ31" s="3626"/>
      <c r="AK31" s="3627"/>
      <c r="AL31" s="3628"/>
      <c r="AM31" s="3627"/>
      <c r="AN31" s="3629"/>
      <c r="AO31" s="3627"/>
      <c r="AP31" s="3629"/>
      <c r="AQ31" s="3627"/>
      <c r="AR31" s="982"/>
      <c r="AS31" s="984"/>
      <c r="AT31" s="982"/>
      <c r="AU31" s="984"/>
      <c r="AV31" s="3629"/>
      <c r="AW31" s="3627"/>
      <c r="AX31" s="3629"/>
      <c r="AY31" s="3627"/>
      <c r="AZ31" s="3629"/>
      <c r="BA31" s="3630"/>
      <c r="BB31" s="367">
        <f t="shared" ref="BB31" si="3">AJ31+AL31+AN31+AP31+AR31+AT31+AV31+AX31+AZ31</f>
        <v>0</v>
      </c>
    </row>
    <row r="32" spans="1:72" ht="56.25">
      <c r="A32" s="3612" t="s">
        <v>2116</v>
      </c>
      <c r="B32" s="3613" t="s">
        <v>12526</v>
      </c>
      <c r="C32" s="3614" t="s">
        <v>12524</v>
      </c>
      <c r="D32" s="3615" t="s">
        <v>788</v>
      </c>
      <c r="E32" s="2769" t="s">
        <v>12519</v>
      </c>
      <c r="F32" s="5865" t="s">
        <v>9660</v>
      </c>
      <c r="G32" s="4789" t="s">
        <v>12520</v>
      </c>
      <c r="H32" s="5871" t="s">
        <v>12521</v>
      </c>
      <c r="I32" s="2769" t="s">
        <v>12522</v>
      </c>
      <c r="J32" s="3611" t="s">
        <v>12523</v>
      </c>
      <c r="K32" s="3617"/>
      <c r="L32" s="3618"/>
      <c r="M32" s="3619"/>
      <c r="N32" s="3620"/>
      <c r="O32" s="3617"/>
      <c r="P32" s="3621"/>
      <c r="Q32" s="3617"/>
      <c r="R32" s="3618"/>
      <c r="S32" s="3633"/>
      <c r="T32" s="3632"/>
      <c r="U32" s="3633"/>
      <c r="V32" s="3634"/>
      <c r="W32" s="6583">
        <v>17963</v>
      </c>
      <c r="X32" s="3616" t="s">
        <v>12527</v>
      </c>
      <c r="Y32" s="3617"/>
      <c r="Z32" s="3618"/>
      <c r="AA32" s="3617"/>
      <c r="AB32" s="3622"/>
      <c r="AC32" s="358">
        <f>K32+M32+O32+Q32+S32+U32+W32+Y32+AA32</f>
        <v>17963</v>
      </c>
      <c r="AD32" s="2788" t="s">
        <v>465</v>
      </c>
      <c r="AE32" s="4552">
        <v>45469</v>
      </c>
      <c r="AF32" s="6584" t="s">
        <v>12528</v>
      </c>
      <c r="AG32" s="3623"/>
      <c r="AH32" s="3624"/>
      <c r="AI32" s="3625"/>
      <c r="AJ32" s="3626"/>
      <c r="AK32" s="3627"/>
      <c r="AL32" s="3628"/>
      <c r="AM32" s="3627"/>
      <c r="AN32" s="3629"/>
      <c r="AO32" s="3627"/>
      <c r="AP32" s="3629"/>
      <c r="AQ32" s="3627"/>
      <c r="AR32" s="982"/>
      <c r="AS32" s="984"/>
      <c r="AT32" s="982"/>
      <c r="AU32" s="984"/>
      <c r="AV32" s="3629"/>
      <c r="AW32" s="3627"/>
      <c r="AX32" s="3629"/>
      <c r="AY32" s="3627"/>
      <c r="AZ32" s="3629"/>
      <c r="BA32" s="3630"/>
      <c r="BB32" s="367">
        <f t="shared" ref="BB32" si="4">AJ32+AL32+AN32+AP32+AR32+AT32+AV32+AX32+AZ32</f>
        <v>0</v>
      </c>
    </row>
  </sheetData>
  <sheetProtection sheet="1" objects="1" scenarios="1"/>
  <mergeCells count="21">
    <mergeCell ref="W5:X5"/>
    <mergeCell ref="AR5:AS5"/>
    <mergeCell ref="AC4:AC6"/>
    <mergeCell ref="I4:J5"/>
    <mergeCell ref="U5:V5"/>
    <mergeCell ref="AN5:AO5"/>
    <mergeCell ref="K5:L5"/>
    <mergeCell ref="M5:N5"/>
    <mergeCell ref="O5:P5"/>
    <mergeCell ref="Q5:R5"/>
    <mergeCell ref="S5:T5"/>
    <mergeCell ref="BB4:BB6"/>
    <mergeCell ref="Y5:Z5"/>
    <mergeCell ref="AA5:AB5"/>
    <mergeCell ref="AJ5:AK5"/>
    <mergeCell ref="AL5:AM5"/>
    <mergeCell ref="AZ5:BA5"/>
    <mergeCell ref="AV5:AW5"/>
    <mergeCell ref="AX5:AY5"/>
    <mergeCell ref="AT5:AU5"/>
    <mergeCell ref="AP5:AQ5"/>
  </mergeCells>
  <phoneticPr fontId="19"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344"/>
  <sheetViews>
    <sheetView zoomScale="85" zoomScaleNormal="85" workbookViewId="0">
      <pane xSplit="8" ySplit="3" topLeftCell="O286" activePane="bottomRight" state="frozen"/>
      <selection activeCell="D156" sqref="D156"/>
      <selection pane="topRight" activeCell="D156" sqref="D156"/>
      <selection pane="bottomLeft" activeCell="D156" sqref="D156"/>
      <selection pane="bottomRight" activeCell="C289" sqref="C289"/>
    </sheetView>
  </sheetViews>
  <sheetFormatPr defaultColWidth="16.28515625" defaultRowHeight="12.75"/>
  <cols>
    <col min="1" max="1" width="11.7109375" style="5961" bestFit="1" customWidth="1"/>
    <col min="2" max="2" width="28.140625" style="295" bestFit="1" customWidth="1"/>
    <col min="3" max="3" width="4.5703125" style="285" bestFit="1" customWidth="1"/>
    <col min="4" max="5" width="11" style="286" bestFit="1" customWidth="1"/>
    <col min="6" max="6" width="12.42578125" style="287" customWidth="1"/>
    <col min="7" max="7" width="12.85546875" style="2623" customWidth="1"/>
    <col min="8" max="8" width="20.7109375" style="309" bestFit="1" customWidth="1"/>
    <col min="9" max="9" width="21" style="289" customWidth="1"/>
    <col min="10" max="10" width="23.85546875" style="267" customWidth="1"/>
    <col min="11" max="11" width="11.5703125" style="288" customWidth="1"/>
    <col min="12" max="12" width="26.42578125" style="289" customWidth="1"/>
    <col min="13" max="13" width="26.5703125" style="267" bestFit="1" customWidth="1"/>
    <col min="14" max="14" width="18" style="289" customWidth="1"/>
    <col min="15" max="15" width="27.140625" style="309" customWidth="1"/>
    <col min="16" max="16" width="43" style="344" customWidth="1"/>
    <col min="17" max="17" width="35.7109375" style="267" customWidth="1"/>
    <col min="18" max="18" width="33.7109375" style="267" customWidth="1"/>
    <col min="19" max="19" width="27.5703125" style="320" customWidth="1"/>
    <col min="20" max="20" width="11.7109375" style="283" hidden="1" customWidth="1"/>
    <col min="21" max="21" width="12.140625" style="284" hidden="1" customWidth="1"/>
    <col min="22" max="22" width="11.7109375" style="281" hidden="1" customWidth="1"/>
    <col min="23" max="23" width="10.28515625" style="283" hidden="1" customWidth="1"/>
    <col min="24" max="24" width="12.140625" style="284" hidden="1" customWidth="1"/>
    <col min="25" max="25" width="10.28515625" style="281" hidden="1" customWidth="1"/>
    <col min="26" max="26" width="12.28515625" style="283" hidden="1" customWidth="1"/>
    <col min="27" max="27" width="12.28515625" style="284" hidden="1" customWidth="1"/>
    <col min="28" max="28" width="12.28515625" style="281" hidden="1" customWidth="1"/>
    <col min="29" max="29" width="10.28515625" style="283" hidden="1" customWidth="1"/>
    <col min="30" max="30" width="10.28515625" style="284" hidden="1" customWidth="1"/>
    <col min="31" max="31" width="10.28515625" style="281" hidden="1" customWidth="1"/>
    <col min="32" max="32" width="12.28515625" style="283" hidden="1" customWidth="1"/>
    <col min="33" max="33" width="12.28515625" style="284" hidden="1" customWidth="1"/>
    <col min="34" max="34" width="14.28515625" style="282" hidden="1" customWidth="1"/>
    <col min="35" max="35" width="14" style="481" bestFit="1" customWidth="1"/>
    <col min="36" max="36" width="10.28515625" style="284" bestFit="1" customWidth="1"/>
    <col min="37" max="37" width="11.7109375" style="284" bestFit="1" customWidth="1"/>
    <col min="38" max="38" width="15" style="312" bestFit="1" customWidth="1"/>
    <col min="39" max="39" width="15.7109375" style="305" customWidth="1"/>
    <col min="40" max="40" width="12.42578125" style="303" customWidth="1"/>
    <col min="41" max="41" width="14.5703125" style="291" bestFit="1" customWidth="1"/>
    <col min="42" max="42" width="13.7109375" style="292" bestFit="1" customWidth="1"/>
    <col min="43" max="43" width="13.28515625" style="2726" customWidth="1"/>
    <col min="44" max="44" width="10.5703125" style="293" hidden="1" customWidth="1"/>
    <col min="45" max="45" width="10.5703125" style="294" hidden="1" customWidth="1"/>
    <col min="46" max="46" width="12.42578125" style="294" hidden="1" customWidth="1"/>
    <col min="47" max="47" width="10.5703125" style="294" hidden="1" customWidth="1"/>
    <col min="48" max="48" width="12.42578125" style="294" hidden="1" customWidth="1"/>
    <col min="49" max="49" width="11.7109375" style="2885" bestFit="1" customWidth="1"/>
    <col min="50" max="50" width="34.140625" style="2894" customWidth="1"/>
    <col min="51" max="51" width="24.85546875" style="267" customWidth="1"/>
    <col min="52" max="16384" width="16.28515625" style="267"/>
  </cols>
  <sheetData>
    <row r="1" spans="1:57" ht="21" thickTop="1" thickBot="1">
      <c r="B1" s="315" t="s">
        <v>1730</v>
      </c>
      <c r="C1" s="311"/>
      <c r="D1" s="316"/>
      <c r="E1" s="316"/>
      <c r="F1" s="317"/>
      <c r="G1" s="2617"/>
      <c r="H1" s="298"/>
      <c r="I1" s="301"/>
      <c r="J1" s="297"/>
      <c r="K1" s="318"/>
      <c r="L1" s="301"/>
      <c r="M1" s="297"/>
      <c r="N1" s="301"/>
      <c r="O1" s="298"/>
      <c r="P1" s="342"/>
      <c r="Q1" s="343"/>
      <c r="R1" s="3934"/>
      <c r="S1" s="4145">
        <f>SUM(AI:AI)-SUM(AI1:AI4)</f>
        <v>10652935</v>
      </c>
      <c r="T1" s="1295"/>
      <c r="U1" s="1296">
        <f>SUM(V:V)</f>
        <v>1244462</v>
      </c>
      <c r="V1" s="1297"/>
      <c r="W1" s="1295"/>
      <c r="X1" s="1296">
        <f>SUM(Y:Y)</f>
        <v>921624</v>
      </c>
      <c r="Y1" s="1297"/>
      <c r="Z1" s="1295"/>
      <c r="AA1" s="1296">
        <f>SUM(AB:AB)</f>
        <v>517934</v>
      </c>
      <c r="AB1" s="1297"/>
      <c r="AC1" s="1015"/>
      <c r="AD1" s="1016">
        <f>SUM(AE:AE)</f>
        <v>9520</v>
      </c>
      <c r="AE1" s="1017"/>
      <c r="AF1" s="1015"/>
      <c r="AG1" s="1016">
        <f>SUM(AH:AH)</f>
        <v>14277</v>
      </c>
      <c r="AH1" s="1017"/>
      <c r="AI1" s="3930">
        <f>SUM(AJ:AJ)</f>
        <v>1151237</v>
      </c>
      <c r="AJ1" s="3931" t="s">
        <v>7232</v>
      </c>
      <c r="AK1" s="3932" t="s">
        <v>7231</v>
      </c>
      <c r="AL1" s="3933">
        <f>SUM(AK:AK)</f>
        <v>1568469</v>
      </c>
      <c r="AM1" s="3934">
        <f>SUM(AL:AL)-SUM(AL1:AL4)</f>
        <v>7933229</v>
      </c>
      <c r="AN1" s="4146">
        <f>S1-AI1-AL1-AM1</f>
        <v>0</v>
      </c>
      <c r="AO1" s="3595"/>
      <c r="AP1" s="2800" t="s">
        <v>4916</v>
      </c>
      <c r="AQ1" s="2801"/>
      <c r="AR1" s="6665" t="s">
        <v>6876</v>
      </c>
      <c r="AS1" s="6666"/>
      <c r="AT1" s="6666"/>
      <c r="AU1" s="6666"/>
      <c r="AV1" s="6666"/>
      <c r="AW1" s="6666"/>
      <c r="AX1" s="6667"/>
      <c r="AY1" s="850"/>
      <c r="AZ1" s="851"/>
      <c r="BA1" s="296"/>
    </row>
    <row r="2" spans="1:57" ht="27" thickBot="1">
      <c r="A2" s="5962"/>
      <c r="B2" s="295" t="s">
        <v>1793</v>
      </c>
      <c r="C2" s="285">
        <f>COUNTA(B:B)-COUNTA(B1:B4)-5</f>
        <v>328</v>
      </c>
      <c r="F2" s="2407" t="s">
        <v>4915</v>
      </c>
      <c r="G2" s="2618"/>
      <c r="T2" s="6677" t="s">
        <v>2500</v>
      </c>
      <c r="U2" s="6678"/>
      <c r="V2" s="6678"/>
      <c r="W2" s="6678"/>
      <c r="X2" s="6678"/>
      <c r="Y2" s="6678"/>
      <c r="Z2" s="6678"/>
      <c r="AA2" s="6678"/>
      <c r="AB2" s="6678"/>
      <c r="AC2" s="6678"/>
      <c r="AD2" s="6678"/>
      <c r="AE2" s="6678"/>
      <c r="AF2" s="6678"/>
      <c r="AG2" s="6678"/>
      <c r="AH2" s="6678"/>
      <c r="AI2" s="6678"/>
      <c r="AJ2" s="6678"/>
      <c r="AK2" s="6678"/>
      <c r="AL2" s="6679"/>
      <c r="AM2" s="6675" t="s">
        <v>583</v>
      </c>
      <c r="AN2" s="6676"/>
      <c r="AO2" s="6676"/>
      <c r="AP2" s="2802" t="s">
        <v>11479</v>
      </c>
      <c r="AQ2" s="2803">
        <v>1.1576249999999999</v>
      </c>
      <c r="AR2" s="6668"/>
      <c r="AS2" s="6666"/>
      <c r="AT2" s="6666"/>
      <c r="AU2" s="6666"/>
      <c r="AV2" s="6666"/>
      <c r="AW2" s="6666"/>
      <c r="AX2" s="6667"/>
      <c r="AY2" s="850"/>
      <c r="AZ2" s="851"/>
      <c r="BA2" s="296"/>
    </row>
    <row r="3" spans="1:57" s="285" customFormat="1" ht="39" thickBot="1">
      <c r="A3" s="5963" t="s">
        <v>11457</v>
      </c>
      <c r="B3" s="686" t="s">
        <v>1591</v>
      </c>
      <c r="C3" s="687" t="s">
        <v>1596</v>
      </c>
      <c r="D3" s="687" t="s">
        <v>1594</v>
      </c>
      <c r="E3" s="3040" t="s">
        <v>6382</v>
      </c>
      <c r="F3" s="2406" t="s">
        <v>3946</v>
      </c>
      <c r="G3" s="2619" t="s">
        <v>3945</v>
      </c>
      <c r="H3" s="689" t="s">
        <v>1595</v>
      </c>
      <c r="I3" s="686" t="s">
        <v>1429</v>
      </c>
      <c r="J3" s="687" t="s">
        <v>1430</v>
      </c>
      <c r="K3" s="689" t="s">
        <v>1794</v>
      </c>
      <c r="L3" s="686" t="s">
        <v>1592</v>
      </c>
      <c r="M3" s="687" t="s">
        <v>1593</v>
      </c>
      <c r="N3" s="686" t="s">
        <v>236</v>
      </c>
      <c r="O3" s="689" t="s">
        <v>1623</v>
      </c>
      <c r="P3" s="1568" t="s">
        <v>1431</v>
      </c>
      <c r="Q3" s="687" t="s">
        <v>1621</v>
      </c>
      <c r="R3" s="687" t="s">
        <v>1613</v>
      </c>
      <c r="S3" s="690" t="s">
        <v>1611</v>
      </c>
      <c r="T3" s="691" t="s">
        <v>1598</v>
      </c>
      <c r="U3" s="692" t="s">
        <v>1612</v>
      </c>
      <c r="V3" s="693" t="s">
        <v>1619</v>
      </c>
      <c r="W3" s="691" t="s">
        <v>1599</v>
      </c>
      <c r="X3" s="692" t="s">
        <v>1731</v>
      </c>
      <c r="Y3" s="693" t="s">
        <v>1618</v>
      </c>
      <c r="Z3" s="691" t="s">
        <v>1600</v>
      </c>
      <c r="AA3" s="692" t="s">
        <v>1732</v>
      </c>
      <c r="AB3" s="693" t="s">
        <v>1615</v>
      </c>
      <c r="AC3" s="1006" t="s">
        <v>1601</v>
      </c>
      <c r="AD3" s="1007" t="s">
        <v>1602</v>
      </c>
      <c r="AE3" s="1008" t="s">
        <v>1616</v>
      </c>
      <c r="AF3" s="1006" t="s">
        <v>1603</v>
      </c>
      <c r="AG3" s="1007" t="s">
        <v>1604</v>
      </c>
      <c r="AH3" s="1008" t="s">
        <v>1617</v>
      </c>
      <c r="AI3" s="691" t="s">
        <v>6878</v>
      </c>
      <c r="AJ3" s="692" t="s">
        <v>7223</v>
      </c>
      <c r="AK3" s="692" t="s">
        <v>7224</v>
      </c>
      <c r="AL3" s="693" t="s">
        <v>6877</v>
      </c>
      <c r="AM3" s="3596" t="s">
        <v>1706</v>
      </c>
      <c r="AN3" s="3597" t="s">
        <v>495</v>
      </c>
      <c r="AO3" s="3598" t="s">
        <v>1708</v>
      </c>
      <c r="AP3" s="2718" t="s">
        <v>3943</v>
      </c>
      <c r="AQ3" s="2719" t="s">
        <v>3944</v>
      </c>
      <c r="AR3" s="2797" t="s">
        <v>1605</v>
      </c>
      <c r="AS3" s="2798" t="s">
        <v>1606</v>
      </c>
      <c r="AT3" s="2798" t="s">
        <v>1607</v>
      </c>
      <c r="AU3" s="2799" t="s">
        <v>1608</v>
      </c>
      <c r="AV3" s="2799" t="s">
        <v>1609</v>
      </c>
      <c r="AW3" s="3154" t="s">
        <v>7523</v>
      </c>
      <c r="AX3" s="2886" t="s">
        <v>670</v>
      </c>
      <c r="AY3" s="850"/>
      <c r="AZ3" s="851"/>
      <c r="BA3" s="296"/>
      <c r="BB3" s="296"/>
      <c r="BD3" s="286"/>
      <c r="BE3" s="696"/>
    </row>
    <row r="4" spans="1:57" s="1868" customFormat="1" ht="50.1" customHeight="1" thickBot="1">
      <c r="A4" s="6662" t="s">
        <v>4483</v>
      </c>
      <c r="B4" s="6663"/>
      <c r="C4" s="6663"/>
      <c r="D4" s="6663"/>
      <c r="E4" s="6663"/>
      <c r="F4" s="6663"/>
      <c r="G4" s="6663"/>
      <c r="H4" s="6664"/>
      <c r="I4" s="1578"/>
      <c r="J4" s="1579"/>
      <c r="K4" s="1580"/>
      <c r="L4" s="1578"/>
      <c r="M4" s="1579"/>
      <c r="N4" s="1578"/>
      <c r="O4" s="1581"/>
      <c r="P4" s="1582"/>
      <c r="Q4" s="1579"/>
      <c r="R4" s="1579"/>
      <c r="S4" s="1583"/>
      <c r="T4" s="1584"/>
      <c r="U4" s="1585"/>
      <c r="V4" s="1586"/>
      <c r="W4" s="1584"/>
      <c r="X4" s="1585"/>
      <c r="Y4" s="1586"/>
      <c r="Z4" s="1584"/>
      <c r="AA4" s="1585"/>
      <c r="AB4" s="1586"/>
      <c r="AC4" s="1584"/>
      <c r="AD4" s="1585"/>
      <c r="AE4" s="1586"/>
      <c r="AF4" s="1584"/>
      <c r="AG4" s="1585"/>
      <c r="AH4" s="1867"/>
      <c r="AI4" s="1587"/>
      <c r="AJ4" s="1585"/>
      <c r="AK4" s="3927"/>
      <c r="AL4" s="1588"/>
      <c r="AM4" s="3599"/>
      <c r="AN4" s="3600"/>
      <c r="AO4" s="3601"/>
      <c r="AP4" s="2720"/>
      <c r="AQ4" s="2721"/>
      <c r="AR4" s="1589"/>
      <c r="AS4" s="1590"/>
      <c r="AT4" s="1590"/>
      <c r="AU4" s="1590"/>
      <c r="AV4" s="1590"/>
      <c r="AW4" s="3155"/>
      <c r="AX4" s="3159"/>
    </row>
    <row r="5" spans="1:57" ht="63.75">
      <c r="A5" s="5964" t="s">
        <v>11035</v>
      </c>
      <c r="B5" s="338">
        <v>283</v>
      </c>
      <c r="C5" s="321" t="s">
        <v>1432</v>
      </c>
      <c r="D5" s="323">
        <v>41163</v>
      </c>
      <c r="E5" s="3051" t="s">
        <v>6390</v>
      </c>
      <c r="F5" s="324" t="s">
        <v>5913</v>
      </c>
      <c r="G5" s="2621">
        <v>1</v>
      </c>
      <c r="H5" s="332" t="s">
        <v>4315</v>
      </c>
      <c r="I5" s="339" t="s">
        <v>1433</v>
      </c>
      <c r="J5" s="322" t="s">
        <v>1434</v>
      </c>
      <c r="K5" s="2152" t="s">
        <v>4366</v>
      </c>
      <c r="L5" s="339" t="s">
        <v>1814</v>
      </c>
      <c r="M5" s="322" t="s">
        <v>1810</v>
      </c>
      <c r="N5" s="339" t="s">
        <v>2830</v>
      </c>
      <c r="O5" s="332" t="s">
        <v>6342</v>
      </c>
      <c r="P5" s="345"/>
      <c r="Q5" s="322" t="s">
        <v>1661</v>
      </c>
      <c r="R5" s="322" t="s">
        <v>1523</v>
      </c>
      <c r="S5" s="346"/>
      <c r="T5" s="347">
        <v>991</v>
      </c>
      <c r="U5" s="326">
        <v>0</v>
      </c>
      <c r="V5" s="348">
        <f>T5-U5</f>
        <v>991</v>
      </c>
      <c r="W5" s="347">
        <v>175</v>
      </c>
      <c r="X5" s="326">
        <v>0</v>
      </c>
      <c r="Y5" s="348">
        <f>W5-X5</f>
        <v>175</v>
      </c>
      <c r="Z5" s="347">
        <v>72</v>
      </c>
      <c r="AA5" s="326">
        <v>0</v>
      </c>
      <c r="AB5" s="348">
        <f>Z5-AA5</f>
        <v>72</v>
      </c>
      <c r="AC5" s="820">
        <v>52</v>
      </c>
      <c r="AD5" s="821">
        <v>0</v>
      </c>
      <c r="AE5" s="822">
        <f>AC5-AD5</f>
        <v>52</v>
      </c>
      <c r="AF5" s="820">
        <v>78</v>
      </c>
      <c r="AG5" s="821">
        <v>0</v>
      </c>
      <c r="AH5" s="822">
        <f>AF5-AG5</f>
        <v>78</v>
      </c>
      <c r="AI5" s="482">
        <f>T5+W5+Z5</f>
        <v>1238</v>
      </c>
      <c r="AJ5" s="326">
        <f>U5+X5+AA5</f>
        <v>0</v>
      </c>
      <c r="AK5" s="3917">
        <v>0</v>
      </c>
      <c r="AL5" s="349">
        <f>AI5-AJ5-AK5</f>
        <v>1238</v>
      </c>
      <c r="AM5" s="3356"/>
      <c r="AN5" s="3357"/>
      <c r="AO5" s="695"/>
      <c r="AP5" s="2722" t="str">
        <f>AP$2</f>
        <v>Planning Reg 2023-2024</v>
      </c>
      <c r="AQ5" s="2723">
        <f>AQ$2</f>
        <v>1.1576249999999999</v>
      </c>
      <c r="AR5" s="333">
        <v>0</v>
      </c>
      <c r="AS5" s="330">
        <v>0</v>
      </c>
      <c r="AT5" s="330">
        <v>0</v>
      </c>
      <c r="AU5" s="849">
        <v>0</v>
      </c>
      <c r="AV5" s="849">
        <v>0</v>
      </c>
      <c r="AW5" s="3156">
        <f>ROUND(AL5*AQ5/G5,0)</f>
        <v>1433</v>
      </c>
      <c r="AX5" s="3140" t="s">
        <v>1728</v>
      </c>
    </row>
    <row r="6" spans="1:57" ht="90" thickBot="1">
      <c r="A6" s="5965" t="s">
        <v>11036</v>
      </c>
      <c r="B6" s="6453" t="s">
        <v>12219</v>
      </c>
      <c r="C6" s="3646" t="s">
        <v>1432</v>
      </c>
      <c r="D6" s="3647">
        <v>41612</v>
      </c>
      <c r="E6" s="3647" t="s">
        <v>6389</v>
      </c>
      <c r="F6" s="3648" t="s">
        <v>5914</v>
      </c>
      <c r="G6" s="3649">
        <v>1</v>
      </c>
      <c r="H6" s="3650" t="s">
        <v>5263</v>
      </c>
      <c r="I6" s="3651" t="s">
        <v>1433</v>
      </c>
      <c r="J6" s="3652" t="s">
        <v>1434</v>
      </c>
      <c r="K6" s="5455" t="s">
        <v>12262</v>
      </c>
      <c r="L6" s="3651" t="s">
        <v>1819</v>
      </c>
      <c r="M6" s="3652" t="s">
        <v>1801</v>
      </c>
      <c r="N6" s="3651" t="s">
        <v>1581</v>
      </c>
      <c r="O6" s="5729" t="s">
        <v>6201</v>
      </c>
      <c r="P6" s="3654"/>
      <c r="Q6" s="3652" t="s">
        <v>1703</v>
      </c>
      <c r="R6" s="3652" t="s">
        <v>1582</v>
      </c>
      <c r="S6" s="3655"/>
      <c r="T6" s="3656">
        <v>81243</v>
      </c>
      <c r="U6" s="3657">
        <v>0</v>
      </c>
      <c r="V6" s="3658">
        <f>T6-U6</f>
        <v>81243</v>
      </c>
      <c r="W6" s="3656">
        <v>14337</v>
      </c>
      <c r="X6" s="3657">
        <v>0</v>
      </c>
      <c r="Y6" s="3658">
        <f>W6-X6</f>
        <v>14337</v>
      </c>
      <c r="Z6" s="3656">
        <v>0</v>
      </c>
      <c r="AA6" s="3657">
        <v>0</v>
      </c>
      <c r="AB6" s="3658">
        <f>Z6-AA6</f>
        <v>0</v>
      </c>
      <c r="AC6" s="3659">
        <v>4248</v>
      </c>
      <c r="AD6" s="3660">
        <v>0</v>
      </c>
      <c r="AE6" s="3661">
        <f>AC6-AD6</f>
        <v>4248</v>
      </c>
      <c r="AF6" s="3659">
        <v>6372</v>
      </c>
      <c r="AG6" s="3660">
        <v>0</v>
      </c>
      <c r="AH6" s="3661">
        <f>AF6-AG6</f>
        <v>6372</v>
      </c>
      <c r="AI6" s="3662">
        <f>T6+W6+Z6</f>
        <v>95580</v>
      </c>
      <c r="AJ6" s="326">
        <f>U6+X6+AA6</f>
        <v>0</v>
      </c>
      <c r="AK6" s="3928">
        <v>0</v>
      </c>
      <c r="AL6" s="349">
        <f>AI6-AJ6-AK6</f>
        <v>95580</v>
      </c>
      <c r="AM6" s="3693"/>
      <c r="AN6" s="3664"/>
      <c r="AO6" s="3665"/>
      <c r="AP6" s="3666" t="str">
        <f>AP$2</f>
        <v>Planning Reg 2023-2024</v>
      </c>
      <c r="AQ6" s="3667">
        <f>AQ$2</f>
        <v>1.1576249999999999</v>
      </c>
      <c r="AR6" s="3668">
        <v>0</v>
      </c>
      <c r="AS6" s="3669">
        <v>0</v>
      </c>
      <c r="AT6" s="3669">
        <v>0</v>
      </c>
      <c r="AU6" s="3670">
        <v>0</v>
      </c>
      <c r="AV6" s="3670">
        <v>0</v>
      </c>
      <c r="AW6" s="3671">
        <f>ROUND(AL6*AQ6/G6,0)</f>
        <v>110646</v>
      </c>
      <c r="AX6" s="3672" t="s">
        <v>1728</v>
      </c>
    </row>
    <row r="7" spans="1:57" s="3692" customFormat="1" ht="50.1" customHeight="1" thickBot="1">
      <c r="A7" s="6662" t="s">
        <v>4484</v>
      </c>
      <c r="B7" s="6663"/>
      <c r="C7" s="6663"/>
      <c r="D7" s="6663"/>
      <c r="E7" s="6663"/>
      <c r="F7" s="6663"/>
      <c r="G7" s="6663"/>
      <c r="H7" s="6664"/>
      <c r="I7" s="1869"/>
      <c r="J7" s="1870"/>
      <c r="K7" s="1871"/>
      <c r="L7" s="1869"/>
      <c r="M7" s="1870"/>
      <c r="N7" s="1869"/>
      <c r="O7" s="1872"/>
      <c r="P7" s="1873"/>
      <c r="Q7" s="1870"/>
      <c r="R7" s="1870"/>
      <c r="S7" s="1874"/>
      <c r="T7" s="1875"/>
      <c r="U7" s="1876"/>
      <c r="V7" s="1877"/>
      <c r="W7" s="1875"/>
      <c r="X7" s="1876"/>
      <c r="Y7" s="1877"/>
      <c r="Z7" s="1875"/>
      <c r="AA7" s="1876"/>
      <c r="AB7" s="1877"/>
      <c r="AC7" s="1875"/>
      <c r="AD7" s="1876"/>
      <c r="AE7" s="1877"/>
      <c r="AF7" s="1875"/>
      <c r="AG7" s="1876"/>
      <c r="AH7" s="1878"/>
      <c r="AI7" s="1587"/>
      <c r="AJ7" s="1585"/>
      <c r="AK7" s="3927"/>
      <c r="AL7" s="3927"/>
      <c r="AM7" s="3602"/>
      <c r="AN7" s="3603"/>
      <c r="AO7" s="3604"/>
      <c r="AP7" s="2724"/>
      <c r="AQ7" s="2725"/>
      <c r="AR7" s="1589"/>
      <c r="AS7" s="1590"/>
      <c r="AT7" s="1590"/>
      <c r="AU7" s="1590"/>
      <c r="AV7" s="1590"/>
      <c r="AW7" s="3158"/>
      <c r="AX7" s="3160"/>
    </row>
    <row r="8" spans="1:57" ht="76.5">
      <c r="A8" s="5964" t="s">
        <v>11036</v>
      </c>
      <c r="B8" s="5788" t="s">
        <v>11056</v>
      </c>
      <c r="C8" s="2421">
        <v>0</v>
      </c>
      <c r="D8" s="2422">
        <v>41680</v>
      </c>
      <c r="E8" s="3055" t="s">
        <v>6389</v>
      </c>
      <c r="F8" s="3138" t="s">
        <v>5914</v>
      </c>
      <c r="G8" s="3139">
        <v>1</v>
      </c>
      <c r="H8" s="2420" t="s">
        <v>5264</v>
      </c>
      <c r="I8" s="339" t="s">
        <v>1433</v>
      </c>
      <c r="J8" s="322" t="s">
        <v>1434</v>
      </c>
      <c r="K8" s="340" t="s">
        <v>7773</v>
      </c>
      <c r="L8" s="339" t="s">
        <v>1775</v>
      </c>
      <c r="M8" s="322" t="s">
        <v>1810</v>
      </c>
      <c r="N8" s="3182" t="s">
        <v>1776</v>
      </c>
      <c r="O8" s="2420" t="s">
        <v>1778</v>
      </c>
      <c r="P8" s="836" t="s">
        <v>7239</v>
      </c>
      <c r="Q8" s="322" t="s">
        <v>1781</v>
      </c>
      <c r="R8" s="322" t="s">
        <v>1782</v>
      </c>
      <c r="S8" s="346"/>
      <c r="T8" s="347">
        <v>5847</v>
      </c>
      <c r="U8" s="326">
        <v>0</v>
      </c>
      <c r="V8" s="348">
        <f>T8-U8</f>
        <v>5847</v>
      </c>
      <c r="W8" s="347">
        <v>7309</v>
      </c>
      <c r="X8" s="326">
        <v>0</v>
      </c>
      <c r="Y8" s="348">
        <f>W8-X8</f>
        <v>7309</v>
      </c>
      <c r="Z8" s="347">
        <v>1462</v>
      </c>
      <c r="AA8" s="326">
        <v>0</v>
      </c>
      <c r="AB8" s="348">
        <f>Z8-AA8</f>
        <v>1462</v>
      </c>
      <c r="AC8" s="820">
        <v>306</v>
      </c>
      <c r="AD8" s="821">
        <v>0</v>
      </c>
      <c r="AE8" s="822">
        <f>AC8-AD8</f>
        <v>306</v>
      </c>
      <c r="AF8" s="820">
        <v>458</v>
      </c>
      <c r="AG8" s="821">
        <v>0</v>
      </c>
      <c r="AH8" s="822">
        <f>AF8-AG8</f>
        <v>458</v>
      </c>
      <c r="AI8" s="482">
        <f t="shared" ref="AI8:AJ11" si="0">T8+W8+Z8</f>
        <v>14618</v>
      </c>
      <c r="AJ8" s="326">
        <f t="shared" si="0"/>
        <v>0</v>
      </c>
      <c r="AK8" s="3917">
        <v>0</v>
      </c>
      <c r="AL8" s="349">
        <f>AI8-AJ8-AK8</f>
        <v>14618</v>
      </c>
      <c r="AM8" s="2002"/>
      <c r="AN8" s="3357"/>
      <c r="AO8" s="695"/>
      <c r="AP8" s="2722" t="str">
        <f t="shared" ref="AP8:AQ11" si="1">AP$2</f>
        <v>Planning Reg 2023-2024</v>
      </c>
      <c r="AQ8" s="2723">
        <f t="shared" si="1"/>
        <v>1.1576249999999999</v>
      </c>
      <c r="AR8" s="333">
        <v>0</v>
      </c>
      <c r="AS8" s="330">
        <v>0</v>
      </c>
      <c r="AT8" s="330">
        <v>0</v>
      </c>
      <c r="AU8" s="849">
        <v>0</v>
      </c>
      <c r="AV8" s="849">
        <v>0</v>
      </c>
      <c r="AW8" s="3156">
        <f>ROUND(AL8*AQ8/G8,0)</f>
        <v>16922</v>
      </c>
      <c r="AX8" s="3140"/>
    </row>
    <row r="9" spans="1:57" ht="76.5">
      <c r="A9" s="5964" t="s">
        <v>11036</v>
      </c>
      <c r="B9" s="5788" t="s">
        <v>11784</v>
      </c>
      <c r="C9" s="2421">
        <v>0</v>
      </c>
      <c r="D9" s="2422">
        <v>41680</v>
      </c>
      <c r="E9" s="3055" t="s">
        <v>6389</v>
      </c>
      <c r="F9" s="3138" t="s">
        <v>5914</v>
      </c>
      <c r="G9" s="3139">
        <v>1</v>
      </c>
      <c r="H9" s="2420" t="s">
        <v>5264</v>
      </c>
      <c r="I9" s="339" t="s">
        <v>1433</v>
      </c>
      <c r="J9" s="322" t="s">
        <v>1434</v>
      </c>
      <c r="K9" s="340" t="s">
        <v>7773</v>
      </c>
      <c r="L9" s="339" t="s">
        <v>1775</v>
      </c>
      <c r="M9" s="322" t="s">
        <v>1810</v>
      </c>
      <c r="N9" s="3182" t="s">
        <v>1779</v>
      </c>
      <c r="O9" s="2420" t="s">
        <v>1778</v>
      </c>
      <c r="P9" s="836" t="s">
        <v>7239</v>
      </c>
      <c r="Q9" s="322" t="s">
        <v>1781</v>
      </c>
      <c r="R9" s="322" t="s">
        <v>1782</v>
      </c>
      <c r="S9" s="346"/>
      <c r="T9" s="347">
        <v>5847</v>
      </c>
      <c r="U9" s="326">
        <v>0</v>
      </c>
      <c r="V9" s="348">
        <f>T9-U9</f>
        <v>5847</v>
      </c>
      <c r="W9" s="347">
        <v>7309</v>
      </c>
      <c r="X9" s="326">
        <v>0</v>
      </c>
      <c r="Y9" s="348">
        <f>W9-X9</f>
        <v>7309</v>
      </c>
      <c r="Z9" s="347">
        <v>1462</v>
      </c>
      <c r="AA9" s="326">
        <v>0</v>
      </c>
      <c r="AB9" s="348">
        <f>Z9-AA9</f>
        <v>1462</v>
      </c>
      <c r="AC9" s="820">
        <v>306</v>
      </c>
      <c r="AD9" s="821">
        <v>0</v>
      </c>
      <c r="AE9" s="822">
        <f>AC9-AD9</f>
        <v>306</v>
      </c>
      <c r="AF9" s="820">
        <v>458</v>
      </c>
      <c r="AG9" s="821">
        <v>0</v>
      </c>
      <c r="AH9" s="822">
        <f>AF9-AG9</f>
        <v>458</v>
      </c>
      <c r="AI9" s="482">
        <f t="shared" si="0"/>
        <v>14618</v>
      </c>
      <c r="AJ9" s="326">
        <f t="shared" si="0"/>
        <v>0</v>
      </c>
      <c r="AK9" s="3917">
        <v>0</v>
      </c>
      <c r="AL9" s="349">
        <f>AI9-AJ9-AK9</f>
        <v>14618</v>
      </c>
      <c r="AM9" s="2002"/>
      <c r="AN9" s="3357"/>
      <c r="AO9" s="695"/>
      <c r="AP9" s="2722" t="str">
        <f t="shared" si="1"/>
        <v>Planning Reg 2023-2024</v>
      </c>
      <c r="AQ9" s="2723">
        <f t="shared" si="1"/>
        <v>1.1576249999999999</v>
      </c>
      <c r="AR9" s="333">
        <v>0</v>
      </c>
      <c r="AS9" s="330">
        <v>0</v>
      </c>
      <c r="AT9" s="330">
        <v>0</v>
      </c>
      <c r="AU9" s="849">
        <v>0</v>
      </c>
      <c r="AV9" s="849">
        <v>0</v>
      </c>
      <c r="AW9" s="3156">
        <f>ROUND(AL9*AQ9/G9,0)</f>
        <v>16922</v>
      </c>
      <c r="AX9" s="3140"/>
    </row>
    <row r="10" spans="1:57" ht="76.5">
      <c r="A10" s="5964" t="s">
        <v>11035</v>
      </c>
      <c r="B10" s="5788" t="s">
        <v>11785</v>
      </c>
      <c r="C10" s="2421">
        <v>0</v>
      </c>
      <c r="D10" s="2422">
        <v>41680</v>
      </c>
      <c r="E10" s="3055" t="s">
        <v>6389</v>
      </c>
      <c r="F10" s="3138" t="s">
        <v>5914</v>
      </c>
      <c r="G10" s="3139">
        <v>1</v>
      </c>
      <c r="H10" s="2420" t="s">
        <v>5264</v>
      </c>
      <c r="I10" s="339" t="s">
        <v>1433</v>
      </c>
      <c r="J10" s="322" t="s">
        <v>1434</v>
      </c>
      <c r="K10" s="340" t="s">
        <v>7773</v>
      </c>
      <c r="L10" s="339" t="s">
        <v>1775</v>
      </c>
      <c r="M10" s="322" t="s">
        <v>1810</v>
      </c>
      <c r="N10" s="3182" t="s">
        <v>1780</v>
      </c>
      <c r="O10" s="2420" t="s">
        <v>1778</v>
      </c>
      <c r="P10" s="836" t="s">
        <v>7239</v>
      </c>
      <c r="Q10" s="322" t="s">
        <v>1781</v>
      </c>
      <c r="R10" s="322" t="s">
        <v>1782</v>
      </c>
      <c r="S10" s="346"/>
      <c r="T10" s="347">
        <v>5847</v>
      </c>
      <c r="U10" s="326">
        <v>0</v>
      </c>
      <c r="V10" s="348">
        <f>T10-U10</f>
        <v>5847</v>
      </c>
      <c r="W10" s="347">
        <v>7309</v>
      </c>
      <c r="X10" s="326">
        <v>0</v>
      </c>
      <c r="Y10" s="348">
        <f>W10-X10</f>
        <v>7309</v>
      </c>
      <c r="Z10" s="347">
        <v>1462</v>
      </c>
      <c r="AA10" s="326">
        <v>0</v>
      </c>
      <c r="AB10" s="348">
        <f>Z10-AA10</f>
        <v>1462</v>
      </c>
      <c r="AC10" s="820">
        <v>306</v>
      </c>
      <c r="AD10" s="821">
        <v>0</v>
      </c>
      <c r="AE10" s="822">
        <f>AC10-AD10</f>
        <v>306</v>
      </c>
      <c r="AF10" s="820">
        <v>458</v>
      </c>
      <c r="AG10" s="821">
        <v>0</v>
      </c>
      <c r="AH10" s="822">
        <f>AF10-AG10</f>
        <v>458</v>
      </c>
      <c r="AI10" s="482">
        <f t="shared" si="0"/>
        <v>14618</v>
      </c>
      <c r="AJ10" s="326">
        <f t="shared" si="0"/>
        <v>0</v>
      </c>
      <c r="AK10" s="3917">
        <v>0</v>
      </c>
      <c r="AL10" s="349">
        <f>AI10-AJ10-AK10</f>
        <v>14618</v>
      </c>
      <c r="AM10" s="2002"/>
      <c r="AN10" s="3357"/>
      <c r="AO10" s="695"/>
      <c r="AP10" s="2722" t="str">
        <f t="shared" si="1"/>
        <v>Planning Reg 2023-2024</v>
      </c>
      <c r="AQ10" s="2723">
        <f t="shared" si="1"/>
        <v>1.1576249999999999</v>
      </c>
      <c r="AR10" s="333">
        <v>0</v>
      </c>
      <c r="AS10" s="330">
        <v>0</v>
      </c>
      <c r="AT10" s="330">
        <v>0</v>
      </c>
      <c r="AU10" s="849">
        <v>0</v>
      </c>
      <c r="AV10" s="849">
        <v>0</v>
      </c>
      <c r="AW10" s="3156">
        <f>ROUND(AL10*AQ10/G10,0)</f>
        <v>16922</v>
      </c>
      <c r="AX10" s="3140"/>
    </row>
    <row r="11" spans="1:57" ht="90" thickBot="1">
      <c r="A11" s="5965" t="s">
        <v>11036</v>
      </c>
      <c r="B11" s="3645" t="s">
        <v>1715</v>
      </c>
      <c r="C11" s="3646">
        <v>0</v>
      </c>
      <c r="D11" s="3647">
        <v>41768</v>
      </c>
      <c r="E11" s="3647" t="s">
        <v>6383</v>
      </c>
      <c r="F11" s="3648" t="s">
        <v>5914</v>
      </c>
      <c r="G11" s="3649">
        <v>1</v>
      </c>
      <c r="H11" s="3650" t="s">
        <v>5962</v>
      </c>
      <c r="I11" s="3651" t="s">
        <v>1433</v>
      </c>
      <c r="J11" s="3652" t="s">
        <v>1434</v>
      </c>
      <c r="K11" s="3653" t="s">
        <v>12218</v>
      </c>
      <c r="L11" s="3651" t="s">
        <v>2059</v>
      </c>
      <c r="M11" s="3652" t="s">
        <v>2060</v>
      </c>
      <c r="N11" s="3651" t="s">
        <v>2057</v>
      </c>
      <c r="O11" s="3650" t="s">
        <v>6341</v>
      </c>
      <c r="P11" s="3654"/>
      <c r="Q11" s="3652" t="s">
        <v>1111</v>
      </c>
      <c r="R11" s="3652" t="s">
        <v>2058</v>
      </c>
      <c r="S11" s="3655"/>
      <c r="T11" s="3656">
        <v>7648</v>
      </c>
      <c r="U11" s="3657">
        <v>0</v>
      </c>
      <c r="V11" s="3658">
        <f>T11-U11</f>
        <v>7648</v>
      </c>
      <c r="W11" s="3656">
        <v>9560</v>
      </c>
      <c r="X11" s="3657">
        <v>0</v>
      </c>
      <c r="Y11" s="3658">
        <f>W11-X11</f>
        <v>9560</v>
      </c>
      <c r="Z11" s="3656">
        <v>1912</v>
      </c>
      <c r="AA11" s="3657">
        <v>0</v>
      </c>
      <c r="AB11" s="3658">
        <f>Z11-AA11</f>
        <v>1912</v>
      </c>
      <c r="AC11" s="3659">
        <v>4302</v>
      </c>
      <c r="AD11" s="3660">
        <v>0</v>
      </c>
      <c r="AE11" s="3661">
        <f>AC11-AD11</f>
        <v>4302</v>
      </c>
      <c r="AF11" s="3659">
        <v>6453</v>
      </c>
      <c r="AG11" s="3660">
        <v>0</v>
      </c>
      <c r="AH11" s="3661">
        <f>AF11-AG11</f>
        <v>6453</v>
      </c>
      <c r="AI11" s="3662">
        <f t="shared" si="0"/>
        <v>19120</v>
      </c>
      <c r="AJ11" s="326">
        <f t="shared" si="0"/>
        <v>0</v>
      </c>
      <c r="AK11" s="3928">
        <v>0</v>
      </c>
      <c r="AL11" s="349">
        <f>AI11-AJ11-AK11</f>
        <v>19120</v>
      </c>
      <c r="AM11" s="3663"/>
      <c r="AN11" s="3664"/>
      <c r="AO11" s="3665"/>
      <c r="AP11" s="3666" t="str">
        <f t="shared" si="1"/>
        <v>Planning Reg 2023-2024</v>
      </c>
      <c r="AQ11" s="3667">
        <f t="shared" si="1"/>
        <v>1.1576249999999999</v>
      </c>
      <c r="AR11" s="3668">
        <v>0</v>
      </c>
      <c r="AS11" s="3669">
        <v>0</v>
      </c>
      <c r="AT11" s="3669">
        <v>0</v>
      </c>
      <c r="AU11" s="3670">
        <v>0</v>
      </c>
      <c r="AV11" s="3670">
        <v>0</v>
      </c>
      <c r="AW11" s="3671">
        <f>ROUND(AL11*AQ11/G11,0)</f>
        <v>22134</v>
      </c>
      <c r="AX11" s="3672"/>
    </row>
    <row r="12" spans="1:57" ht="50.1" customHeight="1" thickBot="1">
      <c r="A12" s="6662" t="s">
        <v>4485</v>
      </c>
      <c r="B12" s="6663"/>
      <c r="C12" s="6663"/>
      <c r="D12" s="6663"/>
      <c r="E12" s="6663"/>
      <c r="F12" s="6663"/>
      <c r="G12" s="6663"/>
      <c r="H12" s="6664"/>
      <c r="I12" s="1578"/>
      <c r="J12" s="1579"/>
      <c r="K12" s="1879"/>
      <c r="L12" s="1578"/>
      <c r="M12" s="1579"/>
      <c r="N12" s="1578"/>
      <c r="O12" s="1581"/>
      <c r="P12" s="1582"/>
      <c r="Q12" s="1579"/>
      <c r="R12" s="1579"/>
      <c r="S12" s="1583"/>
      <c r="T12" s="1584"/>
      <c r="U12" s="1585"/>
      <c r="V12" s="1586"/>
      <c r="W12" s="1584"/>
      <c r="X12" s="1585"/>
      <c r="Y12" s="1586"/>
      <c r="Z12" s="1584"/>
      <c r="AA12" s="1585"/>
      <c r="AB12" s="1586"/>
      <c r="AC12" s="1880" t="s">
        <v>2276</v>
      </c>
      <c r="AD12" s="1881"/>
      <c r="AE12" s="1882"/>
      <c r="AF12" s="1883"/>
      <c r="AG12" s="1881"/>
      <c r="AH12" s="1882"/>
      <c r="AI12" s="1587"/>
      <c r="AJ12" s="1585"/>
      <c r="AK12" s="3927"/>
      <c r="AL12" s="3927"/>
      <c r="AM12" s="3599"/>
      <c r="AN12" s="3600"/>
      <c r="AO12" s="3601"/>
      <c r="AP12" s="2720"/>
      <c r="AQ12" s="2721"/>
      <c r="AR12" s="1589"/>
      <c r="AS12" s="1590"/>
      <c r="AT12" s="1590"/>
      <c r="AU12" s="1590"/>
      <c r="AV12" s="1590"/>
      <c r="AW12" s="3158"/>
      <c r="AX12" s="3161"/>
    </row>
    <row r="13" spans="1:57" ht="114.75">
      <c r="A13" s="5966" t="s">
        <v>11004</v>
      </c>
      <c r="B13" s="827" t="s">
        <v>12265</v>
      </c>
      <c r="C13" s="3361">
        <v>1</v>
      </c>
      <c r="D13" s="829" t="s">
        <v>11029</v>
      </c>
      <c r="E13" s="829" t="s">
        <v>6389</v>
      </c>
      <c r="F13" s="830" t="s">
        <v>4932</v>
      </c>
      <c r="G13" s="2620">
        <v>1</v>
      </c>
      <c r="H13" s="832" t="s">
        <v>11028</v>
      </c>
      <c r="I13" s="833" t="s">
        <v>1433</v>
      </c>
      <c r="J13" s="834" t="s">
        <v>1434</v>
      </c>
      <c r="K13" s="835" t="s">
        <v>12233</v>
      </c>
      <c r="L13" s="833" t="s">
        <v>500</v>
      </c>
      <c r="M13" s="834" t="s">
        <v>2271</v>
      </c>
      <c r="N13" s="833" t="s">
        <v>2272</v>
      </c>
      <c r="O13" s="832" t="s">
        <v>6203</v>
      </c>
      <c r="P13" s="4174" t="s">
        <v>7399</v>
      </c>
      <c r="Q13" s="834" t="s">
        <v>2275</v>
      </c>
      <c r="R13" s="834" t="s">
        <v>2274</v>
      </c>
      <c r="S13" s="837"/>
      <c r="T13" s="838">
        <v>16422</v>
      </c>
      <c r="U13" s="839">
        <v>0</v>
      </c>
      <c r="V13" s="840">
        <f t="shared" ref="V13:V18" si="2">T13-U13</f>
        <v>16422</v>
      </c>
      <c r="W13" s="838">
        <v>2898</v>
      </c>
      <c r="X13" s="839">
        <v>0</v>
      </c>
      <c r="Y13" s="840">
        <f t="shared" ref="Y13:Y18" si="3">W13-X13</f>
        <v>2898</v>
      </c>
      <c r="Z13" s="838">
        <v>0</v>
      </c>
      <c r="AA13" s="839">
        <v>0</v>
      </c>
      <c r="AB13" s="840">
        <f t="shared" ref="AB13:AB18" si="4">Z13-AA13</f>
        <v>0</v>
      </c>
      <c r="AC13" s="823"/>
      <c r="AD13" s="824"/>
      <c r="AE13" s="825"/>
      <c r="AF13" s="823"/>
      <c r="AG13" s="824"/>
      <c r="AH13" s="825"/>
      <c r="AI13" s="841">
        <f t="shared" ref="AI13:AI18" si="5">T13+W13+Z13+AC13+AF13</f>
        <v>19320</v>
      </c>
      <c r="AJ13" s="326">
        <f>U13+X13+AA13</f>
        <v>0</v>
      </c>
      <c r="AK13" s="3906">
        <v>0</v>
      </c>
      <c r="AL13" s="349">
        <f t="shared" ref="AL13:AL18" si="6">AI13-AJ13-AK13</f>
        <v>19320</v>
      </c>
      <c r="AM13" s="3605" t="s">
        <v>7396</v>
      </c>
      <c r="AN13" s="3606" t="s">
        <v>7397</v>
      </c>
      <c r="AO13" s="3607" t="s">
        <v>7398</v>
      </c>
      <c r="AP13" s="3362" t="str">
        <f t="shared" ref="AP13:AQ18" si="7">AP$2</f>
        <v>Planning Reg 2023-2024</v>
      </c>
      <c r="AQ13" s="3555">
        <f t="shared" si="7"/>
        <v>1.1576249999999999</v>
      </c>
      <c r="AR13" s="846">
        <v>0</v>
      </c>
      <c r="AS13" s="847">
        <v>0</v>
      </c>
      <c r="AT13" s="847">
        <v>0</v>
      </c>
      <c r="AU13" s="848">
        <v>0</v>
      </c>
      <c r="AV13" s="848">
        <v>0</v>
      </c>
      <c r="AW13" s="2872">
        <f t="shared" ref="AW13:AW18" si="8">ROUND(AL13*AQ13/G13,0)</f>
        <v>22365</v>
      </c>
      <c r="AX13" s="2891"/>
      <c r="BA13" s="290"/>
      <c r="BB13" s="290"/>
    </row>
    <row r="14" spans="1:57" ht="63.75">
      <c r="A14" s="2418" t="s">
        <v>11004</v>
      </c>
      <c r="B14" s="338" t="s">
        <v>6056</v>
      </c>
      <c r="C14" s="321">
        <v>0</v>
      </c>
      <c r="D14" s="323">
        <v>41855</v>
      </c>
      <c r="E14" s="829" t="s">
        <v>6383</v>
      </c>
      <c r="F14" s="830" t="s">
        <v>4932</v>
      </c>
      <c r="G14" s="2621">
        <v>1</v>
      </c>
      <c r="H14" s="332" t="s">
        <v>2353</v>
      </c>
      <c r="I14" s="339" t="s">
        <v>1433</v>
      </c>
      <c r="J14" s="322" t="s">
        <v>1434</v>
      </c>
      <c r="K14" s="340" t="s">
        <v>5973</v>
      </c>
      <c r="L14" s="339" t="s">
        <v>2354</v>
      </c>
      <c r="M14" s="322" t="s">
        <v>2355</v>
      </c>
      <c r="N14" s="339" t="s">
        <v>2356</v>
      </c>
      <c r="O14" s="332" t="s">
        <v>6340</v>
      </c>
      <c r="P14" s="345" t="s">
        <v>5974</v>
      </c>
      <c r="Q14" s="322" t="s">
        <v>2357</v>
      </c>
      <c r="R14" s="322" t="s">
        <v>2358</v>
      </c>
      <c r="S14" s="346"/>
      <c r="T14" s="347">
        <v>530</v>
      </c>
      <c r="U14" s="326">
        <v>0</v>
      </c>
      <c r="V14" s="348">
        <f t="shared" si="2"/>
        <v>530</v>
      </c>
      <c r="W14" s="347">
        <v>94</v>
      </c>
      <c r="X14" s="326">
        <v>0</v>
      </c>
      <c r="Y14" s="348">
        <f t="shared" si="3"/>
        <v>94</v>
      </c>
      <c r="Z14" s="347">
        <v>0</v>
      </c>
      <c r="AA14" s="326">
        <v>0</v>
      </c>
      <c r="AB14" s="348">
        <f t="shared" si="4"/>
        <v>0</v>
      </c>
      <c r="AC14" s="820"/>
      <c r="AD14" s="821"/>
      <c r="AE14" s="822"/>
      <c r="AF14" s="820"/>
      <c r="AG14" s="821"/>
      <c r="AH14" s="822"/>
      <c r="AI14" s="482">
        <f t="shared" si="5"/>
        <v>624</v>
      </c>
      <c r="AJ14" s="326">
        <f>U14+X14+AA14</f>
        <v>0</v>
      </c>
      <c r="AK14" s="3917">
        <v>0</v>
      </c>
      <c r="AL14" s="349">
        <f t="shared" si="6"/>
        <v>624</v>
      </c>
      <c r="AM14" s="2002"/>
      <c r="AN14" s="3357"/>
      <c r="AO14" s="695"/>
      <c r="AP14" s="2722" t="str">
        <f t="shared" si="7"/>
        <v>Planning Reg 2023-2024</v>
      </c>
      <c r="AQ14" s="2723">
        <f t="shared" si="7"/>
        <v>1.1576249999999999</v>
      </c>
      <c r="AR14" s="333">
        <v>0</v>
      </c>
      <c r="AS14" s="330">
        <v>0</v>
      </c>
      <c r="AT14" s="330">
        <v>0</v>
      </c>
      <c r="AU14" s="849">
        <v>0</v>
      </c>
      <c r="AV14" s="849">
        <v>0</v>
      </c>
      <c r="AW14" s="3156">
        <f t="shared" si="8"/>
        <v>722</v>
      </c>
      <c r="AX14" s="3140"/>
    </row>
    <row r="15" spans="1:57" ht="127.5">
      <c r="A15" s="2418" t="s">
        <v>11004</v>
      </c>
      <c r="B15" s="5788" t="s">
        <v>12220</v>
      </c>
      <c r="C15" s="321">
        <v>0</v>
      </c>
      <c r="D15" s="323">
        <v>42158</v>
      </c>
      <c r="E15" s="829" t="s">
        <v>6387</v>
      </c>
      <c r="F15" s="830" t="s">
        <v>4932</v>
      </c>
      <c r="G15" s="2621">
        <v>1</v>
      </c>
      <c r="H15" s="332" t="s">
        <v>6466</v>
      </c>
      <c r="I15" s="339" t="s">
        <v>1433</v>
      </c>
      <c r="J15" s="322" t="s">
        <v>1434</v>
      </c>
      <c r="K15" s="5441" t="s">
        <v>12266</v>
      </c>
      <c r="L15" s="339" t="s">
        <v>3062</v>
      </c>
      <c r="M15" s="322" t="s">
        <v>3063</v>
      </c>
      <c r="N15" s="339" t="s">
        <v>3064</v>
      </c>
      <c r="O15" s="332" t="s">
        <v>6186</v>
      </c>
      <c r="P15" s="345" t="s">
        <v>3505</v>
      </c>
      <c r="Q15" s="322" t="s">
        <v>3065</v>
      </c>
      <c r="R15" s="322" t="s">
        <v>3066</v>
      </c>
      <c r="S15" s="346" t="s">
        <v>3676</v>
      </c>
      <c r="T15" s="347">
        <v>722160</v>
      </c>
      <c r="U15" s="326">
        <v>216648</v>
      </c>
      <c r="V15" s="348">
        <f t="shared" si="2"/>
        <v>505512</v>
      </c>
      <c r="W15" s="347">
        <v>442800</v>
      </c>
      <c r="X15" s="326">
        <v>132840</v>
      </c>
      <c r="Y15" s="348">
        <f t="shared" si="3"/>
        <v>309960</v>
      </c>
      <c r="Z15" s="347">
        <v>154480</v>
      </c>
      <c r="AA15" s="326">
        <v>0</v>
      </c>
      <c r="AB15" s="348">
        <f t="shared" si="4"/>
        <v>154480</v>
      </c>
      <c r="AC15" s="347"/>
      <c r="AD15" s="326"/>
      <c r="AE15" s="348"/>
      <c r="AF15" s="347"/>
      <c r="AG15" s="326"/>
      <c r="AH15" s="348"/>
      <c r="AI15" s="482">
        <f t="shared" si="5"/>
        <v>1319440</v>
      </c>
      <c r="AJ15" s="326">
        <f>U15+X15+AA15</f>
        <v>349488</v>
      </c>
      <c r="AK15" s="3917">
        <v>0</v>
      </c>
      <c r="AL15" s="349">
        <f t="shared" si="6"/>
        <v>969952</v>
      </c>
      <c r="AM15" s="2002"/>
      <c r="AN15" s="3357"/>
      <c r="AO15" s="695"/>
      <c r="AP15" s="2722" t="str">
        <f t="shared" si="7"/>
        <v>Planning Reg 2023-2024</v>
      </c>
      <c r="AQ15" s="2723">
        <f t="shared" si="7"/>
        <v>1.1576249999999999</v>
      </c>
      <c r="AR15" s="333">
        <v>0</v>
      </c>
      <c r="AS15" s="330">
        <v>0</v>
      </c>
      <c r="AT15" s="330">
        <v>0</v>
      </c>
      <c r="AU15" s="849">
        <v>0</v>
      </c>
      <c r="AV15" s="849">
        <v>0</v>
      </c>
      <c r="AW15" s="3156">
        <f t="shared" si="8"/>
        <v>1122841</v>
      </c>
      <c r="AX15" s="3140"/>
    </row>
    <row r="16" spans="1:57" ht="165.75">
      <c r="A16" s="2418" t="s">
        <v>11004</v>
      </c>
      <c r="B16" s="338" t="s">
        <v>4039</v>
      </c>
      <c r="C16" s="321">
        <v>0</v>
      </c>
      <c r="D16" s="323">
        <v>42272</v>
      </c>
      <c r="E16" s="829" t="s">
        <v>6387</v>
      </c>
      <c r="F16" s="830" t="s">
        <v>4932</v>
      </c>
      <c r="G16" s="2621">
        <v>1</v>
      </c>
      <c r="H16" s="332" t="s">
        <v>7657</v>
      </c>
      <c r="I16" s="339" t="s">
        <v>7642</v>
      </c>
      <c r="J16" s="322" t="s">
        <v>1434</v>
      </c>
      <c r="K16" s="340" t="s">
        <v>12234</v>
      </c>
      <c r="L16" s="339" t="s">
        <v>3095</v>
      </c>
      <c r="M16" s="322" t="s">
        <v>3325</v>
      </c>
      <c r="N16" s="339" t="s">
        <v>3323</v>
      </c>
      <c r="O16" s="332" t="s">
        <v>6206</v>
      </c>
      <c r="P16" s="345" t="s">
        <v>3328</v>
      </c>
      <c r="Q16" s="322" t="s">
        <v>3326</v>
      </c>
      <c r="R16" s="322" t="s">
        <v>2327</v>
      </c>
      <c r="S16" s="346" t="s">
        <v>3327</v>
      </c>
      <c r="T16" s="347">
        <v>43680</v>
      </c>
      <c r="U16" s="326">
        <v>15210</v>
      </c>
      <c r="V16" s="348">
        <f t="shared" si="2"/>
        <v>28470</v>
      </c>
      <c r="W16" s="347">
        <v>54600</v>
      </c>
      <c r="X16" s="326">
        <v>54600</v>
      </c>
      <c r="Y16" s="348">
        <f t="shared" si="3"/>
        <v>0</v>
      </c>
      <c r="Z16" s="347">
        <v>10920</v>
      </c>
      <c r="AA16" s="326">
        <v>0</v>
      </c>
      <c r="AB16" s="348">
        <f t="shared" si="4"/>
        <v>10920</v>
      </c>
      <c r="AC16" s="820"/>
      <c r="AD16" s="821"/>
      <c r="AE16" s="822"/>
      <c r="AF16" s="820"/>
      <c r="AG16" s="821"/>
      <c r="AH16" s="822"/>
      <c r="AI16" s="482">
        <f t="shared" si="5"/>
        <v>109200</v>
      </c>
      <c r="AJ16" s="326">
        <f>U16+X16+AA16</f>
        <v>69810</v>
      </c>
      <c r="AK16" s="3917">
        <v>0</v>
      </c>
      <c r="AL16" s="349">
        <f t="shared" si="6"/>
        <v>39390</v>
      </c>
      <c r="AM16" s="2002"/>
      <c r="AN16" s="3357"/>
      <c r="AO16" s="695"/>
      <c r="AP16" s="2722" t="str">
        <f t="shared" si="7"/>
        <v>Planning Reg 2023-2024</v>
      </c>
      <c r="AQ16" s="2723">
        <f t="shared" si="7"/>
        <v>1.1576249999999999</v>
      </c>
      <c r="AR16" s="333">
        <v>0</v>
      </c>
      <c r="AS16" s="330">
        <v>0</v>
      </c>
      <c r="AT16" s="330">
        <v>0</v>
      </c>
      <c r="AU16" s="849">
        <v>0</v>
      </c>
      <c r="AV16" s="849">
        <v>0</v>
      </c>
      <c r="AW16" s="3156">
        <f t="shared" si="8"/>
        <v>45599</v>
      </c>
      <c r="AX16" s="3140"/>
    </row>
    <row r="17" spans="1:50" ht="38.25">
      <c r="A17" s="2418" t="s">
        <v>11004</v>
      </c>
      <c r="B17" s="338" t="s">
        <v>10839</v>
      </c>
      <c r="C17" s="321">
        <v>0</v>
      </c>
      <c r="D17" s="323">
        <v>42319</v>
      </c>
      <c r="E17" s="829" t="s">
        <v>6387</v>
      </c>
      <c r="F17" s="830" t="s">
        <v>4932</v>
      </c>
      <c r="G17" s="2621">
        <v>1</v>
      </c>
      <c r="H17" s="332" t="s">
        <v>3535</v>
      </c>
      <c r="I17" s="339" t="s">
        <v>1433</v>
      </c>
      <c r="J17" s="322" t="s">
        <v>1434</v>
      </c>
      <c r="K17" s="340" t="s">
        <v>11866</v>
      </c>
      <c r="L17" s="339" t="s">
        <v>3538</v>
      </c>
      <c r="M17" s="322" t="s">
        <v>1957</v>
      </c>
      <c r="N17" s="339" t="s">
        <v>3539</v>
      </c>
      <c r="O17" s="332" t="s">
        <v>6194</v>
      </c>
      <c r="P17" s="4175" t="s">
        <v>7411</v>
      </c>
      <c r="Q17" s="322" t="s">
        <v>3536</v>
      </c>
      <c r="R17" s="322" t="s">
        <v>3537</v>
      </c>
      <c r="S17" s="346"/>
      <c r="T17" s="347">
        <v>7023</v>
      </c>
      <c r="U17" s="326">
        <v>0</v>
      </c>
      <c r="V17" s="348">
        <f t="shared" si="2"/>
        <v>7023</v>
      </c>
      <c r="W17" s="347">
        <v>1239</v>
      </c>
      <c r="X17" s="326">
        <v>0</v>
      </c>
      <c r="Y17" s="348">
        <f t="shared" si="3"/>
        <v>1239</v>
      </c>
      <c r="Z17" s="347">
        <v>0</v>
      </c>
      <c r="AA17" s="326">
        <v>0</v>
      </c>
      <c r="AB17" s="348">
        <f t="shared" si="4"/>
        <v>0</v>
      </c>
      <c r="AC17" s="820"/>
      <c r="AD17" s="821"/>
      <c r="AE17" s="822"/>
      <c r="AF17" s="820"/>
      <c r="AG17" s="821"/>
      <c r="AH17" s="822"/>
      <c r="AI17" s="482">
        <f t="shared" si="5"/>
        <v>8262</v>
      </c>
      <c r="AJ17" s="326">
        <f>U17+X17+AA17</f>
        <v>0</v>
      </c>
      <c r="AK17" s="3917">
        <v>0</v>
      </c>
      <c r="AL17" s="349">
        <f t="shared" si="6"/>
        <v>8262</v>
      </c>
      <c r="AM17" s="2002"/>
      <c r="AN17" s="3357"/>
      <c r="AO17" s="695"/>
      <c r="AP17" s="2722" t="str">
        <f t="shared" si="7"/>
        <v>Planning Reg 2023-2024</v>
      </c>
      <c r="AQ17" s="2723">
        <f t="shared" si="7"/>
        <v>1.1576249999999999</v>
      </c>
      <c r="AR17" s="333">
        <v>0</v>
      </c>
      <c r="AS17" s="330">
        <v>0</v>
      </c>
      <c r="AT17" s="330">
        <v>0</v>
      </c>
      <c r="AU17" s="849">
        <v>0</v>
      </c>
      <c r="AV17" s="849">
        <v>0</v>
      </c>
      <c r="AW17" s="3156">
        <f t="shared" si="8"/>
        <v>9564</v>
      </c>
      <c r="AX17" s="3140"/>
    </row>
    <row r="18" spans="1:50" ht="102">
      <c r="A18" s="2418" t="s">
        <v>11004</v>
      </c>
      <c r="B18" s="1569" t="s">
        <v>12417</v>
      </c>
      <c r="C18" s="1570">
        <v>0</v>
      </c>
      <c r="D18" s="1571">
        <v>42601</v>
      </c>
      <c r="E18" s="3057" t="s">
        <v>6387</v>
      </c>
      <c r="F18" s="1572" t="s">
        <v>3976</v>
      </c>
      <c r="G18" s="2622">
        <v>1.0111000000000001</v>
      </c>
      <c r="H18" s="1573" t="s">
        <v>12416</v>
      </c>
      <c r="I18" s="1574" t="s">
        <v>1433</v>
      </c>
      <c r="J18" s="3208" t="s">
        <v>1434</v>
      </c>
      <c r="K18" s="4222" t="s">
        <v>5308</v>
      </c>
      <c r="L18" s="1574" t="s">
        <v>3691</v>
      </c>
      <c r="M18" s="3208" t="s">
        <v>3692</v>
      </c>
      <c r="N18" s="1574" t="s">
        <v>3693</v>
      </c>
      <c r="O18" s="1573" t="s">
        <v>6214</v>
      </c>
      <c r="P18" s="4220" t="s">
        <v>4004</v>
      </c>
      <c r="Q18" s="3208" t="s">
        <v>4006</v>
      </c>
      <c r="R18" s="3208" t="s">
        <v>4005</v>
      </c>
      <c r="S18" s="3896" t="s">
        <v>4011</v>
      </c>
      <c r="T18" s="4858">
        <v>15866</v>
      </c>
      <c r="U18" s="1593">
        <f>T18</f>
        <v>15866</v>
      </c>
      <c r="V18" s="4859">
        <f t="shared" si="2"/>
        <v>0</v>
      </c>
      <c r="W18" s="4858">
        <v>2800</v>
      </c>
      <c r="X18" s="1593">
        <f>W18</f>
        <v>2800</v>
      </c>
      <c r="Y18" s="4859">
        <f t="shared" si="3"/>
        <v>0</v>
      </c>
      <c r="Z18" s="4858">
        <v>2042</v>
      </c>
      <c r="AA18" s="1593">
        <f>Z18</f>
        <v>2042</v>
      </c>
      <c r="AB18" s="4859">
        <f t="shared" si="4"/>
        <v>0</v>
      </c>
      <c r="AC18" s="4858"/>
      <c r="AD18" s="1593"/>
      <c r="AE18" s="4859"/>
      <c r="AF18" s="4858"/>
      <c r="AG18" s="1593"/>
      <c r="AH18" s="4859"/>
      <c r="AI18" s="4860">
        <f t="shared" si="5"/>
        <v>20708</v>
      </c>
      <c r="AJ18" s="1593">
        <f>U18+X18+AA18+AD18+AG18</f>
        <v>20708</v>
      </c>
      <c r="AK18" s="4861">
        <v>0</v>
      </c>
      <c r="AL18" s="4862">
        <f t="shared" si="6"/>
        <v>0</v>
      </c>
      <c r="AM18" s="4863"/>
      <c r="AN18" s="4864"/>
      <c r="AO18" s="4865"/>
      <c r="AP18" s="2983" t="str">
        <f t="shared" si="7"/>
        <v>Planning Reg 2023-2024</v>
      </c>
      <c r="AQ18" s="2984">
        <f t="shared" si="7"/>
        <v>1.1576249999999999</v>
      </c>
      <c r="AR18" s="4866">
        <v>0</v>
      </c>
      <c r="AS18" s="4867">
        <v>0</v>
      </c>
      <c r="AT18" s="4867">
        <v>0</v>
      </c>
      <c r="AU18" s="4867">
        <v>0</v>
      </c>
      <c r="AV18" s="4867">
        <v>0</v>
      </c>
      <c r="AW18" s="4868">
        <f t="shared" si="8"/>
        <v>0</v>
      </c>
      <c r="AX18" s="3140"/>
    </row>
    <row r="19" spans="1:50" hidden="1"/>
    <row r="20" spans="1:50" ht="102">
      <c r="A20" s="5964" t="s">
        <v>11036</v>
      </c>
      <c r="B20" s="5788" t="s">
        <v>12223</v>
      </c>
      <c r="C20" s="321">
        <v>0</v>
      </c>
      <c r="D20" s="323">
        <v>42758</v>
      </c>
      <c r="E20" s="3051" t="s">
        <v>6385</v>
      </c>
      <c r="F20" s="324" t="s">
        <v>4154</v>
      </c>
      <c r="G20" s="2621">
        <v>1.0111000000000001</v>
      </c>
      <c r="H20" s="5440" t="s">
        <v>4286</v>
      </c>
      <c r="I20" s="339" t="s">
        <v>1433</v>
      </c>
      <c r="J20" s="322" t="s">
        <v>1434</v>
      </c>
      <c r="K20" s="5441" t="s">
        <v>12224</v>
      </c>
      <c r="L20" s="339" t="s">
        <v>4287</v>
      </c>
      <c r="M20" s="322" t="s">
        <v>3726</v>
      </c>
      <c r="N20" s="339" t="s">
        <v>4288</v>
      </c>
      <c r="O20" s="5440" t="s">
        <v>6221</v>
      </c>
      <c r="P20" s="345"/>
      <c r="Q20" s="322" t="s">
        <v>4290</v>
      </c>
      <c r="R20" s="322" t="s">
        <v>4289</v>
      </c>
      <c r="S20" s="346"/>
      <c r="T20" s="347">
        <v>7334</v>
      </c>
      <c r="U20" s="326">
        <v>0</v>
      </c>
      <c r="V20" s="348">
        <f t="shared" ref="V20:V28" si="9">T20-U20</f>
        <v>7334</v>
      </c>
      <c r="W20" s="347">
        <v>0</v>
      </c>
      <c r="X20" s="326">
        <v>0</v>
      </c>
      <c r="Y20" s="348">
        <f t="shared" ref="Y20:Y28" si="10">W20-X20</f>
        <v>0</v>
      </c>
      <c r="Z20" s="347">
        <v>67395</v>
      </c>
      <c r="AA20" s="326">
        <v>0</v>
      </c>
      <c r="AB20" s="348">
        <f t="shared" ref="AB20:AB28" si="11">Z20-AA20</f>
        <v>67395</v>
      </c>
      <c r="AC20" s="820"/>
      <c r="AD20" s="821"/>
      <c r="AE20" s="822"/>
      <c r="AF20" s="820"/>
      <c r="AG20" s="821"/>
      <c r="AH20" s="822"/>
      <c r="AI20" s="482">
        <f t="shared" ref="AI20:AJ23" si="12">T20+W20+Z20+AC20+AF20</f>
        <v>74729</v>
      </c>
      <c r="AJ20" s="326">
        <f t="shared" si="12"/>
        <v>0</v>
      </c>
      <c r="AK20" s="3917">
        <v>0</v>
      </c>
      <c r="AL20" s="349">
        <f t="shared" ref="AL20:AL28" si="13">AI20-AJ20-AK20</f>
        <v>74729</v>
      </c>
      <c r="AM20" s="2002"/>
      <c r="AN20" s="3357"/>
      <c r="AO20" s="695"/>
      <c r="AP20" s="2722" t="str">
        <f t="shared" ref="AP20:AQ23" si="14">AP$2</f>
        <v>Planning Reg 2023-2024</v>
      </c>
      <c r="AQ20" s="2723">
        <f t="shared" si="14"/>
        <v>1.1576249999999999</v>
      </c>
      <c r="AR20" s="333">
        <v>0</v>
      </c>
      <c r="AS20" s="330">
        <v>0</v>
      </c>
      <c r="AT20" s="330">
        <v>0</v>
      </c>
      <c r="AU20" s="849">
        <v>0</v>
      </c>
      <c r="AV20" s="849">
        <v>0</v>
      </c>
      <c r="AW20" s="3156">
        <f t="shared" ref="AW20:AW28" si="15">ROUND(AL20*AQ20/G20,0)</f>
        <v>85558</v>
      </c>
      <c r="AX20" s="3140"/>
    </row>
    <row r="21" spans="1:50" ht="51">
      <c r="A21" s="6454" t="s">
        <v>11004</v>
      </c>
      <c r="B21" s="6135" t="s">
        <v>12226</v>
      </c>
      <c r="C21" s="6455">
        <v>0</v>
      </c>
      <c r="D21" s="6456">
        <v>42772</v>
      </c>
      <c r="E21" s="6457" t="s">
        <v>6385</v>
      </c>
      <c r="F21" s="6458" t="s">
        <v>4154</v>
      </c>
      <c r="G21" s="6459">
        <v>1.0111000000000001</v>
      </c>
      <c r="H21" s="6460" t="s">
        <v>4319</v>
      </c>
      <c r="I21" s="6461" t="s">
        <v>1433</v>
      </c>
      <c r="J21" s="6462" t="s">
        <v>1434</v>
      </c>
      <c r="K21" s="6463" t="s">
        <v>12225</v>
      </c>
      <c r="L21" s="6461" t="s">
        <v>191</v>
      </c>
      <c r="M21" s="6462" t="s">
        <v>1957</v>
      </c>
      <c r="N21" s="6461" t="s">
        <v>4320</v>
      </c>
      <c r="O21" s="6460" t="s">
        <v>6335</v>
      </c>
      <c r="P21" s="6464"/>
      <c r="Q21" s="6462" t="s">
        <v>4321</v>
      </c>
      <c r="R21" s="6462" t="s">
        <v>4322</v>
      </c>
      <c r="S21" s="6465"/>
      <c r="T21" s="6466">
        <v>2761</v>
      </c>
      <c r="U21" s="6467">
        <v>0</v>
      </c>
      <c r="V21" s="6468">
        <f t="shared" si="9"/>
        <v>2761</v>
      </c>
      <c r="W21" s="6466">
        <v>487</v>
      </c>
      <c r="X21" s="6467">
        <v>0</v>
      </c>
      <c r="Y21" s="6468">
        <f t="shared" si="10"/>
        <v>487</v>
      </c>
      <c r="Z21" s="6466">
        <v>0</v>
      </c>
      <c r="AA21" s="6467">
        <v>0</v>
      </c>
      <c r="AB21" s="6468">
        <f t="shared" si="11"/>
        <v>0</v>
      </c>
      <c r="AC21" s="6466"/>
      <c r="AD21" s="6467"/>
      <c r="AE21" s="6468"/>
      <c r="AF21" s="6466"/>
      <c r="AG21" s="6467"/>
      <c r="AH21" s="6468"/>
      <c r="AI21" s="6469">
        <f t="shared" si="12"/>
        <v>3248</v>
      </c>
      <c r="AJ21" s="6467">
        <f t="shared" si="12"/>
        <v>0</v>
      </c>
      <c r="AK21" s="6470">
        <v>0</v>
      </c>
      <c r="AL21" s="6471">
        <f t="shared" si="13"/>
        <v>3248</v>
      </c>
      <c r="AM21" s="6472"/>
      <c r="AN21" s="6473"/>
      <c r="AO21" s="6474"/>
      <c r="AP21" s="6475" t="str">
        <f t="shared" si="14"/>
        <v>Planning Reg 2023-2024</v>
      </c>
      <c r="AQ21" s="6476">
        <f t="shared" si="14"/>
        <v>1.1576249999999999</v>
      </c>
      <c r="AR21" s="4134">
        <v>0</v>
      </c>
      <c r="AS21" s="4135">
        <v>0</v>
      </c>
      <c r="AT21" s="4135">
        <v>0</v>
      </c>
      <c r="AU21" s="4135">
        <v>0</v>
      </c>
      <c r="AV21" s="4135">
        <v>0</v>
      </c>
      <c r="AW21" s="6477">
        <f t="shared" si="15"/>
        <v>3719</v>
      </c>
      <c r="AX21" s="6478"/>
    </row>
    <row r="22" spans="1:50" ht="191.25">
      <c r="A22" s="2418" t="s">
        <v>11004</v>
      </c>
      <c r="B22" s="338" t="s">
        <v>5562</v>
      </c>
      <c r="C22" s="321">
        <v>0</v>
      </c>
      <c r="D22" s="323">
        <v>42779</v>
      </c>
      <c r="E22" s="3051" t="s">
        <v>6385</v>
      </c>
      <c r="F22" s="324" t="s">
        <v>4154</v>
      </c>
      <c r="G22" s="2621">
        <v>1.0111000000000001</v>
      </c>
      <c r="H22" s="332" t="s">
        <v>4333</v>
      </c>
      <c r="I22" s="339" t="s">
        <v>1433</v>
      </c>
      <c r="J22" s="322" t="s">
        <v>1434</v>
      </c>
      <c r="K22" s="340" t="s">
        <v>12231</v>
      </c>
      <c r="L22" s="339" t="s">
        <v>475</v>
      </c>
      <c r="M22" s="322" t="s">
        <v>858</v>
      </c>
      <c r="N22" s="339" t="s">
        <v>4334</v>
      </c>
      <c r="O22" s="5440" t="s">
        <v>6222</v>
      </c>
      <c r="P22" s="345" t="s">
        <v>5561</v>
      </c>
      <c r="Q22" s="322" t="s">
        <v>4335</v>
      </c>
      <c r="R22" s="322" t="s">
        <v>4234</v>
      </c>
      <c r="S22" s="346"/>
      <c r="T22" s="347">
        <v>25622</v>
      </c>
      <c r="U22" s="326">
        <v>0</v>
      </c>
      <c r="V22" s="348">
        <f t="shared" si="9"/>
        <v>25622</v>
      </c>
      <c r="W22" s="347">
        <v>0</v>
      </c>
      <c r="X22" s="326">
        <v>0</v>
      </c>
      <c r="Y22" s="348">
        <f t="shared" si="10"/>
        <v>0</v>
      </c>
      <c r="Z22" s="347">
        <v>131297</v>
      </c>
      <c r="AA22" s="326">
        <v>0</v>
      </c>
      <c r="AB22" s="348">
        <f t="shared" si="11"/>
        <v>131297</v>
      </c>
      <c r="AC22" s="820"/>
      <c r="AD22" s="821"/>
      <c r="AE22" s="822"/>
      <c r="AF22" s="820"/>
      <c r="AG22" s="821"/>
      <c r="AH22" s="822"/>
      <c r="AI22" s="482">
        <f t="shared" si="12"/>
        <v>156919</v>
      </c>
      <c r="AJ22" s="326">
        <f t="shared" si="12"/>
        <v>0</v>
      </c>
      <c r="AK22" s="3917">
        <v>0</v>
      </c>
      <c r="AL22" s="349">
        <f t="shared" si="13"/>
        <v>156919</v>
      </c>
      <c r="AM22" s="2002"/>
      <c r="AN22" s="3357"/>
      <c r="AO22" s="695"/>
      <c r="AP22" s="2722" t="str">
        <f t="shared" si="14"/>
        <v>Planning Reg 2023-2024</v>
      </c>
      <c r="AQ22" s="2723">
        <f t="shared" si="14"/>
        <v>1.1576249999999999</v>
      </c>
      <c r="AR22" s="333">
        <v>0</v>
      </c>
      <c r="AS22" s="330">
        <v>0</v>
      </c>
      <c r="AT22" s="330">
        <v>0</v>
      </c>
      <c r="AU22" s="849">
        <v>0</v>
      </c>
      <c r="AV22" s="849">
        <v>0</v>
      </c>
      <c r="AW22" s="3156">
        <f t="shared" si="15"/>
        <v>179659</v>
      </c>
      <c r="AX22" s="3140"/>
    </row>
    <row r="23" spans="1:50" ht="64.5" thickBot="1">
      <c r="A23" s="5964" t="s">
        <v>11035</v>
      </c>
      <c r="B23" s="338" t="s">
        <v>4965</v>
      </c>
      <c r="C23" s="321">
        <v>0</v>
      </c>
      <c r="D23" s="323">
        <v>42860</v>
      </c>
      <c r="E23" s="3051" t="s">
        <v>6385</v>
      </c>
      <c r="F23" s="324" t="s">
        <v>4154</v>
      </c>
      <c r="G23" s="2621">
        <v>1.0111000000000001</v>
      </c>
      <c r="H23" s="332" t="s">
        <v>11073</v>
      </c>
      <c r="I23" s="339" t="s">
        <v>1433</v>
      </c>
      <c r="J23" s="322" t="s">
        <v>1434</v>
      </c>
      <c r="K23" s="340" t="s">
        <v>9024</v>
      </c>
      <c r="L23" s="339" t="s">
        <v>4384</v>
      </c>
      <c r="M23" s="322" t="s">
        <v>4552</v>
      </c>
      <c r="N23" s="339" t="s">
        <v>4559</v>
      </c>
      <c r="O23" s="332" t="s">
        <v>6333</v>
      </c>
      <c r="P23" s="930" t="s">
        <v>2760</v>
      </c>
      <c r="Q23" s="322" t="s">
        <v>4562</v>
      </c>
      <c r="R23" s="322" t="s">
        <v>4563</v>
      </c>
      <c r="S23" s="346"/>
      <c r="T23" s="347">
        <v>3397</v>
      </c>
      <c r="U23" s="326">
        <v>0</v>
      </c>
      <c r="V23" s="348">
        <f t="shared" si="9"/>
        <v>3397</v>
      </c>
      <c r="W23" s="347">
        <v>4247</v>
      </c>
      <c r="X23" s="326">
        <v>0</v>
      </c>
      <c r="Y23" s="348">
        <f t="shared" si="10"/>
        <v>4247</v>
      </c>
      <c r="Z23" s="347">
        <v>849</v>
      </c>
      <c r="AA23" s="326">
        <v>0</v>
      </c>
      <c r="AB23" s="348">
        <f t="shared" si="11"/>
        <v>849</v>
      </c>
      <c r="AC23" s="820"/>
      <c r="AD23" s="821"/>
      <c r="AE23" s="822"/>
      <c r="AF23" s="820"/>
      <c r="AG23" s="821"/>
      <c r="AH23" s="822"/>
      <c r="AI23" s="482">
        <f t="shared" si="12"/>
        <v>8493</v>
      </c>
      <c r="AJ23" s="326">
        <f t="shared" si="12"/>
        <v>0</v>
      </c>
      <c r="AK23" s="3917">
        <v>0</v>
      </c>
      <c r="AL23" s="349">
        <f t="shared" si="13"/>
        <v>8493</v>
      </c>
      <c r="AM23" s="2002"/>
      <c r="AN23" s="3357"/>
      <c r="AO23" s="695"/>
      <c r="AP23" s="2722" t="str">
        <f t="shared" si="14"/>
        <v>Planning Reg 2023-2024</v>
      </c>
      <c r="AQ23" s="2723">
        <f t="shared" si="14"/>
        <v>1.1576249999999999</v>
      </c>
      <c r="AR23" s="333">
        <v>0</v>
      </c>
      <c r="AS23" s="330">
        <v>0</v>
      </c>
      <c r="AT23" s="330">
        <v>0</v>
      </c>
      <c r="AU23" s="849">
        <v>0</v>
      </c>
      <c r="AV23" s="849">
        <v>0</v>
      </c>
      <c r="AW23" s="3156">
        <f t="shared" si="15"/>
        <v>9724</v>
      </c>
      <c r="AX23" s="3140"/>
    </row>
    <row r="24" spans="1:50" ht="114.75">
      <c r="A24" s="5964" t="s">
        <v>11037</v>
      </c>
      <c r="B24" s="338" t="s">
        <v>11738</v>
      </c>
      <c r="C24" s="321">
        <v>0</v>
      </c>
      <c r="D24" s="323">
        <v>42885</v>
      </c>
      <c r="E24" s="3051" t="s">
        <v>6385</v>
      </c>
      <c r="F24" s="1203" t="s">
        <v>9022</v>
      </c>
      <c r="G24" s="2669">
        <v>119.2</v>
      </c>
      <c r="H24" s="2273" t="s">
        <v>6481</v>
      </c>
      <c r="I24" s="339" t="s">
        <v>4619</v>
      </c>
      <c r="J24" s="322" t="s">
        <v>4306</v>
      </c>
      <c r="K24" s="340">
        <v>43615</v>
      </c>
      <c r="L24" s="339" t="s">
        <v>4620</v>
      </c>
      <c r="M24" s="322" t="s">
        <v>4621</v>
      </c>
      <c r="N24" s="339" t="s">
        <v>4622</v>
      </c>
      <c r="O24" s="332" t="s">
        <v>6232</v>
      </c>
      <c r="P24" s="345" t="s">
        <v>10384</v>
      </c>
      <c r="Q24" s="6094" t="s">
        <v>4332</v>
      </c>
      <c r="R24" s="322" t="s">
        <v>1046</v>
      </c>
      <c r="S24" s="346"/>
      <c r="T24" s="347">
        <v>465</v>
      </c>
      <c r="U24" s="326">
        <v>0</v>
      </c>
      <c r="V24" s="348">
        <f t="shared" si="9"/>
        <v>465</v>
      </c>
      <c r="W24" s="347">
        <v>581</v>
      </c>
      <c r="X24" s="326">
        <v>0</v>
      </c>
      <c r="Y24" s="348">
        <f t="shared" si="10"/>
        <v>581</v>
      </c>
      <c r="Z24" s="347">
        <v>166</v>
      </c>
      <c r="AA24" s="326">
        <v>0</v>
      </c>
      <c r="AB24" s="348">
        <f t="shared" si="11"/>
        <v>166</v>
      </c>
      <c r="AC24" s="347"/>
      <c r="AD24" s="326"/>
      <c r="AE24" s="348"/>
      <c r="AF24" s="347"/>
      <c r="AG24" s="326"/>
      <c r="AH24" s="348"/>
      <c r="AI24" s="482">
        <f>1238+824</f>
        <v>2062</v>
      </c>
      <c r="AJ24" s="326">
        <f>U24+X24+AA24+AD24+AG24</f>
        <v>0</v>
      </c>
      <c r="AK24" s="3917">
        <v>0</v>
      </c>
      <c r="AL24" s="349">
        <f t="shared" si="13"/>
        <v>2062</v>
      </c>
      <c r="AM24" s="2002"/>
      <c r="AN24" s="3357"/>
      <c r="AO24" s="695"/>
      <c r="AP24" s="3214" t="s">
        <v>7019</v>
      </c>
      <c r="AQ24" s="3215" t="s">
        <v>9023</v>
      </c>
      <c r="AR24" s="3805">
        <v>0</v>
      </c>
      <c r="AS24" s="3806">
        <v>0</v>
      </c>
      <c r="AT24" s="3806">
        <v>0</v>
      </c>
      <c r="AU24" s="3806">
        <v>0</v>
      </c>
      <c r="AV24" s="3806">
        <v>0</v>
      </c>
      <c r="AW24" s="3156" t="e">
        <f t="shared" si="15"/>
        <v>#VALUE!</v>
      </c>
      <c r="AX24" s="3140"/>
    </row>
    <row r="25" spans="1:50" ht="38.25">
      <c r="A25" s="2418" t="s">
        <v>11004</v>
      </c>
      <c r="B25" s="338" t="s">
        <v>3962</v>
      </c>
      <c r="C25" s="321">
        <v>0</v>
      </c>
      <c r="D25" s="323">
        <v>42950</v>
      </c>
      <c r="E25" s="3051" t="s">
        <v>6385</v>
      </c>
      <c r="F25" s="324" t="s">
        <v>4154</v>
      </c>
      <c r="G25" s="2621">
        <v>1.0111000000000001</v>
      </c>
      <c r="H25" s="332" t="s">
        <v>4794</v>
      </c>
      <c r="I25" s="339" t="s">
        <v>1433</v>
      </c>
      <c r="J25" s="322" t="s">
        <v>1434</v>
      </c>
      <c r="K25" s="340" t="s">
        <v>11866</v>
      </c>
      <c r="L25" s="339" t="s">
        <v>4795</v>
      </c>
      <c r="M25" s="322" t="s">
        <v>4796</v>
      </c>
      <c r="N25" s="339" t="s">
        <v>4797</v>
      </c>
      <c r="O25" s="332" t="s">
        <v>6240</v>
      </c>
      <c r="P25" s="345"/>
      <c r="Q25" s="322" t="s">
        <v>4798</v>
      </c>
      <c r="R25" s="322" t="s">
        <v>4799</v>
      </c>
      <c r="S25" s="346"/>
      <c r="T25" s="347">
        <v>1941</v>
      </c>
      <c r="U25" s="326">
        <v>0</v>
      </c>
      <c r="V25" s="348">
        <f t="shared" si="9"/>
        <v>1941</v>
      </c>
      <c r="W25" s="347">
        <v>2427</v>
      </c>
      <c r="X25" s="326">
        <v>0</v>
      </c>
      <c r="Y25" s="348">
        <f t="shared" si="10"/>
        <v>2427</v>
      </c>
      <c r="Z25" s="347">
        <v>485</v>
      </c>
      <c r="AA25" s="326">
        <v>0</v>
      </c>
      <c r="AB25" s="348">
        <f t="shared" si="11"/>
        <v>485</v>
      </c>
      <c r="AC25" s="820"/>
      <c r="AD25" s="821"/>
      <c r="AE25" s="822"/>
      <c r="AF25" s="820"/>
      <c r="AG25" s="821"/>
      <c r="AH25" s="822"/>
      <c r="AI25" s="482">
        <f>T25+W25+Z25+AC25+AF25</f>
        <v>4853</v>
      </c>
      <c r="AJ25" s="326">
        <f>U25+X25+AA25+AD25+AG25</f>
        <v>0</v>
      </c>
      <c r="AK25" s="3917">
        <v>0</v>
      </c>
      <c r="AL25" s="349">
        <f t="shared" si="13"/>
        <v>4853</v>
      </c>
      <c r="AM25" s="2002"/>
      <c r="AN25" s="3357"/>
      <c r="AO25" s="695"/>
      <c r="AP25" s="2722" t="str">
        <f t="shared" ref="AP25:AQ28" si="16">AP$2</f>
        <v>Planning Reg 2023-2024</v>
      </c>
      <c r="AQ25" s="2723">
        <f t="shared" si="16"/>
        <v>1.1576249999999999</v>
      </c>
      <c r="AR25" s="333">
        <v>0</v>
      </c>
      <c r="AS25" s="330">
        <v>0</v>
      </c>
      <c r="AT25" s="330">
        <v>0</v>
      </c>
      <c r="AU25" s="849">
        <v>0</v>
      </c>
      <c r="AV25" s="849">
        <v>0</v>
      </c>
      <c r="AW25" s="3156">
        <f t="shared" si="15"/>
        <v>5556</v>
      </c>
      <c r="AX25" s="3140"/>
    </row>
    <row r="26" spans="1:50" ht="115.5" thickBot="1">
      <c r="A26" s="2418" t="s">
        <v>11004</v>
      </c>
      <c r="B26" s="5788" t="s">
        <v>12228</v>
      </c>
      <c r="C26" s="321">
        <v>0</v>
      </c>
      <c r="D26" s="323">
        <v>42969</v>
      </c>
      <c r="E26" s="3051" t="s">
        <v>6385</v>
      </c>
      <c r="F26" s="324" t="s">
        <v>4154</v>
      </c>
      <c r="G26" s="2621">
        <v>1.0111000000000001</v>
      </c>
      <c r="H26" s="5440" t="s">
        <v>9348</v>
      </c>
      <c r="I26" s="339" t="s">
        <v>1433</v>
      </c>
      <c r="J26" s="322" t="s">
        <v>1434</v>
      </c>
      <c r="K26" s="5441" t="s">
        <v>12227</v>
      </c>
      <c r="L26" s="339" t="s">
        <v>4847</v>
      </c>
      <c r="M26" s="322" t="s">
        <v>4207</v>
      </c>
      <c r="N26" s="339" t="s">
        <v>4848</v>
      </c>
      <c r="O26" s="5440" t="s">
        <v>6241</v>
      </c>
      <c r="P26" s="345"/>
      <c r="Q26" s="322" t="s">
        <v>4850</v>
      </c>
      <c r="R26" s="322" t="s">
        <v>4849</v>
      </c>
      <c r="S26" s="346"/>
      <c r="T26" s="347">
        <v>90299</v>
      </c>
      <c r="U26" s="326">
        <v>0</v>
      </c>
      <c r="V26" s="348">
        <f t="shared" si="9"/>
        <v>90299</v>
      </c>
      <c r="W26" s="347">
        <v>29220</v>
      </c>
      <c r="X26" s="326">
        <v>0</v>
      </c>
      <c r="Y26" s="348">
        <f t="shared" si="10"/>
        <v>29220</v>
      </c>
      <c r="Z26" s="347">
        <v>12193</v>
      </c>
      <c r="AA26" s="326">
        <v>0</v>
      </c>
      <c r="AB26" s="348">
        <f t="shared" si="11"/>
        <v>12193</v>
      </c>
      <c r="AC26" s="820"/>
      <c r="AD26" s="821"/>
      <c r="AE26" s="822"/>
      <c r="AF26" s="820"/>
      <c r="AG26" s="821"/>
      <c r="AH26" s="822"/>
      <c r="AI26" s="482">
        <f>T26+W26+Z26+AC26+AF26</f>
        <v>131712</v>
      </c>
      <c r="AJ26" s="326">
        <f>U26+X26+AA26+AD26+AG26</f>
        <v>0</v>
      </c>
      <c r="AK26" s="3917">
        <v>0</v>
      </c>
      <c r="AL26" s="349">
        <f t="shared" si="13"/>
        <v>131712</v>
      </c>
      <c r="AM26" s="2002"/>
      <c r="AN26" s="3357"/>
      <c r="AO26" s="695"/>
      <c r="AP26" s="2722" t="str">
        <f t="shared" si="16"/>
        <v>Planning Reg 2023-2024</v>
      </c>
      <c r="AQ26" s="2723">
        <f t="shared" si="16"/>
        <v>1.1576249999999999</v>
      </c>
      <c r="AR26" s="333">
        <v>0</v>
      </c>
      <c r="AS26" s="330">
        <v>0</v>
      </c>
      <c r="AT26" s="330">
        <v>0</v>
      </c>
      <c r="AU26" s="849">
        <v>0</v>
      </c>
      <c r="AV26" s="849">
        <v>0</v>
      </c>
      <c r="AW26" s="3156">
        <f t="shared" si="15"/>
        <v>150799</v>
      </c>
      <c r="AX26" s="3140"/>
    </row>
    <row r="27" spans="1:50" ht="51">
      <c r="A27" s="2418" t="s">
        <v>11004</v>
      </c>
      <c r="B27" s="338" t="s">
        <v>3963</v>
      </c>
      <c r="C27" s="321">
        <v>0</v>
      </c>
      <c r="D27" s="323">
        <v>42972</v>
      </c>
      <c r="E27" s="3051" t="s">
        <v>6385</v>
      </c>
      <c r="F27" s="324" t="s">
        <v>4933</v>
      </c>
      <c r="G27" s="2621">
        <v>1.0119899999999999</v>
      </c>
      <c r="H27" s="332" t="s">
        <v>11941</v>
      </c>
      <c r="I27" s="339" t="s">
        <v>1436</v>
      </c>
      <c r="J27" s="322" t="s">
        <v>1437</v>
      </c>
      <c r="K27" s="340" t="s">
        <v>11942</v>
      </c>
      <c r="L27" s="339" t="s">
        <v>4851</v>
      </c>
      <c r="M27" s="322" t="s">
        <v>1957</v>
      </c>
      <c r="N27" s="339" t="s">
        <v>4852</v>
      </c>
      <c r="O27" s="332" t="s">
        <v>6326</v>
      </c>
      <c r="P27" s="345"/>
      <c r="Q27" s="322" t="s">
        <v>4760</v>
      </c>
      <c r="R27" s="322" t="s">
        <v>4761</v>
      </c>
      <c r="S27" s="346"/>
      <c r="T27" s="347">
        <v>6800</v>
      </c>
      <c r="U27" s="326">
        <v>0</v>
      </c>
      <c r="V27" s="348">
        <f t="shared" si="9"/>
        <v>6800</v>
      </c>
      <c r="W27" s="347">
        <v>8501</v>
      </c>
      <c r="X27" s="326">
        <v>0</v>
      </c>
      <c r="Y27" s="348">
        <f t="shared" si="10"/>
        <v>8501</v>
      </c>
      <c r="Z27" s="347">
        <v>1700</v>
      </c>
      <c r="AA27" s="326">
        <v>0</v>
      </c>
      <c r="AB27" s="348">
        <f t="shared" si="11"/>
        <v>1700</v>
      </c>
      <c r="AC27" s="820"/>
      <c r="AD27" s="821"/>
      <c r="AE27" s="822"/>
      <c r="AF27" s="820"/>
      <c r="AG27" s="821"/>
      <c r="AH27" s="822"/>
      <c r="AI27" s="482">
        <f>T27+W27+Z27+AC27+AF27</f>
        <v>17001</v>
      </c>
      <c r="AJ27" s="326">
        <f>U27+X27+AA27+AD27+AG27</f>
        <v>0</v>
      </c>
      <c r="AK27" s="3917">
        <v>0</v>
      </c>
      <c r="AL27" s="349">
        <f t="shared" si="13"/>
        <v>17001</v>
      </c>
      <c r="AM27" s="2002"/>
      <c r="AN27" s="3357"/>
      <c r="AO27" s="695"/>
      <c r="AP27" s="2722" t="str">
        <f t="shared" si="16"/>
        <v>Planning Reg 2023-2024</v>
      </c>
      <c r="AQ27" s="2723">
        <f t="shared" si="16"/>
        <v>1.1576249999999999</v>
      </c>
      <c r="AR27" s="333">
        <v>0</v>
      </c>
      <c r="AS27" s="330">
        <v>0</v>
      </c>
      <c r="AT27" s="330">
        <v>0</v>
      </c>
      <c r="AU27" s="849">
        <v>0</v>
      </c>
      <c r="AV27" s="849">
        <v>0</v>
      </c>
      <c r="AW27" s="3156">
        <f t="shared" si="15"/>
        <v>19448</v>
      </c>
      <c r="AX27" s="3140"/>
    </row>
    <row r="28" spans="1:50" ht="51">
      <c r="A28" s="2418" t="s">
        <v>11004</v>
      </c>
      <c r="B28" s="338" t="s">
        <v>4517</v>
      </c>
      <c r="C28" s="321">
        <v>0</v>
      </c>
      <c r="D28" s="323">
        <v>42992</v>
      </c>
      <c r="E28" s="3051" t="s">
        <v>6385</v>
      </c>
      <c r="F28" s="324" t="s">
        <v>5915</v>
      </c>
      <c r="G28" s="2621">
        <v>1.0119899999999999</v>
      </c>
      <c r="H28" s="332" t="s">
        <v>4934</v>
      </c>
      <c r="I28" s="339" t="s">
        <v>1433</v>
      </c>
      <c r="J28" s="322" t="s">
        <v>1434</v>
      </c>
      <c r="K28" s="340" t="s">
        <v>11866</v>
      </c>
      <c r="L28" s="339" t="s">
        <v>4938</v>
      </c>
      <c r="M28" s="322" t="s">
        <v>1957</v>
      </c>
      <c r="N28" s="339" t="s">
        <v>4935</v>
      </c>
      <c r="O28" s="332" t="s">
        <v>6244</v>
      </c>
      <c r="P28" s="345"/>
      <c r="Q28" s="322" t="s">
        <v>4936</v>
      </c>
      <c r="R28" s="322" t="s">
        <v>4937</v>
      </c>
      <c r="S28" s="346"/>
      <c r="T28" s="347">
        <v>2149</v>
      </c>
      <c r="U28" s="326">
        <v>0</v>
      </c>
      <c r="V28" s="348">
        <f t="shared" si="9"/>
        <v>2149</v>
      </c>
      <c r="W28" s="347">
        <v>379</v>
      </c>
      <c r="X28" s="326">
        <v>0</v>
      </c>
      <c r="Y28" s="348">
        <f t="shared" si="10"/>
        <v>379</v>
      </c>
      <c r="Z28" s="347">
        <v>293</v>
      </c>
      <c r="AA28" s="326">
        <v>0</v>
      </c>
      <c r="AB28" s="348">
        <f t="shared" si="11"/>
        <v>293</v>
      </c>
      <c r="AC28" s="820"/>
      <c r="AD28" s="821"/>
      <c r="AE28" s="822"/>
      <c r="AF28" s="820"/>
      <c r="AG28" s="821"/>
      <c r="AH28" s="822"/>
      <c r="AI28" s="482">
        <f>T28+W28+Z28+AC28+AF28</f>
        <v>2821</v>
      </c>
      <c r="AJ28" s="326">
        <f>U28+X28+AA28+AD28+AG28</f>
        <v>0</v>
      </c>
      <c r="AK28" s="3917">
        <v>0</v>
      </c>
      <c r="AL28" s="349">
        <f t="shared" si="13"/>
        <v>2821</v>
      </c>
      <c r="AM28" s="2002"/>
      <c r="AN28" s="3357"/>
      <c r="AO28" s="695"/>
      <c r="AP28" s="2722" t="str">
        <f t="shared" si="16"/>
        <v>Planning Reg 2023-2024</v>
      </c>
      <c r="AQ28" s="2723">
        <f t="shared" si="16"/>
        <v>1.1576249999999999</v>
      </c>
      <c r="AR28" s="333">
        <v>0</v>
      </c>
      <c r="AS28" s="330">
        <v>0</v>
      </c>
      <c r="AT28" s="330">
        <v>0</v>
      </c>
      <c r="AU28" s="849">
        <v>0</v>
      </c>
      <c r="AV28" s="849">
        <v>0</v>
      </c>
      <c r="AW28" s="3156">
        <f t="shared" si="15"/>
        <v>3227</v>
      </c>
      <c r="AX28" s="3140"/>
    </row>
    <row r="29" spans="1:50" hidden="1"/>
    <row r="30" spans="1:50" ht="76.5">
      <c r="A30" s="5964" t="s">
        <v>11038</v>
      </c>
      <c r="B30" s="2056" t="s">
        <v>5104</v>
      </c>
      <c r="C30" s="5790">
        <v>3</v>
      </c>
      <c r="D30" s="2422" t="s">
        <v>8471</v>
      </c>
      <c r="E30" s="3055" t="s">
        <v>8339</v>
      </c>
      <c r="F30" s="3138" t="s">
        <v>8340</v>
      </c>
      <c r="G30" s="3180">
        <v>1.0795220000000001</v>
      </c>
      <c r="H30" s="2420" t="s">
        <v>11075</v>
      </c>
      <c r="I30" s="339" t="s">
        <v>1433</v>
      </c>
      <c r="J30" s="322" t="s">
        <v>1434</v>
      </c>
      <c r="K30" s="340">
        <v>46010</v>
      </c>
      <c r="L30" s="3182" t="s">
        <v>5105</v>
      </c>
      <c r="M30" s="3181" t="s">
        <v>5106</v>
      </c>
      <c r="N30" s="3182" t="s">
        <v>6576</v>
      </c>
      <c r="O30" s="2420" t="s">
        <v>6575</v>
      </c>
      <c r="P30" s="345" t="s">
        <v>8472</v>
      </c>
      <c r="Q30" s="322" t="s">
        <v>8349</v>
      </c>
      <c r="R30" s="322" t="s">
        <v>8348</v>
      </c>
      <c r="S30" s="346"/>
      <c r="T30" s="347">
        <v>111306</v>
      </c>
      <c r="U30" s="326">
        <v>0</v>
      </c>
      <c r="V30" s="348">
        <f t="shared" ref="V30:V41" si="17">T30-U30</f>
        <v>111306</v>
      </c>
      <c r="W30" s="347">
        <v>139132</v>
      </c>
      <c r="X30" s="326">
        <v>0</v>
      </c>
      <c r="Y30" s="348">
        <f t="shared" ref="Y30:Y41" si="18">W30-X30</f>
        <v>139132</v>
      </c>
      <c r="Z30" s="347">
        <v>27826</v>
      </c>
      <c r="AA30" s="326">
        <v>0</v>
      </c>
      <c r="AB30" s="348">
        <f t="shared" ref="AB30:AB41" si="19">Z30-AA30</f>
        <v>27826</v>
      </c>
      <c r="AC30" s="820"/>
      <c r="AD30" s="821"/>
      <c r="AE30" s="822"/>
      <c r="AF30" s="820"/>
      <c r="AG30" s="821"/>
      <c r="AH30" s="822"/>
      <c r="AI30" s="482">
        <v>536949</v>
      </c>
      <c r="AJ30" s="326">
        <f t="shared" ref="AJ30:AJ41" si="20">U30+X30+AA30+AD30+AG30</f>
        <v>0</v>
      </c>
      <c r="AK30" s="3917">
        <v>0</v>
      </c>
      <c r="AL30" s="349">
        <f t="shared" ref="AL30:AL41" si="21">AI30-AJ30-AK30</f>
        <v>536949</v>
      </c>
      <c r="AM30" s="2002"/>
      <c r="AN30" s="3357"/>
      <c r="AO30" s="695"/>
      <c r="AP30" s="2722" t="str">
        <f t="shared" ref="AP30:AQ41" si="22">AP$2</f>
        <v>Planning Reg 2023-2024</v>
      </c>
      <c r="AQ30" s="2723">
        <f t="shared" si="22"/>
        <v>1.1576249999999999</v>
      </c>
      <c r="AR30" s="333">
        <v>0</v>
      </c>
      <c r="AS30" s="330">
        <v>0</v>
      </c>
      <c r="AT30" s="330">
        <v>0</v>
      </c>
      <c r="AU30" s="849">
        <v>0</v>
      </c>
      <c r="AV30" s="849">
        <v>0</v>
      </c>
      <c r="AW30" s="3156">
        <f t="shared" ref="AW30:AW41" si="23">ROUND(AL30*AQ30/G30,0)</f>
        <v>575797</v>
      </c>
      <c r="AX30" s="3140"/>
    </row>
    <row r="31" spans="1:50" ht="76.5">
      <c r="A31" s="5964" t="s">
        <v>11038</v>
      </c>
      <c r="B31" s="2056" t="s">
        <v>8350</v>
      </c>
      <c r="C31" s="5790">
        <v>3</v>
      </c>
      <c r="D31" s="2422" t="s">
        <v>8471</v>
      </c>
      <c r="E31" s="3055" t="s">
        <v>8339</v>
      </c>
      <c r="F31" s="3138" t="s">
        <v>8340</v>
      </c>
      <c r="G31" s="3180">
        <v>1.0795220000000001</v>
      </c>
      <c r="H31" s="2420" t="s">
        <v>11076</v>
      </c>
      <c r="I31" s="339" t="s">
        <v>1433</v>
      </c>
      <c r="J31" s="322" t="s">
        <v>1434</v>
      </c>
      <c r="K31" s="340">
        <v>46010</v>
      </c>
      <c r="L31" s="3182" t="s">
        <v>5105</v>
      </c>
      <c r="M31" s="3181" t="s">
        <v>5106</v>
      </c>
      <c r="N31" s="3182" t="s">
        <v>6576</v>
      </c>
      <c r="O31" s="2420" t="s">
        <v>6575</v>
      </c>
      <c r="P31" s="345" t="s">
        <v>8473</v>
      </c>
      <c r="Q31" s="322" t="s">
        <v>6578</v>
      </c>
      <c r="R31" s="322" t="s">
        <v>8348</v>
      </c>
      <c r="S31" s="346"/>
      <c r="T31" s="347">
        <v>111306</v>
      </c>
      <c r="U31" s="326">
        <v>0</v>
      </c>
      <c r="V31" s="348">
        <f t="shared" si="17"/>
        <v>111306</v>
      </c>
      <c r="W31" s="347">
        <v>139132</v>
      </c>
      <c r="X31" s="326">
        <v>0</v>
      </c>
      <c r="Y31" s="348">
        <f t="shared" si="18"/>
        <v>139132</v>
      </c>
      <c r="Z31" s="347">
        <v>27826</v>
      </c>
      <c r="AA31" s="326">
        <v>0</v>
      </c>
      <c r="AB31" s="348">
        <f t="shared" si="19"/>
        <v>27826</v>
      </c>
      <c r="AC31" s="820"/>
      <c r="AD31" s="821"/>
      <c r="AE31" s="822"/>
      <c r="AF31" s="820"/>
      <c r="AG31" s="821"/>
      <c r="AH31" s="822"/>
      <c r="AI31" s="482">
        <v>293145</v>
      </c>
      <c r="AJ31" s="326">
        <f t="shared" si="20"/>
        <v>0</v>
      </c>
      <c r="AK31" s="3917">
        <v>0</v>
      </c>
      <c r="AL31" s="349">
        <f t="shared" si="21"/>
        <v>293145</v>
      </c>
      <c r="AM31" s="2002"/>
      <c r="AN31" s="3357"/>
      <c r="AO31" s="695"/>
      <c r="AP31" s="2722" t="str">
        <f t="shared" si="22"/>
        <v>Planning Reg 2023-2024</v>
      </c>
      <c r="AQ31" s="2723">
        <f t="shared" si="22"/>
        <v>1.1576249999999999</v>
      </c>
      <c r="AR31" s="333">
        <v>0</v>
      </c>
      <c r="AS31" s="330">
        <v>0</v>
      </c>
      <c r="AT31" s="330">
        <v>0</v>
      </c>
      <c r="AU31" s="849">
        <v>0</v>
      </c>
      <c r="AV31" s="849">
        <v>0</v>
      </c>
      <c r="AW31" s="3156">
        <f t="shared" si="23"/>
        <v>314354</v>
      </c>
      <c r="AX31" s="3140"/>
    </row>
    <row r="32" spans="1:50" ht="77.25" thickBot="1">
      <c r="A32" s="5964" t="s">
        <v>11038</v>
      </c>
      <c r="B32" s="2056" t="s">
        <v>8351</v>
      </c>
      <c r="C32" s="5790">
        <v>3</v>
      </c>
      <c r="D32" s="2422" t="s">
        <v>8471</v>
      </c>
      <c r="E32" s="3055" t="s">
        <v>8339</v>
      </c>
      <c r="F32" s="3138" t="s">
        <v>8340</v>
      </c>
      <c r="G32" s="3180">
        <v>1.0795220000000001</v>
      </c>
      <c r="H32" s="2420" t="s">
        <v>11077</v>
      </c>
      <c r="I32" s="339" t="s">
        <v>1433</v>
      </c>
      <c r="J32" s="322" t="s">
        <v>1434</v>
      </c>
      <c r="K32" s="340">
        <v>46010</v>
      </c>
      <c r="L32" s="3182" t="s">
        <v>5105</v>
      </c>
      <c r="M32" s="3181" t="s">
        <v>5106</v>
      </c>
      <c r="N32" s="3182" t="s">
        <v>6576</v>
      </c>
      <c r="O32" s="2420" t="s">
        <v>6575</v>
      </c>
      <c r="P32" s="345" t="s">
        <v>8474</v>
      </c>
      <c r="Q32" s="322" t="s">
        <v>8352</v>
      </c>
      <c r="R32" s="322" t="s">
        <v>8348</v>
      </c>
      <c r="S32" s="346"/>
      <c r="T32" s="347">
        <v>111306</v>
      </c>
      <c r="U32" s="326">
        <v>0</v>
      </c>
      <c r="V32" s="348">
        <f t="shared" si="17"/>
        <v>111306</v>
      </c>
      <c r="W32" s="347">
        <v>139132</v>
      </c>
      <c r="X32" s="326">
        <v>0</v>
      </c>
      <c r="Y32" s="348">
        <f t="shared" si="18"/>
        <v>139132</v>
      </c>
      <c r="Z32" s="347">
        <v>27826</v>
      </c>
      <c r="AA32" s="326">
        <v>0</v>
      </c>
      <c r="AB32" s="348">
        <f t="shared" si="19"/>
        <v>27826</v>
      </c>
      <c r="AC32" s="820"/>
      <c r="AD32" s="821"/>
      <c r="AE32" s="822"/>
      <c r="AF32" s="820"/>
      <c r="AG32" s="821"/>
      <c r="AH32" s="822"/>
      <c r="AI32" s="482">
        <v>661558</v>
      </c>
      <c r="AJ32" s="326">
        <f t="shared" si="20"/>
        <v>0</v>
      </c>
      <c r="AK32" s="3917">
        <v>0</v>
      </c>
      <c r="AL32" s="349">
        <f t="shared" si="21"/>
        <v>661558</v>
      </c>
      <c r="AM32" s="2002"/>
      <c r="AN32" s="3357"/>
      <c r="AO32" s="695"/>
      <c r="AP32" s="2722" t="str">
        <f t="shared" si="22"/>
        <v>Planning Reg 2023-2024</v>
      </c>
      <c r="AQ32" s="2723">
        <f t="shared" si="22"/>
        <v>1.1576249999999999</v>
      </c>
      <c r="AR32" s="333">
        <v>0</v>
      </c>
      <c r="AS32" s="330">
        <v>0</v>
      </c>
      <c r="AT32" s="330">
        <v>0</v>
      </c>
      <c r="AU32" s="849">
        <v>0</v>
      </c>
      <c r="AV32" s="849">
        <v>0</v>
      </c>
      <c r="AW32" s="3156">
        <f t="shared" si="23"/>
        <v>709421</v>
      </c>
      <c r="AX32" s="3140"/>
    </row>
    <row r="33" spans="1:52" ht="102">
      <c r="A33" s="2418" t="s">
        <v>11004</v>
      </c>
      <c r="B33" s="338" t="s">
        <v>9677</v>
      </c>
      <c r="C33" s="695">
        <v>2</v>
      </c>
      <c r="D33" s="323" t="s">
        <v>6932</v>
      </c>
      <c r="E33" s="3051" t="s">
        <v>6385</v>
      </c>
      <c r="F33" s="324" t="s">
        <v>5915</v>
      </c>
      <c r="G33" s="2621">
        <v>1.0119899999999999</v>
      </c>
      <c r="H33" s="332" t="s">
        <v>5301</v>
      </c>
      <c r="I33" s="339" t="s">
        <v>1436</v>
      </c>
      <c r="J33" s="322" t="s">
        <v>1437</v>
      </c>
      <c r="K33" s="2152" t="s">
        <v>9349</v>
      </c>
      <c r="L33" s="339" t="s">
        <v>5119</v>
      </c>
      <c r="M33" s="322" t="s">
        <v>3046</v>
      </c>
      <c r="N33" s="339" t="s">
        <v>5118</v>
      </c>
      <c r="O33" s="332" t="s">
        <v>6320</v>
      </c>
      <c r="P33" s="345" t="s">
        <v>7753</v>
      </c>
      <c r="Q33" s="322" t="s">
        <v>5120</v>
      </c>
      <c r="R33" s="322" t="s">
        <v>5121</v>
      </c>
      <c r="S33" s="346"/>
      <c r="T33" s="347">
        <f>ROUNDUP(62411*50%,0)</f>
        <v>31206</v>
      </c>
      <c r="U33" s="326">
        <v>0</v>
      </c>
      <c r="V33" s="348">
        <f t="shared" si="17"/>
        <v>31206</v>
      </c>
      <c r="W33" s="347">
        <f>78014*50%</f>
        <v>39007</v>
      </c>
      <c r="X33" s="326">
        <v>0</v>
      </c>
      <c r="Y33" s="348">
        <f t="shared" si="18"/>
        <v>39007</v>
      </c>
      <c r="Z33" s="347">
        <f>(15602*50%)-1</f>
        <v>7800</v>
      </c>
      <c r="AA33" s="326">
        <v>0</v>
      </c>
      <c r="AB33" s="348">
        <f t="shared" si="19"/>
        <v>7800</v>
      </c>
      <c r="AC33" s="820"/>
      <c r="AD33" s="821"/>
      <c r="AE33" s="822"/>
      <c r="AF33" s="820"/>
      <c r="AG33" s="821"/>
      <c r="AH33" s="822"/>
      <c r="AI33" s="482">
        <f t="shared" ref="AI33:AI41" si="24">T33+W33+Z33+AC33+AF33</f>
        <v>78013</v>
      </c>
      <c r="AJ33" s="326">
        <f t="shared" si="20"/>
        <v>0</v>
      </c>
      <c r="AK33" s="3917">
        <v>0</v>
      </c>
      <c r="AL33" s="349">
        <f t="shared" si="21"/>
        <v>78013</v>
      </c>
      <c r="AM33" s="2002"/>
      <c r="AN33" s="3357"/>
      <c r="AO33" s="695"/>
      <c r="AP33" s="2722" t="str">
        <f t="shared" si="22"/>
        <v>Planning Reg 2023-2024</v>
      </c>
      <c r="AQ33" s="2723">
        <f t="shared" si="22"/>
        <v>1.1576249999999999</v>
      </c>
      <c r="AR33" s="333">
        <v>0</v>
      </c>
      <c r="AS33" s="330">
        <v>0</v>
      </c>
      <c r="AT33" s="330">
        <v>0</v>
      </c>
      <c r="AU33" s="849">
        <v>0</v>
      </c>
      <c r="AV33" s="849">
        <v>0</v>
      </c>
      <c r="AW33" s="3156">
        <f t="shared" si="23"/>
        <v>89240</v>
      </c>
      <c r="AX33" s="3140"/>
    </row>
    <row r="34" spans="1:52" ht="76.5">
      <c r="A34" s="5964" t="s">
        <v>11036</v>
      </c>
      <c r="B34" s="338" t="s">
        <v>12269</v>
      </c>
      <c r="C34" s="321">
        <v>0</v>
      </c>
      <c r="D34" s="323">
        <v>43082</v>
      </c>
      <c r="E34" s="3051" t="s">
        <v>6385</v>
      </c>
      <c r="F34" s="324" t="s">
        <v>5915</v>
      </c>
      <c r="G34" s="2621">
        <v>1.0119899999999999</v>
      </c>
      <c r="H34" s="2273" t="s">
        <v>5180</v>
      </c>
      <c r="I34" s="339" t="s">
        <v>5181</v>
      </c>
      <c r="J34" s="322" t="s">
        <v>4306</v>
      </c>
      <c r="K34" s="5441">
        <v>43812</v>
      </c>
      <c r="L34" s="289" t="s">
        <v>5182</v>
      </c>
      <c r="M34" s="322" t="s">
        <v>5183</v>
      </c>
      <c r="N34" s="5789" t="s">
        <v>5173</v>
      </c>
      <c r="O34" s="5440" t="s">
        <v>6316</v>
      </c>
      <c r="P34" s="345"/>
      <c r="Q34" s="6094" t="s">
        <v>4878</v>
      </c>
      <c r="R34" s="322" t="s">
        <v>1046</v>
      </c>
      <c r="S34" s="346"/>
      <c r="T34" s="347">
        <v>2315</v>
      </c>
      <c r="U34" s="326">
        <v>0</v>
      </c>
      <c r="V34" s="348">
        <f t="shared" si="17"/>
        <v>2315</v>
      </c>
      <c r="W34" s="347">
        <v>2893</v>
      </c>
      <c r="X34" s="326">
        <v>0</v>
      </c>
      <c r="Y34" s="348">
        <f t="shared" si="18"/>
        <v>2893</v>
      </c>
      <c r="Z34" s="347">
        <v>827</v>
      </c>
      <c r="AA34" s="326">
        <v>0</v>
      </c>
      <c r="AB34" s="348">
        <f t="shared" si="19"/>
        <v>827</v>
      </c>
      <c r="AC34" s="820"/>
      <c r="AD34" s="821"/>
      <c r="AE34" s="822"/>
      <c r="AF34" s="820"/>
      <c r="AG34" s="821"/>
      <c r="AH34" s="822"/>
      <c r="AI34" s="482">
        <f t="shared" si="24"/>
        <v>6035</v>
      </c>
      <c r="AJ34" s="326">
        <f t="shared" si="20"/>
        <v>0</v>
      </c>
      <c r="AK34" s="3917">
        <v>0</v>
      </c>
      <c r="AL34" s="349">
        <f t="shared" si="21"/>
        <v>6035</v>
      </c>
      <c r="AM34" s="2002"/>
      <c r="AN34" s="3357"/>
      <c r="AO34" s="695"/>
      <c r="AP34" s="2722" t="str">
        <f t="shared" si="22"/>
        <v>Planning Reg 2023-2024</v>
      </c>
      <c r="AQ34" s="2723">
        <f t="shared" si="22"/>
        <v>1.1576249999999999</v>
      </c>
      <c r="AR34" s="333">
        <v>0</v>
      </c>
      <c r="AS34" s="330">
        <v>0</v>
      </c>
      <c r="AT34" s="330">
        <v>0</v>
      </c>
      <c r="AU34" s="849">
        <v>0</v>
      </c>
      <c r="AV34" s="849">
        <v>0</v>
      </c>
      <c r="AW34" s="3156">
        <f t="shared" si="23"/>
        <v>6903</v>
      </c>
      <c r="AX34" s="3140"/>
    </row>
    <row r="35" spans="1:52" ht="38.25">
      <c r="A35" s="2418" t="s">
        <v>11004</v>
      </c>
      <c r="B35" s="338" t="s">
        <v>4530</v>
      </c>
      <c r="C35" s="321">
        <v>0</v>
      </c>
      <c r="D35" s="323">
        <v>43145</v>
      </c>
      <c r="E35" s="3051" t="s">
        <v>6385</v>
      </c>
      <c r="F35" s="324" t="s">
        <v>5915</v>
      </c>
      <c r="G35" s="2621">
        <v>1.0119899999999999</v>
      </c>
      <c r="H35" s="332" t="s">
        <v>5294</v>
      </c>
      <c r="I35" s="339" t="s">
        <v>1433</v>
      </c>
      <c r="J35" s="322" t="s">
        <v>1434</v>
      </c>
      <c r="K35" s="340" t="s">
        <v>11866</v>
      </c>
      <c r="L35" s="339" t="s">
        <v>5295</v>
      </c>
      <c r="M35" s="322" t="s">
        <v>5296</v>
      </c>
      <c r="N35" s="339" t="s">
        <v>5297</v>
      </c>
      <c r="O35" s="332" t="s">
        <v>6274</v>
      </c>
      <c r="P35" s="345"/>
      <c r="Q35" s="322" t="s">
        <v>5298</v>
      </c>
      <c r="R35" s="322" t="s">
        <v>5299</v>
      </c>
      <c r="S35" s="346"/>
      <c r="T35" s="347">
        <v>2600</v>
      </c>
      <c r="U35" s="326">
        <v>0</v>
      </c>
      <c r="V35" s="348">
        <f t="shared" si="17"/>
        <v>2600</v>
      </c>
      <c r="W35" s="347">
        <v>459</v>
      </c>
      <c r="X35" s="326">
        <v>0</v>
      </c>
      <c r="Y35" s="348">
        <f t="shared" si="18"/>
        <v>459</v>
      </c>
      <c r="Z35" s="347">
        <v>364</v>
      </c>
      <c r="AA35" s="326">
        <v>0</v>
      </c>
      <c r="AB35" s="348">
        <f t="shared" si="19"/>
        <v>364</v>
      </c>
      <c r="AC35" s="820"/>
      <c r="AD35" s="821"/>
      <c r="AE35" s="822"/>
      <c r="AF35" s="820"/>
      <c r="AG35" s="821"/>
      <c r="AH35" s="822"/>
      <c r="AI35" s="482">
        <f t="shared" si="24"/>
        <v>3423</v>
      </c>
      <c r="AJ35" s="326">
        <f t="shared" si="20"/>
        <v>0</v>
      </c>
      <c r="AK35" s="3917">
        <v>0</v>
      </c>
      <c r="AL35" s="349">
        <f t="shared" si="21"/>
        <v>3423</v>
      </c>
      <c r="AM35" s="2002"/>
      <c r="AN35" s="3357"/>
      <c r="AO35" s="695"/>
      <c r="AP35" s="2722" t="str">
        <f t="shared" si="22"/>
        <v>Planning Reg 2023-2024</v>
      </c>
      <c r="AQ35" s="2723">
        <f t="shared" si="22"/>
        <v>1.1576249999999999</v>
      </c>
      <c r="AR35" s="333">
        <v>0</v>
      </c>
      <c r="AS35" s="330">
        <v>0</v>
      </c>
      <c r="AT35" s="330">
        <v>0</v>
      </c>
      <c r="AU35" s="849">
        <v>0</v>
      </c>
      <c r="AV35" s="849">
        <v>0</v>
      </c>
      <c r="AW35" s="3156">
        <f t="shared" si="23"/>
        <v>3916</v>
      </c>
      <c r="AX35" s="3140"/>
    </row>
    <row r="36" spans="1:52" ht="63.75">
      <c r="A36" s="5964" t="s">
        <v>11036</v>
      </c>
      <c r="B36" s="338" t="s">
        <v>12270</v>
      </c>
      <c r="C36" s="321">
        <v>0</v>
      </c>
      <c r="D36" s="323">
        <v>43172</v>
      </c>
      <c r="E36" s="3051" t="s">
        <v>6385</v>
      </c>
      <c r="F36" s="324" t="s">
        <v>5915</v>
      </c>
      <c r="G36" s="2621">
        <v>1.0119899999999999</v>
      </c>
      <c r="H36" s="332" t="s">
        <v>5358</v>
      </c>
      <c r="I36" s="339" t="s">
        <v>1433</v>
      </c>
      <c r="J36" s="322" t="s">
        <v>1434</v>
      </c>
      <c r="K36" s="340" t="s">
        <v>12272</v>
      </c>
      <c r="L36" s="339" t="s">
        <v>1573</v>
      </c>
      <c r="M36" s="322" t="s">
        <v>4746</v>
      </c>
      <c r="N36" s="339" t="s">
        <v>5359</v>
      </c>
      <c r="O36" s="332" t="s">
        <v>6272</v>
      </c>
      <c r="P36" s="667" t="s">
        <v>12271</v>
      </c>
      <c r="Q36" s="6094" t="s">
        <v>5360</v>
      </c>
      <c r="R36" s="322" t="s">
        <v>5361</v>
      </c>
      <c r="S36" s="346"/>
      <c r="T36" s="347">
        <v>2331</v>
      </c>
      <c r="U36" s="326">
        <v>0</v>
      </c>
      <c r="V36" s="348">
        <f t="shared" si="17"/>
        <v>2331</v>
      </c>
      <c r="W36" s="347">
        <v>2914</v>
      </c>
      <c r="X36" s="326">
        <v>0</v>
      </c>
      <c r="Y36" s="348">
        <f t="shared" si="18"/>
        <v>2914</v>
      </c>
      <c r="Z36" s="347">
        <v>833</v>
      </c>
      <c r="AA36" s="326">
        <v>0</v>
      </c>
      <c r="AB36" s="348">
        <f t="shared" si="19"/>
        <v>833</v>
      </c>
      <c r="AC36" s="820"/>
      <c r="AD36" s="821"/>
      <c r="AE36" s="822"/>
      <c r="AF36" s="820"/>
      <c r="AG36" s="821"/>
      <c r="AH36" s="822"/>
      <c r="AI36" s="482">
        <f t="shared" si="24"/>
        <v>6078</v>
      </c>
      <c r="AJ36" s="326">
        <f t="shared" si="20"/>
        <v>0</v>
      </c>
      <c r="AK36" s="3917">
        <v>0</v>
      </c>
      <c r="AL36" s="349">
        <f t="shared" si="21"/>
        <v>6078</v>
      </c>
      <c r="AM36" s="2002"/>
      <c r="AN36" s="3357"/>
      <c r="AO36" s="695"/>
      <c r="AP36" s="2722" t="str">
        <f t="shared" si="22"/>
        <v>Planning Reg 2023-2024</v>
      </c>
      <c r="AQ36" s="2723">
        <f t="shared" si="22"/>
        <v>1.1576249999999999</v>
      </c>
      <c r="AR36" s="333">
        <v>0</v>
      </c>
      <c r="AS36" s="330">
        <v>0</v>
      </c>
      <c r="AT36" s="330">
        <v>0</v>
      </c>
      <c r="AU36" s="849">
        <v>0</v>
      </c>
      <c r="AV36" s="849">
        <v>0</v>
      </c>
      <c r="AW36" s="3156">
        <f t="shared" si="23"/>
        <v>6953</v>
      </c>
      <c r="AX36" s="3140"/>
    </row>
    <row r="37" spans="1:52" ht="141" customHeight="1">
      <c r="A37" s="5964" t="s">
        <v>11036</v>
      </c>
      <c r="B37" s="338" t="s">
        <v>4531</v>
      </c>
      <c r="C37" s="321">
        <v>0</v>
      </c>
      <c r="D37" s="323">
        <v>43180</v>
      </c>
      <c r="E37" s="3051" t="s">
        <v>6385</v>
      </c>
      <c r="F37" s="324" t="s">
        <v>5915</v>
      </c>
      <c r="G37" s="2621">
        <v>1.0119899999999999</v>
      </c>
      <c r="H37" s="332" t="s">
        <v>5393</v>
      </c>
      <c r="I37" s="339" t="s">
        <v>1433</v>
      </c>
      <c r="J37" s="322" t="s">
        <v>1434</v>
      </c>
      <c r="K37" s="340" t="s">
        <v>12230</v>
      </c>
      <c r="L37" s="339" t="s">
        <v>5394</v>
      </c>
      <c r="M37" s="322" t="s">
        <v>5395</v>
      </c>
      <c r="N37" s="339" t="s">
        <v>5396</v>
      </c>
      <c r="O37" s="332" t="s">
        <v>5397</v>
      </c>
      <c r="P37" s="345"/>
      <c r="Q37" s="322" t="s">
        <v>5398</v>
      </c>
      <c r="R37" s="322" t="s">
        <v>5399</v>
      </c>
      <c r="S37" s="346"/>
      <c r="T37" s="347">
        <v>1517</v>
      </c>
      <c r="U37" s="326">
        <v>0</v>
      </c>
      <c r="V37" s="348">
        <f t="shared" si="17"/>
        <v>1517</v>
      </c>
      <c r="W37" s="347">
        <v>0</v>
      </c>
      <c r="X37" s="326">
        <v>0</v>
      </c>
      <c r="Y37" s="348">
        <f t="shared" si="18"/>
        <v>0</v>
      </c>
      <c r="Z37" s="347">
        <v>0</v>
      </c>
      <c r="AA37" s="326">
        <v>0</v>
      </c>
      <c r="AB37" s="348">
        <f t="shared" si="19"/>
        <v>0</v>
      </c>
      <c r="AC37" s="820"/>
      <c r="AD37" s="821"/>
      <c r="AE37" s="822"/>
      <c r="AF37" s="820"/>
      <c r="AG37" s="821"/>
      <c r="AH37" s="822"/>
      <c r="AI37" s="482">
        <f t="shared" si="24"/>
        <v>1517</v>
      </c>
      <c r="AJ37" s="326">
        <f t="shared" si="20"/>
        <v>0</v>
      </c>
      <c r="AK37" s="3917">
        <v>0</v>
      </c>
      <c r="AL37" s="349">
        <f t="shared" si="21"/>
        <v>1517</v>
      </c>
      <c r="AM37" s="2002"/>
      <c r="AN37" s="3357"/>
      <c r="AO37" s="695"/>
      <c r="AP37" s="2722" t="str">
        <f t="shared" si="22"/>
        <v>Planning Reg 2023-2024</v>
      </c>
      <c r="AQ37" s="2723">
        <f t="shared" si="22"/>
        <v>1.1576249999999999</v>
      </c>
      <c r="AR37" s="333">
        <v>0</v>
      </c>
      <c r="AS37" s="330">
        <v>0</v>
      </c>
      <c r="AT37" s="330">
        <v>0</v>
      </c>
      <c r="AU37" s="849">
        <v>0</v>
      </c>
      <c r="AV37" s="849">
        <v>0</v>
      </c>
      <c r="AW37" s="3156">
        <f t="shared" si="23"/>
        <v>1735</v>
      </c>
      <c r="AX37" s="3140"/>
    </row>
    <row r="38" spans="1:52" ht="76.5">
      <c r="A38" s="2418" t="s">
        <v>11004</v>
      </c>
      <c r="B38" s="1569" t="s">
        <v>8319</v>
      </c>
      <c r="C38" s="1570">
        <v>0</v>
      </c>
      <c r="D38" s="1571">
        <v>43209</v>
      </c>
      <c r="E38" s="3057" t="s">
        <v>6385</v>
      </c>
      <c r="F38" s="1572" t="s">
        <v>5915</v>
      </c>
      <c r="G38" s="2622">
        <v>1.0119899999999999</v>
      </c>
      <c r="H38" s="1573" t="s">
        <v>5466</v>
      </c>
      <c r="I38" s="1574" t="s">
        <v>5447</v>
      </c>
      <c r="J38" s="3208" t="s">
        <v>4306</v>
      </c>
      <c r="K38" s="4222" t="s">
        <v>12273</v>
      </c>
      <c r="L38" s="1574" t="s">
        <v>5451</v>
      </c>
      <c r="M38" s="3208" t="s">
        <v>5452</v>
      </c>
      <c r="N38" s="1574" t="s">
        <v>5453</v>
      </c>
      <c r="O38" s="3208" t="s">
        <v>5452</v>
      </c>
      <c r="P38" s="4220"/>
      <c r="Q38" s="3208" t="s">
        <v>12274</v>
      </c>
      <c r="R38" s="3208" t="s">
        <v>1046</v>
      </c>
      <c r="S38" s="1577" t="s">
        <v>3476</v>
      </c>
      <c r="T38" s="4858">
        <v>28560</v>
      </c>
      <c r="U38" s="1593">
        <f>T38</f>
        <v>28560</v>
      </c>
      <c r="V38" s="4859">
        <f t="shared" si="17"/>
        <v>0</v>
      </c>
      <c r="W38" s="4858">
        <v>5040</v>
      </c>
      <c r="X38" s="1593">
        <f>W38</f>
        <v>5040</v>
      </c>
      <c r="Y38" s="4859">
        <f t="shared" si="18"/>
        <v>0</v>
      </c>
      <c r="Z38" s="4858">
        <v>4000</v>
      </c>
      <c r="AA38" s="1593">
        <f>Z38</f>
        <v>4000</v>
      </c>
      <c r="AB38" s="4859">
        <f t="shared" si="19"/>
        <v>0</v>
      </c>
      <c r="AC38" s="4858"/>
      <c r="AD38" s="1593"/>
      <c r="AE38" s="4859"/>
      <c r="AF38" s="4858"/>
      <c r="AG38" s="1593"/>
      <c r="AH38" s="4859"/>
      <c r="AI38" s="4860">
        <f t="shared" si="24"/>
        <v>37600</v>
      </c>
      <c r="AJ38" s="1593">
        <f t="shared" si="20"/>
        <v>37600</v>
      </c>
      <c r="AK38" s="4861">
        <v>0</v>
      </c>
      <c r="AL38" s="4862">
        <f t="shared" si="21"/>
        <v>0</v>
      </c>
      <c r="AM38" s="4863"/>
      <c r="AN38" s="4864"/>
      <c r="AO38" s="4865"/>
      <c r="AP38" s="2983" t="str">
        <f t="shared" si="22"/>
        <v>Planning Reg 2023-2024</v>
      </c>
      <c r="AQ38" s="2984">
        <f t="shared" si="22"/>
        <v>1.1576249999999999</v>
      </c>
      <c r="AR38" s="4866">
        <v>0</v>
      </c>
      <c r="AS38" s="4867">
        <v>0</v>
      </c>
      <c r="AT38" s="4867">
        <v>0</v>
      </c>
      <c r="AU38" s="4867">
        <v>0</v>
      </c>
      <c r="AV38" s="4867">
        <v>0</v>
      </c>
      <c r="AW38" s="4868">
        <f t="shared" si="23"/>
        <v>0</v>
      </c>
      <c r="AX38" s="3140"/>
    </row>
    <row r="39" spans="1:52" ht="77.25" thickBot="1">
      <c r="A39" s="2418" t="s">
        <v>11004</v>
      </c>
      <c r="B39" s="338" t="s">
        <v>4539</v>
      </c>
      <c r="C39" s="321">
        <v>0</v>
      </c>
      <c r="D39" s="323">
        <v>43245</v>
      </c>
      <c r="E39" s="3056" t="s">
        <v>6385</v>
      </c>
      <c r="F39" s="324" t="s">
        <v>5915</v>
      </c>
      <c r="G39" s="2332">
        <v>1.0119899999999999</v>
      </c>
      <c r="H39" s="332" t="s">
        <v>5563</v>
      </c>
      <c r="I39" s="339" t="s">
        <v>1433</v>
      </c>
      <c r="J39" s="322" t="s">
        <v>1434</v>
      </c>
      <c r="K39" s="340" t="s">
        <v>12232</v>
      </c>
      <c r="L39" s="339" t="s">
        <v>5564</v>
      </c>
      <c r="M39" s="322" t="s">
        <v>4394</v>
      </c>
      <c r="N39" s="339" t="s">
        <v>5565</v>
      </c>
      <c r="O39" s="332" t="s">
        <v>5566</v>
      </c>
      <c r="P39" s="345"/>
      <c r="Q39" s="322" t="s">
        <v>5483</v>
      </c>
      <c r="R39" s="322" t="s">
        <v>5567</v>
      </c>
      <c r="S39" s="346"/>
      <c r="T39" s="347">
        <v>6800</v>
      </c>
      <c r="U39" s="326">
        <v>0</v>
      </c>
      <c r="V39" s="348">
        <f t="shared" si="17"/>
        <v>6800</v>
      </c>
      <c r="W39" s="347">
        <v>8501</v>
      </c>
      <c r="X39" s="326">
        <v>0</v>
      </c>
      <c r="Y39" s="348">
        <f t="shared" si="18"/>
        <v>8501</v>
      </c>
      <c r="Z39" s="347">
        <v>1700</v>
      </c>
      <c r="AA39" s="326">
        <v>0</v>
      </c>
      <c r="AB39" s="348">
        <f t="shared" si="19"/>
        <v>1700</v>
      </c>
      <c r="AC39" s="820"/>
      <c r="AD39" s="821"/>
      <c r="AE39" s="822"/>
      <c r="AF39" s="820"/>
      <c r="AG39" s="821"/>
      <c r="AH39" s="822"/>
      <c r="AI39" s="482">
        <f t="shared" si="24"/>
        <v>17001</v>
      </c>
      <c r="AJ39" s="326">
        <f t="shared" si="20"/>
        <v>0</v>
      </c>
      <c r="AK39" s="3917">
        <v>0</v>
      </c>
      <c r="AL39" s="349">
        <f t="shared" si="21"/>
        <v>17001</v>
      </c>
      <c r="AM39" s="2002"/>
      <c r="AN39" s="3357"/>
      <c r="AO39" s="695"/>
      <c r="AP39" s="2722" t="str">
        <f t="shared" si="22"/>
        <v>Planning Reg 2023-2024</v>
      </c>
      <c r="AQ39" s="2723">
        <f t="shared" si="22"/>
        <v>1.1576249999999999</v>
      </c>
      <c r="AR39" s="333">
        <v>0</v>
      </c>
      <c r="AS39" s="330">
        <v>0</v>
      </c>
      <c r="AT39" s="330">
        <v>0</v>
      </c>
      <c r="AU39" s="849">
        <v>0</v>
      </c>
      <c r="AV39" s="849">
        <v>0</v>
      </c>
      <c r="AW39" s="3156">
        <f t="shared" si="23"/>
        <v>19448</v>
      </c>
      <c r="AX39" s="3145" t="s">
        <v>6896</v>
      </c>
      <c r="AY39" s="2006"/>
      <c r="AZ39" s="1726"/>
    </row>
    <row r="40" spans="1:52" ht="102" thickBot="1">
      <c r="A40" s="5964" t="s">
        <v>11035</v>
      </c>
      <c r="B40" s="338" t="s">
        <v>12475</v>
      </c>
      <c r="C40" s="695">
        <v>1</v>
      </c>
      <c r="D40" s="323" t="s">
        <v>5633</v>
      </c>
      <c r="E40" s="3051" t="s">
        <v>6385</v>
      </c>
      <c r="F40" s="324" t="s">
        <v>5915</v>
      </c>
      <c r="G40" s="2621">
        <v>1.0119899999999999</v>
      </c>
      <c r="H40" s="2273" t="s">
        <v>10961</v>
      </c>
      <c r="I40" s="339" t="s">
        <v>5582</v>
      </c>
      <c r="J40" s="322" t="s">
        <v>4306</v>
      </c>
      <c r="K40" s="340" t="s">
        <v>6556</v>
      </c>
      <c r="L40" s="339" t="s">
        <v>5583</v>
      </c>
      <c r="M40" s="322" t="s">
        <v>5584</v>
      </c>
      <c r="N40" s="339" t="s">
        <v>5585</v>
      </c>
      <c r="O40" s="332" t="s">
        <v>6268</v>
      </c>
      <c r="P40" s="3315" t="s">
        <v>6743</v>
      </c>
      <c r="Q40" s="6094" t="s">
        <v>5349</v>
      </c>
      <c r="R40" s="322" t="s">
        <v>5350</v>
      </c>
      <c r="S40" s="346"/>
      <c r="T40" s="347">
        <v>2334</v>
      </c>
      <c r="U40" s="326">
        <v>0</v>
      </c>
      <c r="V40" s="348">
        <f t="shared" si="17"/>
        <v>2334</v>
      </c>
      <c r="W40" s="347">
        <v>2917</v>
      </c>
      <c r="X40" s="326">
        <v>0</v>
      </c>
      <c r="Y40" s="348">
        <f t="shared" si="18"/>
        <v>2917</v>
      </c>
      <c r="Z40" s="347">
        <v>833</v>
      </c>
      <c r="AA40" s="326">
        <v>0</v>
      </c>
      <c r="AB40" s="348">
        <f t="shared" si="19"/>
        <v>833</v>
      </c>
      <c r="AC40" s="820"/>
      <c r="AD40" s="821"/>
      <c r="AE40" s="822"/>
      <c r="AF40" s="820"/>
      <c r="AG40" s="821"/>
      <c r="AH40" s="822"/>
      <c r="AI40" s="482">
        <f t="shared" si="24"/>
        <v>6084</v>
      </c>
      <c r="AJ40" s="326">
        <f t="shared" si="20"/>
        <v>0</v>
      </c>
      <c r="AK40" s="3917">
        <v>0</v>
      </c>
      <c r="AL40" s="349">
        <f t="shared" si="21"/>
        <v>6084</v>
      </c>
      <c r="AM40" s="2002"/>
      <c r="AN40" s="3357"/>
      <c r="AO40" s="695"/>
      <c r="AP40" s="2722" t="str">
        <f t="shared" si="22"/>
        <v>Planning Reg 2023-2024</v>
      </c>
      <c r="AQ40" s="2723">
        <f t="shared" si="22"/>
        <v>1.1576249999999999</v>
      </c>
      <c r="AR40" s="333">
        <v>0</v>
      </c>
      <c r="AS40" s="330">
        <v>0</v>
      </c>
      <c r="AT40" s="330">
        <v>0</v>
      </c>
      <c r="AU40" s="849">
        <v>0</v>
      </c>
      <c r="AV40" s="849">
        <v>0</v>
      </c>
      <c r="AW40" s="3156">
        <f t="shared" si="23"/>
        <v>6960</v>
      </c>
      <c r="AX40" s="3140"/>
    </row>
    <row r="41" spans="1:52" ht="64.5" thickBot="1">
      <c r="A41" s="6479" t="s">
        <v>11004</v>
      </c>
      <c r="B41" s="6453" t="s">
        <v>12241</v>
      </c>
      <c r="C41" s="3646">
        <v>0</v>
      </c>
      <c r="D41" s="3647">
        <v>43257</v>
      </c>
      <c r="E41" s="3647" t="s">
        <v>6385</v>
      </c>
      <c r="F41" s="3648" t="s">
        <v>5915</v>
      </c>
      <c r="G41" s="3649">
        <v>1.0119899999999999</v>
      </c>
      <c r="H41" s="5729" t="s">
        <v>5646</v>
      </c>
      <c r="I41" s="3651" t="s">
        <v>1433</v>
      </c>
      <c r="J41" s="3652" t="s">
        <v>1434</v>
      </c>
      <c r="K41" s="340" t="s">
        <v>11866</v>
      </c>
      <c r="L41" s="3651" t="s">
        <v>5647</v>
      </c>
      <c r="M41" s="3652" t="s">
        <v>5648</v>
      </c>
      <c r="N41" s="3651" t="s">
        <v>5649</v>
      </c>
      <c r="O41" s="3650" t="s">
        <v>6267</v>
      </c>
      <c r="P41" s="3654" t="s">
        <v>4777</v>
      </c>
      <c r="Q41" s="3652" t="s">
        <v>5650</v>
      </c>
      <c r="R41" s="3652" t="s">
        <v>5644</v>
      </c>
      <c r="S41" s="3655"/>
      <c r="T41" s="3656">
        <v>2456</v>
      </c>
      <c r="U41" s="3657">
        <v>0</v>
      </c>
      <c r="V41" s="3658">
        <f t="shared" si="17"/>
        <v>2456</v>
      </c>
      <c r="W41" s="3656">
        <v>0</v>
      </c>
      <c r="X41" s="3657">
        <v>0</v>
      </c>
      <c r="Y41" s="3658">
        <f t="shared" si="18"/>
        <v>0</v>
      </c>
      <c r="Z41" s="3656">
        <v>455</v>
      </c>
      <c r="AA41" s="3657">
        <v>0</v>
      </c>
      <c r="AB41" s="3658">
        <f t="shared" si="19"/>
        <v>455</v>
      </c>
      <c r="AC41" s="347"/>
      <c r="AD41" s="326"/>
      <c r="AE41" s="348"/>
      <c r="AF41" s="347"/>
      <c r="AG41" s="326"/>
      <c r="AH41" s="348"/>
      <c r="AI41" s="3662">
        <f t="shared" si="24"/>
        <v>2911</v>
      </c>
      <c r="AJ41" s="3657">
        <f t="shared" si="20"/>
        <v>0</v>
      </c>
      <c r="AK41" s="3928">
        <v>0</v>
      </c>
      <c r="AL41" s="349">
        <f t="shared" si="21"/>
        <v>2911</v>
      </c>
      <c r="AM41" s="3663"/>
      <c r="AN41" s="3664"/>
      <c r="AO41" s="3665"/>
      <c r="AP41" s="3666" t="str">
        <f t="shared" si="22"/>
        <v>Planning Reg 2023-2024</v>
      </c>
      <c r="AQ41" s="3667">
        <f t="shared" si="22"/>
        <v>1.1576249999999999</v>
      </c>
      <c r="AR41" s="3668">
        <v>0</v>
      </c>
      <c r="AS41" s="3669">
        <v>0</v>
      </c>
      <c r="AT41" s="3669">
        <v>0</v>
      </c>
      <c r="AU41" s="3669">
        <v>0</v>
      </c>
      <c r="AV41" s="3669">
        <v>0</v>
      </c>
      <c r="AW41" s="3671">
        <f t="shared" si="23"/>
        <v>3330</v>
      </c>
      <c r="AX41" s="3672"/>
    </row>
    <row r="42" spans="1:52" ht="20.25" thickBot="1">
      <c r="A42" s="6672" t="s">
        <v>5956</v>
      </c>
      <c r="B42" s="6673"/>
      <c r="C42" s="6673"/>
      <c r="D42" s="6673"/>
      <c r="E42" s="6673"/>
      <c r="F42" s="6673"/>
      <c r="G42" s="6673"/>
      <c r="H42" s="6674"/>
      <c r="I42" s="1578"/>
      <c r="J42" s="1579"/>
      <c r="K42" s="1879"/>
      <c r="L42" s="1578"/>
      <c r="M42" s="1579"/>
      <c r="N42" s="1578"/>
      <c r="O42" s="1581"/>
      <c r="P42" s="1582"/>
      <c r="Q42" s="1579"/>
      <c r="R42" s="1579"/>
      <c r="S42" s="1583"/>
      <c r="T42" s="1584"/>
      <c r="U42" s="1585"/>
      <c r="V42" s="1586"/>
      <c r="W42" s="1584"/>
      <c r="X42" s="1585"/>
      <c r="Y42" s="1586"/>
      <c r="Z42" s="1584"/>
      <c r="AA42" s="1585"/>
      <c r="AB42" s="1586"/>
      <c r="AC42" s="1880"/>
      <c r="AD42" s="1881"/>
      <c r="AE42" s="1882"/>
      <c r="AF42" s="1883"/>
      <c r="AG42" s="1881"/>
      <c r="AH42" s="1882"/>
      <c r="AI42" s="1587"/>
      <c r="AJ42" s="1585"/>
      <c r="AK42" s="3927"/>
      <c r="AL42" s="3927"/>
      <c r="AM42" s="3599"/>
      <c r="AN42" s="3600"/>
      <c r="AO42" s="3601"/>
      <c r="AP42" s="2720"/>
      <c r="AQ42" s="2721"/>
      <c r="AR42" s="1589"/>
      <c r="AS42" s="1590"/>
      <c r="AT42" s="1590"/>
      <c r="AU42" s="1590"/>
      <c r="AV42" s="1590"/>
      <c r="AW42" s="1884"/>
      <c r="AX42" s="3161"/>
    </row>
    <row r="43" spans="1:52" ht="76.5">
      <c r="A43" s="2418" t="s">
        <v>11004</v>
      </c>
      <c r="B43" s="338" t="s">
        <v>5795</v>
      </c>
      <c r="C43" s="695">
        <v>1</v>
      </c>
      <c r="D43" s="323">
        <v>43314</v>
      </c>
      <c r="E43" s="3051" t="s">
        <v>6385</v>
      </c>
      <c r="F43" s="324" t="s">
        <v>5757</v>
      </c>
      <c r="G43" s="2621">
        <v>1.0247219999999999</v>
      </c>
      <c r="H43" s="5440" t="s">
        <v>12240</v>
      </c>
      <c r="I43" s="339" t="s">
        <v>1433</v>
      </c>
      <c r="J43" s="322" t="s">
        <v>1434</v>
      </c>
      <c r="K43" s="340" t="s">
        <v>11866</v>
      </c>
      <c r="L43" s="339" t="s">
        <v>5790</v>
      </c>
      <c r="M43" s="322" t="s">
        <v>5791</v>
      </c>
      <c r="N43" s="339" t="s">
        <v>5792</v>
      </c>
      <c r="O43" s="332" t="s">
        <v>5793</v>
      </c>
      <c r="P43" s="345" t="s">
        <v>5796</v>
      </c>
      <c r="Q43" s="322" t="s">
        <v>5794</v>
      </c>
      <c r="R43" s="322" t="s">
        <v>1046</v>
      </c>
      <c r="S43" s="346"/>
      <c r="T43" s="347">
        <v>3197</v>
      </c>
      <c r="U43" s="326">
        <v>0</v>
      </c>
      <c r="V43" s="348">
        <f t="shared" ref="V43:V52" si="25">T43-U43</f>
        <v>3197</v>
      </c>
      <c r="W43" s="347">
        <v>3996</v>
      </c>
      <c r="X43" s="326">
        <v>0</v>
      </c>
      <c r="Y43" s="348">
        <f t="shared" ref="Y43:Y52" si="26">W43-X43</f>
        <v>3996</v>
      </c>
      <c r="Z43" s="347">
        <v>0</v>
      </c>
      <c r="AA43" s="326">
        <v>0</v>
      </c>
      <c r="AB43" s="348">
        <f t="shared" ref="AB43:AB52" si="27">Z43-AA43</f>
        <v>0</v>
      </c>
      <c r="AC43" s="820"/>
      <c r="AD43" s="821"/>
      <c r="AE43" s="822"/>
      <c r="AF43" s="820"/>
      <c r="AG43" s="821"/>
      <c r="AH43" s="822"/>
      <c r="AI43" s="482">
        <f>T43+W43+Z43+AC43+AF43</f>
        <v>7193</v>
      </c>
      <c r="AJ43" s="326">
        <f>U43+X43+AA43+AD43+AG43</f>
        <v>0</v>
      </c>
      <c r="AK43" s="3917">
        <v>0</v>
      </c>
      <c r="AL43" s="349">
        <f t="shared" ref="AL43:AL52" si="28">AI43-AJ43-AK43</f>
        <v>7193</v>
      </c>
      <c r="AM43" s="2002"/>
      <c r="AN43" s="3357"/>
      <c r="AO43" s="695"/>
      <c r="AP43" s="2722" t="str">
        <f t="shared" ref="AP43:AQ52" si="29">AP$2</f>
        <v>Planning Reg 2023-2024</v>
      </c>
      <c r="AQ43" s="2723">
        <f t="shared" si="29"/>
        <v>1.1576249999999999</v>
      </c>
      <c r="AR43" s="333">
        <v>0</v>
      </c>
      <c r="AS43" s="330">
        <v>0</v>
      </c>
      <c r="AT43" s="330">
        <v>0</v>
      </c>
      <c r="AU43" s="849">
        <v>0</v>
      </c>
      <c r="AV43" s="849">
        <v>0</v>
      </c>
      <c r="AW43" s="3156">
        <f t="shared" ref="AW43:AW52" si="30">ROUND(AL43*AQ43/G43,0)</f>
        <v>8126</v>
      </c>
      <c r="AX43" s="3140"/>
    </row>
    <row r="44" spans="1:52" ht="51">
      <c r="A44" s="2418" t="s">
        <v>11004</v>
      </c>
      <c r="B44" s="338" t="s">
        <v>12474</v>
      </c>
      <c r="C44" s="321">
        <v>0</v>
      </c>
      <c r="D44" s="323">
        <v>43347</v>
      </c>
      <c r="E44" s="3051" t="s">
        <v>6385</v>
      </c>
      <c r="F44" s="324" t="s">
        <v>5757</v>
      </c>
      <c r="G44" s="2621">
        <v>1.0247219999999999</v>
      </c>
      <c r="H44" s="332" t="s">
        <v>5864</v>
      </c>
      <c r="I44" s="339" t="s">
        <v>1433</v>
      </c>
      <c r="J44" s="322" t="s">
        <v>1434</v>
      </c>
      <c r="K44" s="340">
        <v>45534</v>
      </c>
      <c r="L44" s="339" t="s">
        <v>5865</v>
      </c>
      <c r="M44" s="322" t="s">
        <v>5866</v>
      </c>
      <c r="N44" s="339" t="s">
        <v>5867</v>
      </c>
      <c r="O44" s="332" t="s">
        <v>6295</v>
      </c>
      <c r="P44" s="345"/>
      <c r="Q44" s="322" t="s">
        <v>5811</v>
      </c>
      <c r="R44" s="322" t="s">
        <v>5350</v>
      </c>
      <c r="S44" s="346"/>
      <c r="T44" s="347">
        <v>6886</v>
      </c>
      <c r="U44" s="326">
        <v>0</v>
      </c>
      <c r="V44" s="348">
        <f t="shared" si="25"/>
        <v>6886</v>
      </c>
      <c r="W44" s="347">
        <v>8608</v>
      </c>
      <c r="X44" s="326">
        <v>0</v>
      </c>
      <c r="Y44" s="348">
        <f t="shared" si="26"/>
        <v>8608</v>
      </c>
      <c r="Z44" s="347">
        <v>1721</v>
      </c>
      <c r="AA44" s="326">
        <v>0</v>
      </c>
      <c r="AB44" s="348">
        <f t="shared" si="27"/>
        <v>1721</v>
      </c>
      <c r="AC44" s="820"/>
      <c r="AD44" s="821"/>
      <c r="AE44" s="822"/>
      <c r="AF44" s="820"/>
      <c r="AG44" s="821"/>
      <c r="AH44" s="822"/>
      <c r="AI44" s="482">
        <f>T44+W44+Z44+AC44+AF44</f>
        <v>17215</v>
      </c>
      <c r="AJ44" s="326">
        <f>U44+X44+AA44+AD44+AG44</f>
        <v>0</v>
      </c>
      <c r="AK44" s="3917">
        <v>0</v>
      </c>
      <c r="AL44" s="349">
        <f t="shared" si="28"/>
        <v>17215</v>
      </c>
      <c r="AM44" s="2002"/>
      <c r="AN44" s="3357"/>
      <c r="AO44" s="695"/>
      <c r="AP44" s="2722" t="str">
        <f t="shared" si="29"/>
        <v>Planning Reg 2023-2024</v>
      </c>
      <c r="AQ44" s="2723">
        <f t="shared" si="29"/>
        <v>1.1576249999999999</v>
      </c>
      <c r="AR44" s="333">
        <v>0</v>
      </c>
      <c r="AS44" s="330">
        <v>0</v>
      </c>
      <c r="AT44" s="330">
        <v>0</v>
      </c>
      <c r="AU44" s="849">
        <v>0</v>
      </c>
      <c r="AV44" s="849">
        <v>0</v>
      </c>
      <c r="AW44" s="3156">
        <f t="shared" si="30"/>
        <v>19448</v>
      </c>
      <c r="AX44" s="3140"/>
    </row>
    <row r="45" spans="1:52" ht="89.25">
      <c r="A45" s="2418" t="s">
        <v>4276</v>
      </c>
      <c r="B45" s="338" t="s">
        <v>10789</v>
      </c>
      <c r="C45" s="695">
        <v>1</v>
      </c>
      <c r="D45" s="323" t="s">
        <v>9684</v>
      </c>
      <c r="E45" s="3051" t="s">
        <v>9682</v>
      </c>
      <c r="F45" s="830" t="s">
        <v>9005</v>
      </c>
      <c r="G45" s="5356">
        <v>1.0956269999999999</v>
      </c>
      <c r="H45" s="332" t="s">
        <v>11079</v>
      </c>
      <c r="I45" s="339" t="s">
        <v>1433</v>
      </c>
      <c r="J45" s="322" t="s">
        <v>1434</v>
      </c>
      <c r="K45" s="340" t="s">
        <v>9877</v>
      </c>
      <c r="L45" s="339" t="s">
        <v>5907</v>
      </c>
      <c r="M45" s="322" t="s">
        <v>6293</v>
      </c>
      <c r="N45" s="339" t="s">
        <v>5908</v>
      </c>
      <c r="O45" s="332" t="s">
        <v>6293</v>
      </c>
      <c r="P45" s="345" t="s">
        <v>10796</v>
      </c>
      <c r="Q45" s="6094" t="s">
        <v>11281</v>
      </c>
      <c r="R45" s="322" t="s">
        <v>5876</v>
      </c>
      <c r="S45" s="346"/>
      <c r="T45" s="347">
        <v>7378</v>
      </c>
      <c r="U45" s="326">
        <v>0</v>
      </c>
      <c r="V45" s="348">
        <f t="shared" si="25"/>
        <v>7378</v>
      </c>
      <c r="W45" s="347">
        <v>9222</v>
      </c>
      <c r="X45" s="326">
        <v>0</v>
      </c>
      <c r="Y45" s="348">
        <f t="shared" si="26"/>
        <v>9222</v>
      </c>
      <c r="Z45" s="347">
        <v>0</v>
      </c>
      <c r="AA45" s="326">
        <v>0</v>
      </c>
      <c r="AB45" s="348">
        <f t="shared" si="27"/>
        <v>0</v>
      </c>
      <c r="AC45" s="347"/>
      <c r="AD45" s="326"/>
      <c r="AE45" s="348"/>
      <c r="AF45" s="347"/>
      <c r="AG45" s="326"/>
      <c r="AH45" s="348"/>
      <c r="AI45" s="482">
        <f>7841</f>
        <v>7841</v>
      </c>
      <c r="AJ45" s="326">
        <f t="shared" ref="AJ45:AJ52" si="31">U45+X45+AA45+AD45+AG45</f>
        <v>0</v>
      </c>
      <c r="AK45" s="3917">
        <v>0</v>
      </c>
      <c r="AL45" s="349">
        <f t="shared" si="28"/>
        <v>7841</v>
      </c>
      <c r="AM45" s="2002"/>
      <c r="AN45" s="3357"/>
      <c r="AO45" s="695"/>
      <c r="AP45" s="2722" t="str">
        <f t="shared" si="29"/>
        <v>Planning Reg 2023-2024</v>
      </c>
      <c r="AQ45" s="2723">
        <f t="shared" si="29"/>
        <v>1.1576249999999999</v>
      </c>
      <c r="AR45" s="333">
        <v>0</v>
      </c>
      <c r="AS45" s="330">
        <v>0</v>
      </c>
      <c r="AT45" s="330">
        <v>0</v>
      </c>
      <c r="AU45" s="849">
        <v>0</v>
      </c>
      <c r="AV45" s="849">
        <v>0</v>
      </c>
      <c r="AW45" s="3156">
        <f t="shared" si="30"/>
        <v>8285</v>
      </c>
      <c r="AX45" s="3140"/>
    </row>
    <row r="46" spans="1:52" ht="63.75">
      <c r="A46" s="2418" t="s">
        <v>11004</v>
      </c>
      <c r="B46" s="1569" t="s">
        <v>8318</v>
      </c>
      <c r="C46" s="1570">
        <v>0</v>
      </c>
      <c r="D46" s="1571">
        <v>43482</v>
      </c>
      <c r="E46" s="3057" t="s">
        <v>6386</v>
      </c>
      <c r="F46" s="1572" t="s">
        <v>5757</v>
      </c>
      <c r="G46" s="2622">
        <v>1.0247219999999999</v>
      </c>
      <c r="H46" s="1573" t="s">
        <v>6136</v>
      </c>
      <c r="I46" s="1574" t="s">
        <v>1433</v>
      </c>
      <c r="J46" s="3208" t="s">
        <v>1434</v>
      </c>
      <c r="K46" s="4222">
        <v>45594</v>
      </c>
      <c r="L46" s="1574" t="s">
        <v>6137</v>
      </c>
      <c r="M46" s="3208" t="s">
        <v>6138</v>
      </c>
      <c r="N46" s="1574" t="s">
        <v>3396</v>
      </c>
      <c r="O46" s="1573" t="s">
        <v>6139</v>
      </c>
      <c r="P46" s="4220"/>
      <c r="Q46" s="3208" t="s">
        <v>6140</v>
      </c>
      <c r="R46" s="3208" t="s">
        <v>3576</v>
      </c>
      <c r="S46" s="1577" t="s">
        <v>3476</v>
      </c>
      <c r="T46" s="4858">
        <v>6349</v>
      </c>
      <c r="U46" s="1593">
        <v>6349</v>
      </c>
      <c r="V46" s="4859">
        <f t="shared" si="25"/>
        <v>0</v>
      </c>
      <c r="W46" s="4858">
        <v>1120</v>
      </c>
      <c r="X46" s="1593">
        <v>1120</v>
      </c>
      <c r="Y46" s="4859">
        <f t="shared" si="26"/>
        <v>0</v>
      </c>
      <c r="Z46" s="4858">
        <v>994</v>
      </c>
      <c r="AA46" s="1593">
        <v>994</v>
      </c>
      <c r="AB46" s="4859">
        <f t="shared" si="27"/>
        <v>0</v>
      </c>
      <c r="AC46" s="4858"/>
      <c r="AD46" s="1593"/>
      <c r="AE46" s="4859"/>
      <c r="AF46" s="4858"/>
      <c r="AG46" s="1593"/>
      <c r="AH46" s="4859"/>
      <c r="AI46" s="4860">
        <f>T46+W46+Z46+AC46+AF46</f>
        <v>8463</v>
      </c>
      <c r="AJ46" s="1593">
        <f t="shared" si="31"/>
        <v>8463</v>
      </c>
      <c r="AK46" s="4861">
        <v>0</v>
      </c>
      <c r="AL46" s="4862">
        <f t="shared" si="28"/>
        <v>0</v>
      </c>
      <c r="AM46" s="4863"/>
      <c r="AN46" s="4864"/>
      <c r="AO46" s="4865"/>
      <c r="AP46" s="2983" t="str">
        <f t="shared" si="29"/>
        <v>Planning Reg 2023-2024</v>
      </c>
      <c r="AQ46" s="2984">
        <f t="shared" si="29"/>
        <v>1.1576249999999999</v>
      </c>
      <c r="AR46" s="4866">
        <v>0</v>
      </c>
      <c r="AS46" s="4867">
        <v>0</v>
      </c>
      <c r="AT46" s="4867">
        <v>0</v>
      </c>
      <c r="AU46" s="4867">
        <v>0</v>
      </c>
      <c r="AV46" s="4867">
        <v>0</v>
      </c>
      <c r="AW46" s="4868">
        <f t="shared" si="30"/>
        <v>0</v>
      </c>
      <c r="AX46" s="3140"/>
    </row>
    <row r="47" spans="1:52" ht="76.5">
      <c r="A47" s="2418" t="s">
        <v>11005</v>
      </c>
      <c r="B47" s="5788" t="s">
        <v>10014</v>
      </c>
      <c r="C47" s="321">
        <v>0</v>
      </c>
      <c r="D47" s="323">
        <v>43514</v>
      </c>
      <c r="E47" s="3051" t="s">
        <v>6386</v>
      </c>
      <c r="F47" s="324" t="s">
        <v>5757</v>
      </c>
      <c r="G47" s="2621">
        <v>1.0247219999999999</v>
      </c>
      <c r="H47" s="2273" t="s">
        <v>6408</v>
      </c>
      <c r="I47" s="339" t="s">
        <v>6409</v>
      </c>
      <c r="J47" s="322" t="s">
        <v>4306</v>
      </c>
      <c r="K47" s="5441">
        <v>44245</v>
      </c>
      <c r="L47" s="339" t="s">
        <v>6414</v>
      </c>
      <c r="M47" s="322" t="s">
        <v>6410</v>
      </c>
      <c r="N47" s="5789" t="s">
        <v>6411</v>
      </c>
      <c r="O47" s="5440" t="s">
        <v>6417</v>
      </c>
      <c r="P47" s="345"/>
      <c r="Q47" s="6094" t="s">
        <v>5708</v>
      </c>
      <c r="R47" s="322" t="s">
        <v>5350</v>
      </c>
      <c r="S47" s="346"/>
      <c r="T47" s="347">
        <v>2444</v>
      </c>
      <c r="U47" s="326">
        <v>0</v>
      </c>
      <c r="V47" s="348">
        <f t="shared" si="25"/>
        <v>2444</v>
      </c>
      <c r="W47" s="347">
        <v>3056</v>
      </c>
      <c r="X47" s="326">
        <v>0</v>
      </c>
      <c r="Y47" s="348">
        <f t="shared" si="26"/>
        <v>3056</v>
      </c>
      <c r="Z47" s="347">
        <v>611</v>
      </c>
      <c r="AA47" s="326">
        <v>0</v>
      </c>
      <c r="AB47" s="348">
        <f t="shared" si="27"/>
        <v>611</v>
      </c>
      <c r="AC47" s="820"/>
      <c r="AD47" s="821"/>
      <c r="AE47" s="822"/>
      <c r="AF47" s="820"/>
      <c r="AG47" s="821"/>
      <c r="AH47" s="822"/>
      <c r="AI47" s="482">
        <f>T47+W47+Z47+AC47+AF47</f>
        <v>6111</v>
      </c>
      <c r="AJ47" s="326">
        <f t="shared" si="31"/>
        <v>0</v>
      </c>
      <c r="AK47" s="3917">
        <v>0</v>
      </c>
      <c r="AL47" s="349">
        <f t="shared" si="28"/>
        <v>6111</v>
      </c>
      <c r="AM47" s="2002"/>
      <c r="AN47" s="3357"/>
      <c r="AO47" s="695"/>
      <c r="AP47" s="2722" t="str">
        <f t="shared" si="29"/>
        <v>Planning Reg 2023-2024</v>
      </c>
      <c r="AQ47" s="2723">
        <f t="shared" si="29"/>
        <v>1.1576249999999999</v>
      </c>
      <c r="AR47" s="333">
        <v>0</v>
      </c>
      <c r="AS47" s="330">
        <v>0</v>
      </c>
      <c r="AT47" s="330">
        <v>0</v>
      </c>
      <c r="AU47" s="849">
        <v>0</v>
      </c>
      <c r="AV47" s="849">
        <v>0</v>
      </c>
      <c r="AW47" s="3156">
        <f t="shared" si="30"/>
        <v>6904</v>
      </c>
      <c r="AX47" s="3140"/>
    </row>
    <row r="48" spans="1:52" ht="51.75" thickBot="1">
      <c r="A48" s="2418" t="s">
        <v>11005</v>
      </c>
      <c r="B48" s="338" t="s">
        <v>12498</v>
      </c>
      <c r="C48" s="321">
        <v>0</v>
      </c>
      <c r="D48" s="323">
        <v>43535</v>
      </c>
      <c r="E48" s="3051" t="s">
        <v>6386</v>
      </c>
      <c r="F48" s="324" t="s">
        <v>5757</v>
      </c>
      <c r="G48" s="2621">
        <v>1.0247219999999999</v>
      </c>
      <c r="H48" s="332" t="s">
        <v>6498</v>
      </c>
      <c r="I48" s="339" t="s">
        <v>1433</v>
      </c>
      <c r="J48" s="322" t="s">
        <v>1434</v>
      </c>
      <c r="K48" s="340">
        <v>45727</v>
      </c>
      <c r="L48" s="339" t="s">
        <v>6493</v>
      </c>
      <c r="M48" s="322" t="s">
        <v>6494</v>
      </c>
      <c r="N48" s="339" t="s">
        <v>6495</v>
      </c>
      <c r="O48" s="332" t="s">
        <v>6496</v>
      </c>
      <c r="P48" s="345" t="s">
        <v>10015</v>
      </c>
      <c r="Q48" s="322" t="s">
        <v>6497</v>
      </c>
      <c r="R48" s="322" t="s">
        <v>5484</v>
      </c>
      <c r="S48" s="346"/>
      <c r="T48" s="347">
        <v>6886</v>
      </c>
      <c r="U48" s="326">
        <v>0</v>
      </c>
      <c r="V48" s="348">
        <f t="shared" si="25"/>
        <v>6886</v>
      </c>
      <c r="W48" s="347">
        <v>8608</v>
      </c>
      <c r="X48" s="326">
        <v>0</v>
      </c>
      <c r="Y48" s="348">
        <f t="shared" si="26"/>
        <v>8608</v>
      </c>
      <c r="Z48" s="347">
        <v>1721</v>
      </c>
      <c r="AA48" s="326">
        <v>0</v>
      </c>
      <c r="AB48" s="348">
        <f t="shared" si="27"/>
        <v>1721</v>
      </c>
      <c r="AC48" s="820"/>
      <c r="AD48" s="821"/>
      <c r="AE48" s="822"/>
      <c r="AF48" s="820"/>
      <c r="AG48" s="821"/>
      <c r="AH48" s="822"/>
      <c r="AI48" s="482">
        <f>T48+W48+Z48+AC48+AF48</f>
        <v>17215</v>
      </c>
      <c r="AJ48" s="326">
        <f t="shared" si="31"/>
        <v>0</v>
      </c>
      <c r="AK48" s="3917">
        <v>0</v>
      </c>
      <c r="AL48" s="349">
        <f t="shared" si="28"/>
        <v>17215</v>
      </c>
      <c r="AM48" s="2002"/>
      <c r="AN48" s="3357"/>
      <c r="AO48" s="695"/>
      <c r="AP48" s="2722" t="str">
        <f t="shared" si="29"/>
        <v>Planning Reg 2023-2024</v>
      </c>
      <c r="AQ48" s="2723">
        <f t="shared" si="29"/>
        <v>1.1576249999999999</v>
      </c>
      <c r="AR48" s="333">
        <v>0</v>
      </c>
      <c r="AS48" s="330">
        <v>0</v>
      </c>
      <c r="AT48" s="330">
        <v>0</v>
      </c>
      <c r="AU48" s="849">
        <v>0</v>
      </c>
      <c r="AV48" s="849">
        <v>0</v>
      </c>
      <c r="AW48" s="3156">
        <f t="shared" si="30"/>
        <v>19448</v>
      </c>
      <c r="AX48" s="3140"/>
    </row>
    <row r="49" spans="1:50" ht="104.25" customHeight="1">
      <c r="A49" s="2418" t="s">
        <v>11022</v>
      </c>
      <c r="B49" s="338" t="s">
        <v>12242</v>
      </c>
      <c r="C49" s="695">
        <v>2</v>
      </c>
      <c r="D49" s="323" t="s">
        <v>9680</v>
      </c>
      <c r="E49" s="3051" t="s">
        <v>9682</v>
      </c>
      <c r="F49" s="1866" t="s">
        <v>9004</v>
      </c>
      <c r="G49" s="3207">
        <v>1.0956269999999999</v>
      </c>
      <c r="H49" s="2273" t="s">
        <v>9690</v>
      </c>
      <c r="I49" s="339" t="s">
        <v>9679</v>
      </c>
      <c r="J49" s="322" t="s">
        <v>4306</v>
      </c>
      <c r="K49" s="340" t="s">
        <v>9681</v>
      </c>
      <c r="L49" s="339" t="s">
        <v>9678</v>
      </c>
      <c r="M49" s="322" t="s">
        <v>9683</v>
      </c>
      <c r="N49" s="339" t="s">
        <v>6552</v>
      </c>
      <c r="O49" s="332" t="s">
        <v>6553</v>
      </c>
      <c r="P49" s="3315" t="s">
        <v>6766</v>
      </c>
      <c r="Q49" s="6094" t="s">
        <v>6554</v>
      </c>
      <c r="R49" s="322" t="s">
        <v>6555</v>
      </c>
      <c r="S49" s="346"/>
      <c r="T49" s="347">
        <v>2444</v>
      </c>
      <c r="U49" s="326">
        <v>0</v>
      </c>
      <c r="V49" s="348">
        <f t="shared" si="25"/>
        <v>2444</v>
      </c>
      <c r="W49" s="347">
        <v>3056</v>
      </c>
      <c r="X49" s="326">
        <v>0</v>
      </c>
      <c r="Y49" s="348">
        <f t="shared" si="26"/>
        <v>3056</v>
      </c>
      <c r="Z49" s="347">
        <v>0</v>
      </c>
      <c r="AA49" s="326">
        <v>0</v>
      </c>
      <c r="AB49" s="348">
        <f t="shared" si="27"/>
        <v>0</v>
      </c>
      <c r="AC49" s="820"/>
      <c r="AD49" s="821"/>
      <c r="AE49" s="822"/>
      <c r="AF49" s="820"/>
      <c r="AG49" s="821"/>
      <c r="AH49" s="822"/>
      <c r="AI49" s="482">
        <v>5567</v>
      </c>
      <c r="AJ49" s="326">
        <f t="shared" si="31"/>
        <v>0</v>
      </c>
      <c r="AK49" s="3917">
        <v>0</v>
      </c>
      <c r="AL49" s="349">
        <f t="shared" si="28"/>
        <v>5567</v>
      </c>
      <c r="AM49" s="2002"/>
      <c r="AN49" s="3357"/>
      <c r="AO49" s="695"/>
      <c r="AP49" s="2722" t="str">
        <f t="shared" si="29"/>
        <v>Planning Reg 2023-2024</v>
      </c>
      <c r="AQ49" s="2723">
        <f t="shared" si="29"/>
        <v>1.1576249999999999</v>
      </c>
      <c r="AR49" s="333">
        <v>0</v>
      </c>
      <c r="AS49" s="330">
        <v>0</v>
      </c>
      <c r="AT49" s="330">
        <v>0</v>
      </c>
      <c r="AU49" s="849">
        <v>0</v>
      </c>
      <c r="AV49" s="849">
        <v>0</v>
      </c>
      <c r="AW49" s="3156">
        <f t="shared" si="30"/>
        <v>5882</v>
      </c>
      <c r="AX49" s="3140"/>
    </row>
    <row r="50" spans="1:50" ht="63.75">
      <c r="A50" s="2418" t="s">
        <v>11004</v>
      </c>
      <c r="B50" s="338" t="s">
        <v>5720</v>
      </c>
      <c r="C50" s="321">
        <v>0</v>
      </c>
      <c r="D50" s="323">
        <v>43587</v>
      </c>
      <c r="E50" s="3051" t="s">
        <v>6386</v>
      </c>
      <c r="F50" s="324" t="s">
        <v>5757</v>
      </c>
      <c r="G50" s="2621">
        <v>1.0247219999999999</v>
      </c>
      <c r="H50" s="332" t="s">
        <v>6650</v>
      </c>
      <c r="I50" s="339" t="s">
        <v>1433</v>
      </c>
      <c r="J50" s="322" t="s">
        <v>1434</v>
      </c>
      <c r="K50" s="340">
        <v>45779</v>
      </c>
      <c r="L50" s="339" t="s">
        <v>6651</v>
      </c>
      <c r="M50" s="322" t="s">
        <v>1957</v>
      </c>
      <c r="N50" s="339" t="s">
        <v>6652</v>
      </c>
      <c r="O50" s="332" t="s">
        <v>6653</v>
      </c>
      <c r="P50" s="345"/>
      <c r="Q50" s="322" t="s">
        <v>6655</v>
      </c>
      <c r="R50" s="322" t="s">
        <v>6654</v>
      </c>
      <c r="S50" s="346"/>
      <c r="T50" s="347">
        <v>10790</v>
      </c>
      <c r="U50" s="326">
        <v>0</v>
      </c>
      <c r="V50" s="348">
        <f t="shared" si="25"/>
        <v>10790</v>
      </c>
      <c r="W50" s="347">
        <v>1903</v>
      </c>
      <c r="X50" s="326">
        <v>0</v>
      </c>
      <c r="Y50" s="348">
        <f t="shared" si="26"/>
        <v>1903</v>
      </c>
      <c r="Z50" s="347">
        <v>30832</v>
      </c>
      <c r="AA50" s="326">
        <v>0</v>
      </c>
      <c r="AB50" s="348">
        <f t="shared" si="27"/>
        <v>30832</v>
      </c>
      <c r="AC50" s="820"/>
      <c r="AD50" s="821"/>
      <c r="AE50" s="822"/>
      <c r="AF50" s="820"/>
      <c r="AG50" s="821"/>
      <c r="AH50" s="822"/>
      <c r="AI50" s="482">
        <f>T50+W50+Z50+AC50+AF50</f>
        <v>43525</v>
      </c>
      <c r="AJ50" s="326">
        <f t="shared" si="31"/>
        <v>0</v>
      </c>
      <c r="AK50" s="3917">
        <v>0</v>
      </c>
      <c r="AL50" s="349">
        <f t="shared" si="28"/>
        <v>43525</v>
      </c>
      <c r="AM50" s="2002"/>
      <c r="AN50" s="3357"/>
      <c r="AO50" s="695"/>
      <c r="AP50" s="2722" t="str">
        <f t="shared" si="29"/>
        <v>Planning Reg 2023-2024</v>
      </c>
      <c r="AQ50" s="2723">
        <f t="shared" si="29"/>
        <v>1.1576249999999999</v>
      </c>
      <c r="AR50" s="333">
        <v>0</v>
      </c>
      <c r="AS50" s="330">
        <v>0</v>
      </c>
      <c r="AT50" s="330">
        <v>0</v>
      </c>
      <c r="AU50" s="849">
        <v>0</v>
      </c>
      <c r="AV50" s="849">
        <v>0</v>
      </c>
      <c r="AW50" s="3156">
        <f t="shared" si="30"/>
        <v>49170</v>
      </c>
      <c r="AX50" s="3140"/>
    </row>
    <row r="51" spans="1:50" ht="106.5" customHeight="1">
      <c r="A51" s="2418" t="s">
        <v>11004</v>
      </c>
      <c r="B51" s="338" t="s">
        <v>10879</v>
      </c>
      <c r="C51" s="321">
        <v>0</v>
      </c>
      <c r="D51" s="323">
        <v>43619</v>
      </c>
      <c r="E51" s="3051" t="s">
        <v>6386</v>
      </c>
      <c r="F51" s="324" t="s">
        <v>5757</v>
      </c>
      <c r="G51" s="2621">
        <v>1.0247219999999999</v>
      </c>
      <c r="H51" s="2273" t="s">
        <v>6745</v>
      </c>
      <c r="I51" s="339" t="s">
        <v>6747</v>
      </c>
      <c r="J51" s="322" t="s">
        <v>4306</v>
      </c>
      <c r="K51" s="340">
        <v>44353</v>
      </c>
      <c r="L51" s="339" t="s">
        <v>6751</v>
      </c>
      <c r="M51" s="322" t="s">
        <v>6752</v>
      </c>
      <c r="N51" s="339" t="s">
        <v>6753</v>
      </c>
      <c r="O51" s="332" t="s">
        <v>6754</v>
      </c>
      <c r="P51" s="3315" t="s">
        <v>6795</v>
      </c>
      <c r="Q51" s="6094" t="s">
        <v>5708</v>
      </c>
      <c r="R51" s="322" t="s">
        <v>5350</v>
      </c>
      <c r="S51" s="346"/>
      <c r="T51" s="347">
        <v>2444</v>
      </c>
      <c r="U51" s="326">
        <v>0</v>
      </c>
      <c r="V51" s="348">
        <f t="shared" si="25"/>
        <v>2444</v>
      </c>
      <c r="W51" s="347">
        <v>3056</v>
      </c>
      <c r="X51" s="326">
        <v>0</v>
      </c>
      <c r="Y51" s="348">
        <f t="shared" si="26"/>
        <v>3056</v>
      </c>
      <c r="Z51" s="347">
        <v>611</v>
      </c>
      <c r="AA51" s="326">
        <v>0</v>
      </c>
      <c r="AB51" s="348">
        <f t="shared" si="27"/>
        <v>611</v>
      </c>
      <c r="AC51" s="820"/>
      <c r="AD51" s="821"/>
      <c r="AE51" s="822"/>
      <c r="AF51" s="820"/>
      <c r="AG51" s="821"/>
      <c r="AH51" s="822"/>
      <c r="AI51" s="482">
        <f>T51+W51+Z51+AC51+AF51</f>
        <v>6111</v>
      </c>
      <c r="AJ51" s="326">
        <f t="shared" si="31"/>
        <v>0</v>
      </c>
      <c r="AK51" s="3917">
        <v>0</v>
      </c>
      <c r="AL51" s="349">
        <f t="shared" si="28"/>
        <v>6111</v>
      </c>
      <c r="AM51" s="2002"/>
      <c r="AN51" s="3357"/>
      <c r="AO51" s="695"/>
      <c r="AP51" s="2722" t="str">
        <f t="shared" si="29"/>
        <v>Planning Reg 2023-2024</v>
      </c>
      <c r="AQ51" s="2723">
        <f t="shared" si="29"/>
        <v>1.1576249999999999</v>
      </c>
      <c r="AR51" s="333">
        <v>0</v>
      </c>
      <c r="AS51" s="330">
        <v>0</v>
      </c>
      <c r="AT51" s="330">
        <v>0</v>
      </c>
      <c r="AU51" s="849">
        <v>0</v>
      </c>
      <c r="AV51" s="849">
        <v>0</v>
      </c>
      <c r="AW51" s="3156">
        <f t="shared" si="30"/>
        <v>6904</v>
      </c>
      <c r="AX51" s="3140"/>
    </row>
    <row r="52" spans="1:50" ht="51.75" thickBot="1">
      <c r="A52" s="2418" t="s">
        <v>11004</v>
      </c>
      <c r="B52" s="1569" t="s">
        <v>5723</v>
      </c>
      <c r="C52" s="1570">
        <v>0</v>
      </c>
      <c r="D52" s="1571">
        <v>43626</v>
      </c>
      <c r="E52" s="3057" t="s">
        <v>6386</v>
      </c>
      <c r="F52" s="1572" t="s">
        <v>5757</v>
      </c>
      <c r="G52" s="2622">
        <v>1.0247219999999999</v>
      </c>
      <c r="H52" s="1573" t="s">
        <v>6780</v>
      </c>
      <c r="I52" s="1574" t="s">
        <v>1433</v>
      </c>
      <c r="J52" s="3208" t="s">
        <v>1434</v>
      </c>
      <c r="K52" s="4222">
        <v>45814</v>
      </c>
      <c r="L52" s="1574" t="s">
        <v>6781</v>
      </c>
      <c r="M52" s="3208" t="s">
        <v>6782</v>
      </c>
      <c r="N52" s="1574" t="s">
        <v>6783</v>
      </c>
      <c r="O52" s="1573" t="s">
        <v>6784</v>
      </c>
      <c r="P52" s="4220"/>
      <c r="Q52" s="3208" t="s">
        <v>8302</v>
      </c>
      <c r="R52" s="3208" t="s">
        <v>6785</v>
      </c>
      <c r="S52" s="1577" t="s">
        <v>6786</v>
      </c>
      <c r="T52" s="4858">
        <v>4142</v>
      </c>
      <c r="U52" s="1593">
        <v>4142</v>
      </c>
      <c r="V52" s="4859">
        <f t="shared" si="25"/>
        <v>0</v>
      </c>
      <c r="W52" s="4858">
        <v>731</v>
      </c>
      <c r="X52" s="1593">
        <v>731</v>
      </c>
      <c r="Y52" s="4859">
        <f t="shared" si="26"/>
        <v>0</v>
      </c>
      <c r="Z52" s="4858">
        <v>1302</v>
      </c>
      <c r="AA52" s="1593">
        <v>1302</v>
      </c>
      <c r="AB52" s="4859">
        <f t="shared" si="27"/>
        <v>0</v>
      </c>
      <c r="AC52" s="4858"/>
      <c r="AD52" s="1593"/>
      <c r="AE52" s="4859"/>
      <c r="AF52" s="4858"/>
      <c r="AG52" s="1593"/>
      <c r="AH52" s="4859"/>
      <c r="AI52" s="4860">
        <f>T52+W52+Z52+AC52+AF52</f>
        <v>6175</v>
      </c>
      <c r="AJ52" s="1593">
        <f t="shared" si="31"/>
        <v>6175</v>
      </c>
      <c r="AK52" s="4861">
        <v>0</v>
      </c>
      <c r="AL52" s="4862">
        <f t="shared" si="28"/>
        <v>0</v>
      </c>
      <c r="AM52" s="4863"/>
      <c r="AN52" s="4864"/>
      <c r="AO52" s="4865"/>
      <c r="AP52" s="2983" t="str">
        <f t="shared" si="29"/>
        <v>Planning Reg 2023-2024</v>
      </c>
      <c r="AQ52" s="2984">
        <f t="shared" si="29"/>
        <v>1.1576249999999999</v>
      </c>
      <c r="AR52" s="4866">
        <v>0</v>
      </c>
      <c r="AS52" s="4867">
        <v>0</v>
      </c>
      <c r="AT52" s="4867">
        <v>0</v>
      </c>
      <c r="AU52" s="4867">
        <v>0</v>
      </c>
      <c r="AV52" s="4867">
        <v>0</v>
      </c>
      <c r="AW52" s="4868">
        <f t="shared" si="30"/>
        <v>0</v>
      </c>
      <c r="AX52" s="3140"/>
    </row>
    <row r="53" spans="1:50" ht="20.25" customHeight="1" thickBot="1">
      <c r="A53" s="6669" t="s">
        <v>6879</v>
      </c>
      <c r="B53" s="6670"/>
      <c r="C53" s="6670"/>
      <c r="D53" s="6670"/>
      <c r="E53" s="6670"/>
      <c r="F53" s="6670"/>
      <c r="G53" s="6670"/>
      <c r="H53" s="6671"/>
      <c r="I53" s="3673"/>
      <c r="J53" s="3674"/>
      <c r="K53" s="3675"/>
      <c r="L53" s="3673"/>
      <c r="M53" s="3674"/>
      <c r="N53" s="3673"/>
      <c r="O53" s="3676"/>
      <c r="P53" s="3677"/>
      <c r="Q53" s="3674"/>
      <c r="R53" s="3674"/>
      <c r="S53" s="3678"/>
      <c r="T53" s="3679"/>
      <c r="U53" s="3680"/>
      <c r="V53" s="3681"/>
      <c r="W53" s="3679"/>
      <c r="X53" s="3680"/>
      <c r="Y53" s="3681"/>
      <c r="Z53" s="3679"/>
      <c r="AA53" s="3680"/>
      <c r="AB53" s="3681"/>
      <c r="AC53" s="3679"/>
      <c r="AD53" s="3680"/>
      <c r="AE53" s="3681"/>
      <c r="AF53" s="3679"/>
      <c r="AG53" s="3680"/>
      <c r="AH53" s="3681"/>
      <c r="AI53" s="3682"/>
      <c r="AJ53" s="3680"/>
      <c r="AK53" s="3929"/>
      <c r="AL53" s="3929"/>
      <c r="AM53" s="3683"/>
      <c r="AN53" s="3684"/>
      <c r="AO53" s="3685"/>
      <c r="AP53" s="3686"/>
      <c r="AQ53" s="3687"/>
      <c r="AR53" s="3688"/>
      <c r="AS53" s="3689"/>
      <c r="AT53" s="3689"/>
      <c r="AU53" s="3689"/>
      <c r="AV53" s="3689"/>
      <c r="AW53" s="3690"/>
      <c r="AX53" s="3691"/>
    </row>
    <row r="54" spans="1:50" ht="102">
      <c r="A54" s="5966" t="s">
        <v>11004</v>
      </c>
      <c r="B54" s="338" t="s">
        <v>9812</v>
      </c>
      <c r="C54" s="321">
        <v>0</v>
      </c>
      <c r="D54" s="323">
        <v>43669</v>
      </c>
      <c r="E54" s="829" t="s">
        <v>6386</v>
      </c>
      <c r="F54" s="830" t="s">
        <v>5757</v>
      </c>
      <c r="G54" s="2620">
        <v>1.0247200000000001</v>
      </c>
      <c r="H54" s="332" t="s">
        <v>6935</v>
      </c>
      <c r="I54" s="339" t="s">
        <v>1433</v>
      </c>
      <c r="J54" s="322" t="s">
        <v>1434</v>
      </c>
      <c r="K54" s="340" t="s">
        <v>12248</v>
      </c>
      <c r="L54" s="339" t="s">
        <v>5188</v>
      </c>
      <c r="M54" s="322" t="s">
        <v>5763</v>
      </c>
      <c r="N54" s="339" t="s">
        <v>6937</v>
      </c>
      <c r="O54" s="332" t="s">
        <v>6936</v>
      </c>
      <c r="P54" s="345" t="s">
        <v>12243</v>
      </c>
      <c r="Q54" s="322" t="s">
        <v>9674</v>
      </c>
      <c r="R54" s="322" t="s">
        <v>9675</v>
      </c>
      <c r="S54" s="346"/>
      <c r="T54" s="347"/>
      <c r="U54" s="326"/>
      <c r="V54" s="348"/>
      <c r="W54" s="347"/>
      <c r="X54" s="326"/>
      <c r="Y54" s="348"/>
      <c r="Z54" s="347"/>
      <c r="AA54" s="326"/>
      <c r="AB54" s="348"/>
      <c r="AC54" s="347"/>
      <c r="AD54" s="326"/>
      <c r="AE54" s="348"/>
      <c r="AF54" s="347"/>
      <c r="AG54" s="326"/>
      <c r="AH54" s="348"/>
      <c r="AI54" s="482">
        <f>76198-18101</f>
        <v>58097</v>
      </c>
      <c r="AJ54" s="326">
        <v>0</v>
      </c>
      <c r="AK54" s="3917">
        <v>0</v>
      </c>
      <c r="AL54" s="349">
        <f t="shared" ref="AL54:AL65" si="32">AI54-AJ54-AK54</f>
        <v>58097</v>
      </c>
      <c r="AM54" s="5360" t="s">
        <v>9810</v>
      </c>
      <c r="AN54" s="3357"/>
      <c r="AO54" s="695"/>
      <c r="AP54" s="3362" t="str">
        <f>AP$2</f>
        <v>Planning Reg 2023-2024</v>
      </c>
      <c r="AQ54" s="3555">
        <f>AQ$2</f>
        <v>1.1576249999999999</v>
      </c>
      <c r="AR54" s="333"/>
      <c r="AS54" s="330"/>
      <c r="AT54" s="330"/>
      <c r="AU54" s="330"/>
      <c r="AV54" s="330"/>
      <c r="AW54" s="3156">
        <f t="shared" ref="AW54:AW65" si="33">ROUND(AL54*AQ54/G54,0)</f>
        <v>65632</v>
      </c>
      <c r="AX54" s="3140"/>
    </row>
    <row r="55" spans="1:50" ht="38.25">
      <c r="A55" s="5966" t="s">
        <v>11004</v>
      </c>
      <c r="B55" s="338" t="s">
        <v>12244</v>
      </c>
      <c r="C55" s="321">
        <v>0</v>
      </c>
      <c r="D55" s="323">
        <v>43682</v>
      </c>
      <c r="E55" s="829" t="s">
        <v>6386</v>
      </c>
      <c r="F55" s="830" t="s">
        <v>6893</v>
      </c>
      <c r="G55" s="2620">
        <v>1.047839</v>
      </c>
      <c r="H55" s="332" t="s">
        <v>7005</v>
      </c>
      <c r="I55" s="339" t="s">
        <v>1433</v>
      </c>
      <c r="J55" s="322" t="s">
        <v>1434</v>
      </c>
      <c r="K55" s="340" t="s">
        <v>11866</v>
      </c>
      <c r="L55" s="339" t="s">
        <v>7012</v>
      </c>
      <c r="M55" s="322" t="s">
        <v>7011</v>
      </c>
      <c r="N55" s="339" t="s">
        <v>7008</v>
      </c>
      <c r="O55" s="332" t="s">
        <v>7007</v>
      </c>
      <c r="P55" s="345"/>
      <c r="Q55" s="322" t="s">
        <v>7009</v>
      </c>
      <c r="R55" s="322" t="s">
        <v>7010</v>
      </c>
      <c r="S55" s="346"/>
      <c r="T55" s="347"/>
      <c r="U55" s="326"/>
      <c r="V55" s="348"/>
      <c r="W55" s="347"/>
      <c r="X55" s="326"/>
      <c r="Y55" s="348"/>
      <c r="Z55" s="347"/>
      <c r="AA55" s="326"/>
      <c r="AB55" s="348"/>
      <c r="AC55" s="820"/>
      <c r="AD55" s="821"/>
      <c r="AE55" s="822"/>
      <c r="AF55" s="820"/>
      <c r="AG55" s="821"/>
      <c r="AH55" s="822"/>
      <c r="AI55" s="482">
        <v>10059</v>
      </c>
      <c r="AJ55" s="326">
        <v>0</v>
      </c>
      <c r="AK55" s="3917">
        <v>0</v>
      </c>
      <c r="AL55" s="349">
        <f t="shared" si="32"/>
        <v>10059</v>
      </c>
      <c r="AM55" s="2002"/>
      <c r="AN55" s="3357"/>
      <c r="AO55" s="695"/>
      <c r="AP55" s="3362" t="str">
        <f>AP$2</f>
        <v>Planning Reg 2023-2024</v>
      </c>
      <c r="AQ55" s="3555">
        <f>AQ$2</f>
        <v>1.1576249999999999</v>
      </c>
      <c r="AR55" s="333"/>
      <c r="AS55" s="330"/>
      <c r="AT55" s="330"/>
      <c r="AU55" s="849"/>
      <c r="AV55" s="849"/>
      <c r="AW55" s="3156">
        <f t="shared" si="33"/>
        <v>11113</v>
      </c>
      <c r="AX55" s="3140"/>
    </row>
    <row r="56" spans="1:50" ht="153.75" thickBot="1">
      <c r="A56" s="5964" t="s">
        <v>11021</v>
      </c>
      <c r="B56" s="3307" t="s">
        <v>9386</v>
      </c>
      <c r="C56" s="3308">
        <v>0</v>
      </c>
      <c r="D56" s="323">
        <v>42261</v>
      </c>
      <c r="E56" s="829" t="s">
        <v>6387</v>
      </c>
      <c r="F56" s="4368" t="s">
        <v>7018</v>
      </c>
      <c r="G56" s="4369">
        <v>102.5</v>
      </c>
      <c r="H56" s="3305" t="s">
        <v>10880</v>
      </c>
      <c r="I56" s="339" t="s">
        <v>3300</v>
      </c>
      <c r="J56" s="322" t="s">
        <v>1434</v>
      </c>
      <c r="K56" s="340" t="s">
        <v>12245</v>
      </c>
      <c r="L56" s="3801" t="s">
        <v>475</v>
      </c>
      <c r="M56" s="322" t="s">
        <v>3298</v>
      </c>
      <c r="N56" s="3801" t="s">
        <v>1394</v>
      </c>
      <c r="O56" s="3802" t="s">
        <v>6191</v>
      </c>
      <c r="P56" s="3803" t="s">
        <v>7181</v>
      </c>
      <c r="Q56" s="3800" t="s">
        <v>3302</v>
      </c>
      <c r="R56" s="3800" t="s">
        <v>3253</v>
      </c>
      <c r="S56" s="346"/>
      <c r="T56" s="347">
        <v>5184</v>
      </c>
      <c r="U56" s="326">
        <v>0</v>
      </c>
      <c r="V56" s="348">
        <f>T56-U56</f>
        <v>5184</v>
      </c>
      <c r="W56" s="347">
        <v>0</v>
      </c>
      <c r="X56" s="326">
        <v>0</v>
      </c>
      <c r="Y56" s="348">
        <f>W56-X56</f>
        <v>0</v>
      </c>
      <c r="Z56" s="347">
        <v>0</v>
      </c>
      <c r="AA56" s="326">
        <v>0</v>
      </c>
      <c r="AB56" s="348">
        <f>Z56-AA56</f>
        <v>0</v>
      </c>
      <c r="AC56" s="347"/>
      <c r="AD56" s="326"/>
      <c r="AE56" s="348"/>
      <c r="AF56" s="347"/>
      <c r="AG56" s="326"/>
      <c r="AH56" s="348"/>
      <c r="AI56" s="482">
        <v>28941</v>
      </c>
      <c r="AJ56" s="326">
        <f>U56+X56+AA56</f>
        <v>0</v>
      </c>
      <c r="AK56" s="3917">
        <v>0</v>
      </c>
      <c r="AL56" s="349">
        <f t="shared" si="32"/>
        <v>28941</v>
      </c>
      <c r="AM56" s="2002"/>
      <c r="AN56" s="3357"/>
      <c r="AO56" s="695"/>
      <c r="AP56" s="4370" t="s">
        <v>7019</v>
      </c>
      <c r="AQ56" s="4371"/>
      <c r="AR56" s="4372">
        <v>0</v>
      </c>
      <c r="AS56" s="4373">
        <v>0</v>
      </c>
      <c r="AT56" s="4373">
        <v>0</v>
      </c>
      <c r="AU56" s="4373">
        <v>0</v>
      </c>
      <c r="AV56" s="4373">
        <v>0</v>
      </c>
      <c r="AW56" s="4374">
        <f t="shared" si="33"/>
        <v>0</v>
      </c>
      <c r="AX56" s="3140"/>
    </row>
    <row r="57" spans="1:50" ht="141" thickBot="1">
      <c r="A57" s="5964" t="s">
        <v>11039</v>
      </c>
      <c r="B57" s="3307" t="s">
        <v>9388</v>
      </c>
      <c r="C57" s="3308">
        <v>0</v>
      </c>
      <c r="D57" s="323">
        <v>42261</v>
      </c>
      <c r="E57" s="829" t="s">
        <v>6387</v>
      </c>
      <c r="F57" s="830" t="s">
        <v>4932</v>
      </c>
      <c r="G57" s="2621">
        <v>1</v>
      </c>
      <c r="H57" s="3305" t="s">
        <v>10881</v>
      </c>
      <c r="I57" s="339" t="s">
        <v>3300</v>
      </c>
      <c r="J57" s="322" t="s">
        <v>1434</v>
      </c>
      <c r="K57" s="340" t="s">
        <v>12245</v>
      </c>
      <c r="L57" s="3801" t="s">
        <v>475</v>
      </c>
      <c r="M57" s="322" t="s">
        <v>3298</v>
      </c>
      <c r="N57" s="3801" t="s">
        <v>1394</v>
      </c>
      <c r="O57" s="3802" t="s">
        <v>6191</v>
      </c>
      <c r="P57" s="3803" t="s">
        <v>7182</v>
      </c>
      <c r="Q57" s="3800" t="s">
        <v>3302</v>
      </c>
      <c r="R57" s="3800" t="s">
        <v>3253</v>
      </c>
      <c r="S57" s="346"/>
      <c r="T57" s="347">
        <v>5184</v>
      </c>
      <c r="U57" s="326">
        <v>0</v>
      </c>
      <c r="V57" s="348">
        <f>T57-U57</f>
        <v>5184</v>
      </c>
      <c r="W57" s="347">
        <v>0</v>
      </c>
      <c r="X57" s="326">
        <v>0</v>
      </c>
      <c r="Y57" s="348">
        <f>W57-X57</f>
        <v>0</v>
      </c>
      <c r="Z57" s="347">
        <v>0</v>
      </c>
      <c r="AA57" s="326">
        <v>0</v>
      </c>
      <c r="AB57" s="348">
        <f>Z57-AA57</f>
        <v>0</v>
      </c>
      <c r="AC57" s="347"/>
      <c r="AD57" s="326"/>
      <c r="AE57" s="348"/>
      <c r="AF57" s="347"/>
      <c r="AG57" s="326"/>
      <c r="AH57" s="348"/>
      <c r="AI57" s="482">
        <f>T57+W57+Z57+AC57+AF57</f>
        <v>5184</v>
      </c>
      <c r="AJ57" s="326">
        <f>U57+X57+AA57</f>
        <v>0</v>
      </c>
      <c r="AK57" s="3917">
        <v>0</v>
      </c>
      <c r="AL57" s="349">
        <f t="shared" si="32"/>
        <v>5184</v>
      </c>
      <c r="AM57" s="2002"/>
      <c r="AN57" s="3357"/>
      <c r="AO57" s="695"/>
      <c r="AP57" s="4375" t="str">
        <f t="shared" ref="AP57:AQ65" si="34">AP$2</f>
        <v>Planning Reg 2023-2024</v>
      </c>
      <c r="AQ57" s="4376">
        <f t="shared" si="34"/>
        <v>1.1576249999999999</v>
      </c>
      <c r="AR57" s="4372">
        <v>0</v>
      </c>
      <c r="AS57" s="4373">
        <v>0</v>
      </c>
      <c r="AT57" s="4373">
        <v>0</v>
      </c>
      <c r="AU57" s="4373">
        <v>0</v>
      </c>
      <c r="AV57" s="4373">
        <v>0</v>
      </c>
      <c r="AW57" s="4374">
        <f t="shared" si="33"/>
        <v>6001</v>
      </c>
      <c r="AX57" s="3140"/>
    </row>
    <row r="58" spans="1:50" ht="153">
      <c r="A58" s="5966" t="s">
        <v>11004</v>
      </c>
      <c r="B58" s="3307" t="s">
        <v>9387</v>
      </c>
      <c r="C58" s="3308">
        <v>0</v>
      </c>
      <c r="D58" s="323">
        <v>43684</v>
      </c>
      <c r="E58" s="829" t="s">
        <v>6386</v>
      </c>
      <c r="F58" s="830" t="s">
        <v>6893</v>
      </c>
      <c r="G58" s="2620">
        <v>1.047839</v>
      </c>
      <c r="H58" s="3305" t="s">
        <v>10882</v>
      </c>
      <c r="I58" s="339" t="s">
        <v>1433</v>
      </c>
      <c r="J58" s="322" t="s">
        <v>1434</v>
      </c>
      <c r="K58" s="340" t="s">
        <v>12245</v>
      </c>
      <c r="L58" s="3801" t="s">
        <v>475</v>
      </c>
      <c r="M58" s="322" t="s">
        <v>1957</v>
      </c>
      <c r="N58" s="3801" t="s">
        <v>1394</v>
      </c>
      <c r="O58" s="3802" t="s">
        <v>7017</v>
      </c>
      <c r="P58" s="3803" t="s">
        <v>7183</v>
      </c>
      <c r="Q58" s="3800" t="s">
        <v>3302</v>
      </c>
      <c r="R58" s="3800" t="s">
        <v>3253</v>
      </c>
      <c r="S58" s="346"/>
      <c r="T58" s="347"/>
      <c r="U58" s="326"/>
      <c r="V58" s="348"/>
      <c r="W58" s="347"/>
      <c r="X58" s="326"/>
      <c r="Y58" s="348"/>
      <c r="Z58" s="347"/>
      <c r="AA58" s="326"/>
      <c r="AB58" s="348"/>
      <c r="AC58" s="347"/>
      <c r="AD58" s="326"/>
      <c r="AE58" s="348"/>
      <c r="AF58" s="347"/>
      <c r="AG58" s="326"/>
      <c r="AH58" s="348"/>
      <c r="AI58" s="482">
        <v>169750</v>
      </c>
      <c r="AJ58" s="326">
        <v>0</v>
      </c>
      <c r="AK58" s="3917">
        <v>0</v>
      </c>
      <c r="AL58" s="349">
        <f t="shared" si="32"/>
        <v>169750</v>
      </c>
      <c r="AM58" s="2002"/>
      <c r="AN58" s="3357"/>
      <c r="AO58" s="695"/>
      <c r="AP58" s="4377" t="str">
        <f t="shared" si="34"/>
        <v>Planning Reg 2023-2024</v>
      </c>
      <c r="AQ58" s="4378">
        <f t="shared" si="34"/>
        <v>1.1576249999999999</v>
      </c>
      <c r="AR58" s="4372"/>
      <c r="AS58" s="4373"/>
      <c r="AT58" s="4373"/>
      <c r="AU58" s="4373"/>
      <c r="AV58" s="4373"/>
      <c r="AW58" s="4374">
        <f t="shared" si="33"/>
        <v>187535</v>
      </c>
      <c r="AX58" s="3140"/>
    </row>
    <row r="59" spans="1:50" ht="140.25">
      <c r="A59" s="2418" t="s">
        <v>11006</v>
      </c>
      <c r="B59" s="3307" t="s">
        <v>9389</v>
      </c>
      <c r="C59" s="3308">
        <v>0</v>
      </c>
      <c r="D59" s="323">
        <v>44511</v>
      </c>
      <c r="E59" s="3058" t="s">
        <v>9156</v>
      </c>
      <c r="F59" s="830" t="s">
        <v>9005</v>
      </c>
      <c r="G59" s="5356">
        <v>1.0956269999999999</v>
      </c>
      <c r="H59" s="3305" t="s">
        <v>10883</v>
      </c>
      <c r="I59" s="339" t="s">
        <v>1433</v>
      </c>
      <c r="J59" s="322" t="s">
        <v>1434</v>
      </c>
      <c r="K59" s="340" t="s">
        <v>12246</v>
      </c>
      <c r="L59" s="3801" t="s">
        <v>475</v>
      </c>
      <c r="M59" s="322" t="s">
        <v>1957</v>
      </c>
      <c r="N59" s="3801" t="s">
        <v>9382</v>
      </c>
      <c r="O59" s="3802" t="s">
        <v>9383</v>
      </c>
      <c r="P59" s="3803"/>
      <c r="Q59" s="3800" t="s">
        <v>9384</v>
      </c>
      <c r="R59" s="3800" t="s">
        <v>9385</v>
      </c>
      <c r="S59" s="346"/>
      <c r="T59" s="347"/>
      <c r="U59" s="326"/>
      <c r="V59" s="348"/>
      <c r="W59" s="347"/>
      <c r="X59" s="326"/>
      <c r="Y59" s="348"/>
      <c r="Z59" s="347"/>
      <c r="AA59" s="326"/>
      <c r="AB59" s="348"/>
      <c r="AC59" s="820"/>
      <c r="AD59" s="821"/>
      <c r="AE59" s="822"/>
      <c r="AF59" s="820"/>
      <c r="AG59" s="821"/>
      <c r="AH59" s="822"/>
      <c r="AI59" s="482">
        <v>31554</v>
      </c>
      <c r="AJ59" s="326">
        <v>0</v>
      </c>
      <c r="AK59" s="3917">
        <v>0</v>
      </c>
      <c r="AL59" s="349">
        <f t="shared" si="32"/>
        <v>31554</v>
      </c>
      <c r="AM59" s="2002"/>
      <c r="AN59" s="3357"/>
      <c r="AO59" s="695"/>
      <c r="AP59" s="3362" t="str">
        <f t="shared" si="34"/>
        <v>Planning Reg 2023-2024</v>
      </c>
      <c r="AQ59" s="3555">
        <f t="shared" si="34"/>
        <v>1.1576249999999999</v>
      </c>
      <c r="AR59" s="333"/>
      <c r="AS59" s="330"/>
      <c r="AT59" s="330"/>
      <c r="AU59" s="849"/>
      <c r="AV59" s="849"/>
      <c r="AW59" s="3156">
        <f t="shared" si="33"/>
        <v>33340</v>
      </c>
      <c r="AX59" s="3140"/>
    </row>
    <row r="60" spans="1:50" ht="89.25">
      <c r="A60" s="5966" t="s">
        <v>11004</v>
      </c>
      <c r="B60" s="338" t="s">
        <v>7027</v>
      </c>
      <c r="C60" s="321">
        <v>0</v>
      </c>
      <c r="D60" s="323">
        <v>43689</v>
      </c>
      <c r="E60" s="829" t="s">
        <v>6386</v>
      </c>
      <c r="F60" s="830" t="s">
        <v>6893</v>
      </c>
      <c r="G60" s="2620">
        <v>1.047839</v>
      </c>
      <c r="H60" s="332" t="s">
        <v>6817</v>
      </c>
      <c r="I60" s="339" t="s">
        <v>1433</v>
      </c>
      <c r="J60" s="322" t="s">
        <v>1434</v>
      </c>
      <c r="K60" s="340">
        <v>45881</v>
      </c>
      <c r="L60" s="339" t="s">
        <v>6818</v>
      </c>
      <c r="M60" s="322" t="s">
        <v>6628</v>
      </c>
      <c r="N60" s="339" t="s">
        <v>7022</v>
      </c>
      <c r="O60" s="332" t="s">
        <v>7021</v>
      </c>
      <c r="P60" s="345"/>
      <c r="Q60" s="322" t="s">
        <v>7023</v>
      </c>
      <c r="R60" s="322" t="s">
        <v>7024</v>
      </c>
      <c r="S60" s="346"/>
      <c r="T60" s="347"/>
      <c r="U60" s="326"/>
      <c r="V60" s="348"/>
      <c r="W60" s="347"/>
      <c r="X60" s="326"/>
      <c r="Y60" s="348"/>
      <c r="Z60" s="347"/>
      <c r="AA60" s="326"/>
      <c r="AB60" s="348"/>
      <c r="AC60" s="820"/>
      <c r="AD60" s="821"/>
      <c r="AE60" s="822"/>
      <c r="AF60" s="820"/>
      <c r="AG60" s="821"/>
      <c r="AH60" s="822"/>
      <c r="AI60" s="482">
        <v>35588</v>
      </c>
      <c r="AJ60" s="326">
        <v>0</v>
      </c>
      <c r="AK60" s="3917">
        <v>0</v>
      </c>
      <c r="AL60" s="349">
        <f t="shared" si="32"/>
        <v>35588</v>
      </c>
      <c r="AM60" s="2002"/>
      <c r="AN60" s="3357"/>
      <c r="AO60" s="695"/>
      <c r="AP60" s="3362" t="str">
        <f t="shared" si="34"/>
        <v>Planning Reg 2023-2024</v>
      </c>
      <c r="AQ60" s="3555">
        <f t="shared" si="34"/>
        <v>1.1576249999999999</v>
      </c>
      <c r="AR60" s="333"/>
      <c r="AS60" s="330"/>
      <c r="AT60" s="330"/>
      <c r="AU60" s="849"/>
      <c r="AV60" s="849"/>
      <c r="AW60" s="3156">
        <f t="shared" si="33"/>
        <v>39317</v>
      </c>
      <c r="AX60" s="3140"/>
    </row>
    <row r="61" spans="1:50" ht="76.5">
      <c r="A61" s="5966" t="s">
        <v>11004</v>
      </c>
      <c r="B61" s="5788" t="s">
        <v>10884</v>
      </c>
      <c r="C61" s="321">
        <v>0</v>
      </c>
      <c r="D61" s="323">
        <v>43699</v>
      </c>
      <c r="E61" s="829" t="s">
        <v>6386</v>
      </c>
      <c r="F61" s="830" t="s">
        <v>6893</v>
      </c>
      <c r="G61" s="2620">
        <v>1.047839</v>
      </c>
      <c r="H61" s="2273" t="s">
        <v>7039</v>
      </c>
      <c r="I61" s="339" t="s">
        <v>7040</v>
      </c>
      <c r="J61" s="322" t="s">
        <v>4306</v>
      </c>
      <c r="K61" s="5441">
        <v>44430</v>
      </c>
      <c r="L61" s="339" t="s">
        <v>7041</v>
      </c>
      <c r="M61" s="322" t="s">
        <v>7042</v>
      </c>
      <c r="N61" s="5789" t="s">
        <v>7043</v>
      </c>
      <c r="O61" s="5440" t="s">
        <v>7044</v>
      </c>
      <c r="P61" s="345"/>
      <c r="Q61" s="6094" t="s">
        <v>5708</v>
      </c>
      <c r="R61" s="322" t="s">
        <v>5350</v>
      </c>
      <c r="S61" s="346"/>
      <c r="T61" s="347"/>
      <c r="U61" s="326"/>
      <c r="V61" s="348"/>
      <c r="W61" s="347"/>
      <c r="X61" s="326"/>
      <c r="Y61" s="348"/>
      <c r="Z61" s="347"/>
      <c r="AA61" s="326"/>
      <c r="AB61" s="348"/>
      <c r="AC61" s="820"/>
      <c r="AD61" s="821"/>
      <c r="AE61" s="822"/>
      <c r="AF61" s="820"/>
      <c r="AG61" s="821"/>
      <c r="AH61" s="822"/>
      <c r="AI61" s="482">
        <v>6249</v>
      </c>
      <c r="AJ61" s="326">
        <v>0</v>
      </c>
      <c r="AK61" s="3917">
        <v>0</v>
      </c>
      <c r="AL61" s="349">
        <f t="shared" si="32"/>
        <v>6249</v>
      </c>
      <c r="AM61" s="2002"/>
      <c r="AN61" s="3357"/>
      <c r="AO61" s="695"/>
      <c r="AP61" s="3362" t="str">
        <f t="shared" si="34"/>
        <v>Planning Reg 2023-2024</v>
      </c>
      <c r="AQ61" s="3555">
        <f t="shared" si="34"/>
        <v>1.1576249999999999</v>
      </c>
      <c r="AR61" s="333"/>
      <c r="AS61" s="330"/>
      <c r="AT61" s="330"/>
      <c r="AU61" s="849"/>
      <c r="AV61" s="849"/>
      <c r="AW61" s="3156">
        <f t="shared" si="33"/>
        <v>6904</v>
      </c>
      <c r="AX61" s="3140"/>
    </row>
    <row r="62" spans="1:50" ht="114.75">
      <c r="A62" s="2418" t="s">
        <v>11004</v>
      </c>
      <c r="B62" s="338" t="s">
        <v>12473</v>
      </c>
      <c r="C62" s="321">
        <v>0</v>
      </c>
      <c r="D62" s="323">
        <v>43731</v>
      </c>
      <c r="E62" s="829" t="s">
        <v>6386</v>
      </c>
      <c r="F62" s="830" t="s">
        <v>6893</v>
      </c>
      <c r="G62" s="2620">
        <v>1.047839</v>
      </c>
      <c r="H62" s="332" t="s">
        <v>7145</v>
      </c>
      <c r="I62" s="339" t="s">
        <v>1433</v>
      </c>
      <c r="J62" s="322" t="s">
        <v>1434</v>
      </c>
      <c r="K62" s="340">
        <v>45923</v>
      </c>
      <c r="L62" s="339" t="s">
        <v>7146</v>
      </c>
      <c r="M62" s="322" t="s">
        <v>7147</v>
      </c>
      <c r="N62" s="339" t="s">
        <v>7149</v>
      </c>
      <c r="O62" s="332" t="s">
        <v>7148</v>
      </c>
      <c r="P62" s="345" t="s">
        <v>11663</v>
      </c>
      <c r="Q62" s="322" t="s">
        <v>7150</v>
      </c>
      <c r="R62" s="322" t="s">
        <v>939</v>
      </c>
      <c r="S62" s="346"/>
      <c r="T62" s="347"/>
      <c r="U62" s="326"/>
      <c r="V62" s="348"/>
      <c r="W62" s="347"/>
      <c r="X62" s="326"/>
      <c r="Y62" s="348"/>
      <c r="Z62" s="347"/>
      <c r="AA62" s="326"/>
      <c r="AB62" s="348"/>
      <c r="AC62" s="820"/>
      <c r="AD62" s="821"/>
      <c r="AE62" s="822"/>
      <c r="AF62" s="820"/>
      <c r="AG62" s="821"/>
      <c r="AH62" s="822"/>
      <c r="AI62" s="482">
        <v>7704</v>
      </c>
      <c r="AJ62" s="326">
        <v>0</v>
      </c>
      <c r="AK62" s="3917">
        <v>0</v>
      </c>
      <c r="AL62" s="349">
        <f t="shared" si="32"/>
        <v>7704</v>
      </c>
      <c r="AM62" s="2002"/>
      <c r="AN62" s="3357"/>
      <c r="AO62" s="695"/>
      <c r="AP62" s="3362" t="str">
        <f t="shared" si="34"/>
        <v>Planning Reg 2023-2024</v>
      </c>
      <c r="AQ62" s="3555">
        <f t="shared" si="34"/>
        <v>1.1576249999999999</v>
      </c>
      <c r="AR62" s="333"/>
      <c r="AS62" s="330"/>
      <c r="AT62" s="330"/>
      <c r="AU62" s="849"/>
      <c r="AV62" s="849"/>
      <c r="AW62" s="3156">
        <f t="shared" si="33"/>
        <v>8511</v>
      </c>
      <c r="AX62" s="3140"/>
    </row>
    <row r="63" spans="1:50" ht="39" thickBot="1">
      <c r="A63" s="2418" t="s">
        <v>11004</v>
      </c>
      <c r="B63" s="5788" t="s">
        <v>5733</v>
      </c>
      <c r="C63" s="321">
        <v>0</v>
      </c>
      <c r="D63" s="323">
        <v>43734</v>
      </c>
      <c r="E63" s="829" t="s">
        <v>7151</v>
      </c>
      <c r="F63" s="830" t="s">
        <v>6893</v>
      </c>
      <c r="G63" s="2620">
        <v>1.047839</v>
      </c>
      <c r="H63" s="5440" t="s">
        <v>7152</v>
      </c>
      <c r="I63" s="339" t="s">
        <v>1433</v>
      </c>
      <c r="J63" s="322" t="s">
        <v>1434</v>
      </c>
      <c r="K63" s="340" t="s">
        <v>11866</v>
      </c>
      <c r="L63" s="339" t="s">
        <v>7153</v>
      </c>
      <c r="M63" s="322" t="s">
        <v>1957</v>
      </c>
      <c r="N63" s="339" t="s">
        <v>7155</v>
      </c>
      <c r="O63" s="5440" t="s">
        <v>7154</v>
      </c>
      <c r="P63" s="345"/>
      <c r="Q63" s="322" t="s">
        <v>12247</v>
      </c>
      <c r="R63" s="322" t="s">
        <v>7157</v>
      </c>
      <c r="S63" s="346"/>
      <c r="T63" s="347"/>
      <c r="U63" s="326"/>
      <c r="V63" s="348"/>
      <c r="W63" s="347"/>
      <c r="X63" s="326"/>
      <c r="Y63" s="348"/>
      <c r="Z63" s="347"/>
      <c r="AA63" s="326"/>
      <c r="AB63" s="348"/>
      <c r="AC63" s="820"/>
      <c r="AD63" s="821"/>
      <c r="AE63" s="822"/>
      <c r="AF63" s="820"/>
      <c r="AG63" s="821"/>
      <c r="AH63" s="822"/>
      <c r="AI63" s="482">
        <v>320</v>
      </c>
      <c r="AJ63" s="326">
        <v>0</v>
      </c>
      <c r="AK63" s="3917">
        <v>0</v>
      </c>
      <c r="AL63" s="349">
        <f t="shared" si="32"/>
        <v>320</v>
      </c>
      <c r="AM63" s="2002"/>
      <c r="AN63" s="3357"/>
      <c r="AO63" s="695"/>
      <c r="AP63" s="3362" t="str">
        <f t="shared" si="34"/>
        <v>Planning Reg 2023-2024</v>
      </c>
      <c r="AQ63" s="3555">
        <f t="shared" si="34"/>
        <v>1.1576249999999999</v>
      </c>
      <c r="AR63" s="333"/>
      <c r="AS63" s="330"/>
      <c r="AT63" s="330"/>
      <c r="AU63" s="849"/>
      <c r="AV63" s="849"/>
      <c r="AW63" s="3156">
        <f t="shared" si="33"/>
        <v>354</v>
      </c>
      <c r="AX63" s="3140"/>
    </row>
    <row r="64" spans="1:50" ht="38.25">
      <c r="A64" s="2418" t="s">
        <v>11005</v>
      </c>
      <c r="B64" s="338" t="s">
        <v>5734</v>
      </c>
      <c r="C64" s="321">
        <v>0</v>
      </c>
      <c r="D64" s="323">
        <v>43754</v>
      </c>
      <c r="E64" s="829" t="s">
        <v>7151</v>
      </c>
      <c r="F64" s="830" t="s">
        <v>6893</v>
      </c>
      <c r="G64" s="2620">
        <v>1.047839</v>
      </c>
      <c r="H64" s="332" t="s">
        <v>7192</v>
      </c>
      <c r="I64" s="339" t="s">
        <v>1433</v>
      </c>
      <c r="J64" s="322" t="s">
        <v>1434</v>
      </c>
      <c r="K64" s="340">
        <v>45946</v>
      </c>
      <c r="L64" s="339" t="s">
        <v>7193</v>
      </c>
      <c r="M64" s="322" t="s">
        <v>4960</v>
      </c>
      <c r="N64" s="339" t="s">
        <v>7194</v>
      </c>
      <c r="O64" s="332" t="s">
        <v>7195</v>
      </c>
      <c r="P64" s="345"/>
      <c r="Q64" s="322" t="s">
        <v>7196</v>
      </c>
      <c r="R64" s="322" t="s">
        <v>250</v>
      </c>
      <c r="S64" s="346"/>
      <c r="T64" s="347"/>
      <c r="U64" s="326"/>
      <c r="V64" s="348"/>
      <c r="W64" s="347"/>
      <c r="X64" s="326"/>
      <c r="Y64" s="348"/>
      <c r="Z64" s="347"/>
      <c r="AA64" s="326"/>
      <c r="AB64" s="348"/>
      <c r="AC64" s="820"/>
      <c r="AD64" s="821"/>
      <c r="AE64" s="822"/>
      <c r="AF64" s="820"/>
      <c r="AG64" s="821"/>
      <c r="AH64" s="822"/>
      <c r="AI64" s="482">
        <v>17603</v>
      </c>
      <c r="AJ64" s="326">
        <v>0</v>
      </c>
      <c r="AK64" s="3917">
        <v>0</v>
      </c>
      <c r="AL64" s="349">
        <f t="shared" si="32"/>
        <v>17603</v>
      </c>
      <c r="AM64" s="2002"/>
      <c r="AN64" s="3357"/>
      <c r="AO64" s="695"/>
      <c r="AP64" s="3362" t="str">
        <f t="shared" si="34"/>
        <v>Planning Reg 2023-2024</v>
      </c>
      <c r="AQ64" s="3555">
        <f t="shared" si="34"/>
        <v>1.1576249999999999</v>
      </c>
      <c r="AR64" s="333"/>
      <c r="AS64" s="330"/>
      <c r="AT64" s="330"/>
      <c r="AU64" s="849"/>
      <c r="AV64" s="849"/>
      <c r="AW64" s="3156">
        <f t="shared" si="33"/>
        <v>19447</v>
      </c>
      <c r="AX64" s="3140"/>
    </row>
    <row r="65" spans="1:50" ht="51.75" thickBot="1">
      <c r="A65" s="2418" t="s">
        <v>11005</v>
      </c>
      <c r="B65" s="338" t="s">
        <v>6964</v>
      </c>
      <c r="C65" s="321">
        <v>0</v>
      </c>
      <c r="D65" s="323">
        <v>43794</v>
      </c>
      <c r="E65" s="3058" t="s">
        <v>7151</v>
      </c>
      <c r="F65" s="324" t="s">
        <v>6893</v>
      </c>
      <c r="G65" s="2621">
        <v>1.047839</v>
      </c>
      <c r="H65" s="332" t="s">
        <v>7400</v>
      </c>
      <c r="I65" s="339" t="s">
        <v>1433</v>
      </c>
      <c r="J65" s="322" t="s">
        <v>1434</v>
      </c>
      <c r="K65" s="340">
        <v>45989</v>
      </c>
      <c r="L65" s="339" t="s">
        <v>7401</v>
      </c>
      <c r="M65" s="322" t="s">
        <v>7402</v>
      </c>
      <c r="N65" s="339" t="s">
        <v>7404</v>
      </c>
      <c r="O65" s="332" t="s">
        <v>7403</v>
      </c>
      <c r="P65" s="345"/>
      <c r="Q65" s="322" t="s">
        <v>7405</v>
      </c>
      <c r="R65" s="322" t="s">
        <v>7371</v>
      </c>
      <c r="S65" s="346" t="s">
        <v>10983</v>
      </c>
      <c r="T65" s="347"/>
      <c r="U65" s="326"/>
      <c r="V65" s="348"/>
      <c r="W65" s="347"/>
      <c r="X65" s="326"/>
      <c r="Y65" s="348"/>
      <c r="Z65" s="347"/>
      <c r="AA65" s="326"/>
      <c r="AB65" s="348"/>
      <c r="AC65" s="820"/>
      <c r="AD65" s="821"/>
      <c r="AE65" s="822"/>
      <c r="AF65" s="820"/>
      <c r="AG65" s="821"/>
      <c r="AH65" s="822"/>
      <c r="AI65" s="482">
        <v>96892</v>
      </c>
      <c r="AJ65" s="326">
        <v>0</v>
      </c>
      <c r="AK65" s="3917">
        <v>21595</v>
      </c>
      <c r="AL65" s="349">
        <f t="shared" si="32"/>
        <v>75297</v>
      </c>
      <c r="AM65" s="2002"/>
      <c r="AN65" s="3357"/>
      <c r="AO65" s="695"/>
      <c r="AP65" s="3362" t="str">
        <f t="shared" si="34"/>
        <v>Planning Reg 2023-2024</v>
      </c>
      <c r="AQ65" s="3555">
        <f t="shared" si="34"/>
        <v>1.1576249999999999</v>
      </c>
      <c r="AR65" s="333"/>
      <c r="AS65" s="330"/>
      <c r="AT65" s="330"/>
      <c r="AU65" s="849"/>
      <c r="AV65" s="849"/>
      <c r="AW65" s="3156">
        <f t="shared" si="33"/>
        <v>83186</v>
      </c>
      <c r="AX65" s="3140"/>
    </row>
    <row r="66" spans="1:50" ht="18.75" thickBot="1">
      <c r="A66" s="6662" t="s">
        <v>7524</v>
      </c>
      <c r="B66" s="6663"/>
      <c r="C66" s="6663"/>
      <c r="D66" s="6663"/>
      <c r="E66" s="6663"/>
      <c r="F66" s="6663"/>
      <c r="G66" s="6663"/>
      <c r="H66" s="6664"/>
      <c r="I66" s="1578"/>
      <c r="J66" s="1579"/>
      <c r="K66" s="1879"/>
      <c r="L66" s="1578"/>
      <c r="M66" s="1579"/>
      <c r="N66" s="1578"/>
      <c r="O66" s="1581"/>
      <c r="P66" s="1582"/>
      <c r="Q66" s="1579"/>
      <c r="R66" s="1579"/>
      <c r="S66" s="1583"/>
      <c r="T66" s="1584"/>
      <c r="U66" s="1585"/>
      <c r="V66" s="1586"/>
      <c r="W66" s="1584"/>
      <c r="X66" s="1585"/>
      <c r="Y66" s="1586"/>
      <c r="Z66" s="1584"/>
      <c r="AA66" s="1585"/>
      <c r="AB66" s="1586"/>
      <c r="AC66" s="1880"/>
      <c r="AD66" s="1881"/>
      <c r="AE66" s="1882"/>
      <c r="AF66" s="1883"/>
      <c r="AG66" s="1881"/>
      <c r="AH66" s="1882"/>
      <c r="AI66" s="1587"/>
      <c r="AJ66" s="1585"/>
      <c r="AK66" s="3927"/>
      <c r="AL66" s="3927"/>
      <c r="AM66" s="3599"/>
      <c r="AN66" s="3600"/>
      <c r="AO66" s="3601"/>
      <c r="AP66" s="2720"/>
      <c r="AQ66" s="2721"/>
      <c r="AR66" s="1589"/>
      <c r="AS66" s="1590"/>
      <c r="AT66" s="1590"/>
      <c r="AU66" s="1590"/>
      <c r="AV66" s="1590"/>
      <c r="AW66" s="3158"/>
      <c r="AX66" s="3161"/>
    </row>
    <row r="67" spans="1:50" ht="76.5">
      <c r="A67" s="2418" t="s">
        <v>10984</v>
      </c>
      <c r="B67" s="338" t="s">
        <v>10888</v>
      </c>
      <c r="C67" s="321">
        <v>0</v>
      </c>
      <c r="D67" s="323">
        <v>43850</v>
      </c>
      <c r="E67" s="3058" t="s">
        <v>7151</v>
      </c>
      <c r="F67" s="324" t="s">
        <v>6893</v>
      </c>
      <c r="G67" s="2621">
        <v>1.047839</v>
      </c>
      <c r="H67" s="2273" t="s">
        <v>7983</v>
      </c>
      <c r="I67" s="339" t="s">
        <v>7556</v>
      </c>
      <c r="J67" s="2399" t="s">
        <v>4306</v>
      </c>
      <c r="K67" s="340">
        <v>44914</v>
      </c>
      <c r="L67" s="339" t="s">
        <v>7557</v>
      </c>
      <c r="M67" s="322" t="s">
        <v>7558</v>
      </c>
      <c r="N67" s="339" t="s">
        <v>7559</v>
      </c>
      <c r="O67" s="332" t="s">
        <v>7558</v>
      </c>
      <c r="P67" s="345" t="s">
        <v>7390</v>
      </c>
      <c r="Q67" s="6094" t="s">
        <v>7560</v>
      </c>
      <c r="R67" s="322" t="s">
        <v>10108</v>
      </c>
      <c r="S67" s="346"/>
      <c r="T67" s="347"/>
      <c r="U67" s="326"/>
      <c r="V67" s="348"/>
      <c r="W67" s="347"/>
      <c r="X67" s="326"/>
      <c r="Y67" s="348"/>
      <c r="Z67" s="347"/>
      <c r="AA67" s="326"/>
      <c r="AB67" s="348"/>
      <c r="AC67" s="820"/>
      <c r="AD67" s="821"/>
      <c r="AE67" s="822"/>
      <c r="AF67" s="820"/>
      <c r="AG67" s="821"/>
      <c r="AH67" s="822"/>
      <c r="AI67" s="482">
        <v>5624</v>
      </c>
      <c r="AJ67" s="326">
        <v>0</v>
      </c>
      <c r="AK67" s="3917">
        <v>0</v>
      </c>
      <c r="AL67" s="349">
        <f t="shared" ref="AL67:AL130" si="35">AI67-AJ67-AK67</f>
        <v>5624</v>
      </c>
      <c r="AM67" s="2002"/>
      <c r="AN67" s="3357"/>
      <c r="AO67" s="695"/>
      <c r="AP67" s="3362" t="str">
        <f>AP$2</f>
        <v>Planning Reg 2023-2024</v>
      </c>
      <c r="AQ67" s="3555">
        <f>AQ$2</f>
        <v>1.1576249999999999</v>
      </c>
      <c r="AR67" s="333"/>
      <c r="AS67" s="330"/>
      <c r="AT67" s="330"/>
      <c r="AU67" s="849"/>
      <c r="AV67" s="849"/>
      <c r="AW67" s="3156">
        <f t="shared" ref="AW67:AW130" si="36">ROUND(AL67*AQ67/G67,0)</f>
        <v>6213</v>
      </c>
      <c r="AX67" s="3140"/>
    </row>
    <row r="68" spans="1:50" ht="89.25">
      <c r="A68" s="2418" t="s">
        <v>10984</v>
      </c>
      <c r="B68" s="926" t="s">
        <v>10776</v>
      </c>
      <c r="C68" s="1019">
        <v>0</v>
      </c>
      <c r="D68" s="1020">
        <v>43867</v>
      </c>
      <c r="E68" s="4347" t="s">
        <v>7151</v>
      </c>
      <c r="F68" s="3312" t="s">
        <v>6893</v>
      </c>
      <c r="G68" s="3313">
        <v>1.047839</v>
      </c>
      <c r="H68" s="1021" t="s">
        <v>7624</v>
      </c>
      <c r="I68" s="339" t="s">
        <v>1433</v>
      </c>
      <c r="J68" s="322" t="s">
        <v>1434</v>
      </c>
      <c r="K68" s="340">
        <v>46010</v>
      </c>
      <c r="L68" s="339" t="s">
        <v>7625</v>
      </c>
      <c r="M68" s="322" t="s">
        <v>7626</v>
      </c>
      <c r="N68" s="3336" t="s">
        <v>7627</v>
      </c>
      <c r="O68" s="1021" t="s">
        <v>7628</v>
      </c>
      <c r="P68" s="4144" t="s">
        <v>10425</v>
      </c>
      <c r="Q68" s="322" t="s">
        <v>7629</v>
      </c>
      <c r="R68" s="322" t="s">
        <v>8169</v>
      </c>
      <c r="S68" s="3937" t="s">
        <v>7632</v>
      </c>
      <c r="T68" s="347"/>
      <c r="U68" s="326"/>
      <c r="V68" s="348"/>
      <c r="W68" s="347"/>
      <c r="X68" s="326"/>
      <c r="Y68" s="348"/>
      <c r="Z68" s="347"/>
      <c r="AA68" s="326"/>
      <c r="AB68" s="348"/>
      <c r="AC68" s="820"/>
      <c r="AD68" s="821"/>
      <c r="AE68" s="822"/>
      <c r="AF68" s="820"/>
      <c r="AG68" s="821"/>
      <c r="AH68" s="822"/>
      <c r="AI68" s="482">
        <v>0</v>
      </c>
      <c r="AJ68" s="326">
        <v>0</v>
      </c>
      <c r="AK68" s="3917">
        <v>6856</v>
      </c>
      <c r="AL68" s="2499">
        <f t="shared" si="35"/>
        <v>-6856</v>
      </c>
      <c r="AM68" s="2002"/>
      <c r="AN68" s="3357"/>
      <c r="AO68" s="695"/>
      <c r="AP68" s="4834" t="s">
        <v>6893</v>
      </c>
      <c r="AQ68" s="4835">
        <v>1.047839</v>
      </c>
      <c r="AR68" s="3945"/>
      <c r="AS68" s="849"/>
      <c r="AT68" s="849"/>
      <c r="AU68" s="849"/>
      <c r="AV68" s="849"/>
      <c r="AW68" s="4349">
        <f t="shared" si="36"/>
        <v>-6856</v>
      </c>
      <c r="AX68" s="4348" t="s">
        <v>7633</v>
      </c>
    </row>
    <row r="69" spans="1:50" ht="51">
      <c r="A69" s="2418" t="s">
        <v>10984</v>
      </c>
      <c r="B69" s="1569" t="s">
        <v>8317</v>
      </c>
      <c r="C69" s="1570">
        <v>0</v>
      </c>
      <c r="D69" s="1571">
        <v>43882</v>
      </c>
      <c r="E69" s="4221" t="s">
        <v>7151</v>
      </c>
      <c r="F69" s="1572" t="s">
        <v>6893</v>
      </c>
      <c r="G69" s="2622">
        <v>1.047839</v>
      </c>
      <c r="H69" s="1573" t="s">
        <v>7674</v>
      </c>
      <c r="I69" s="1574" t="s">
        <v>1433</v>
      </c>
      <c r="J69" s="3208" t="s">
        <v>1434</v>
      </c>
      <c r="K69" s="4222" t="s">
        <v>7664</v>
      </c>
      <c r="L69" s="1574" t="s">
        <v>5451</v>
      </c>
      <c r="M69" s="3208" t="s">
        <v>5452</v>
      </c>
      <c r="N69" s="1574" t="s">
        <v>5453</v>
      </c>
      <c r="O69" s="3208" t="s">
        <v>5452</v>
      </c>
      <c r="P69" s="4220"/>
      <c r="Q69" s="3208" t="s">
        <v>7675</v>
      </c>
      <c r="R69" s="3208" t="s">
        <v>2140</v>
      </c>
      <c r="S69" s="1577" t="s">
        <v>3476</v>
      </c>
      <c r="T69" s="4858">
        <v>28560</v>
      </c>
      <c r="U69" s="1593">
        <f>T69</f>
        <v>28560</v>
      </c>
      <c r="V69" s="4859">
        <f>T69-U69</f>
        <v>0</v>
      </c>
      <c r="W69" s="4858">
        <v>5040</v>
      </c>
      <c r="X69" s="1593">
        <f>W69</f>
        <v>5040</v>
      </c>
      <c r="Y69" s="4859">
        <f>W69-X69</f>
        <v>0</v>
      </c>
      <c r="Z69" s="4858">
        <v>4000</v>
      </c>
      <c r="AA69" s="1593">
        <f>Z69</f>
        <v>4000</v>
      </c>
      <c r="AB69" s="4859">
        <f>Z69-AA69</f>
        <v>0</v>
      </c>
      <c r="AC69" s="4858"/>
      <c r="AD69" s="1593"/>
      <c r="AE69" s="4859"/>
      <c r="AF69" s="4858"/>
      <c r="AG69" s="1593"/>
      <c r="AH69" s="4859"/>
      <c r="AI69" s="4860">
        <v>12938</v>
      </c>
      <c r="AJ69" s="1593">
        <v>12938</v>
      </c>
      <c r="AK69" s="4861">
        <v>0</v>
      </c>
      <c r="AL69" s="4862">
        <f t="shared" si="35"/>
        <v>0</v>
      </c>
      <c r="AM69" s="4863"/>
      <c r="AN69" s="4864"/>
      <c r="AO69" s="4865"/>
      <c r="AP69" s="2983" t="str">
        <f t="shared" ref="AP69:AQ92" si="37">AP$2</f>
        <v>Planning Reg 2023-2024</v>
      </c>
      <c r="AQ69" s="2984">
        <f t="shared" si="37"/>
        <v>1.1576249999999999</v>
      </c>
      <c r="AR69" s="4866">
        <v>0</v>
      </c>
      <c r="AS69" s="4867">
        <v>0</v>
      </c>
      <c r="AT69" s="4867">
        <v>0</v>
      </c>
      <c r="AU69" s="4867">
        <v>0</v>
      </c>
      <c r="AV69" s="4867">
        <v>0</v>
      </c>
      <c r="AW69" s="4868">
        <f t="shared" si="36"/>
        <v>0</v>
      </c>
      <c r="AX69" s="3140"/>
    </row>
    <row r="70" spans="1:50" ht="89.25">
      <c r="A70" s="2418" t="s">
        <v>10984</v>
      </c>
      <c r="B70" s="338" t="s">
        <v>6970</v>
      </c>
      <c r="C70" s="321">
        <v>0</v>
      </c>
      <c r="D70" s="323">
        <v>43888</v>
      </c>
      <c r="E70" s="3058" t="s">
        <v>7151</v>
      </c>
      <c r="F70" s="324" t="s">
        <v>6893</v>
      </c>
      <c r="G70" s="2621">
        <v>1.047839</v>
      </c>
      <c r="H70" s="332" t="s">
        <v>7676</v>
      </c>
      <c r="I70" s="339" t="s">
        <v>1433</v>
      </c>
      <c r="J70" s="322" t="s">
        <v>1434</v>
      </c>
      <c r="K70" s="340">
        <v>45347</v>
      </c>
      <c r="L70" s="339" t="s">
        <v>7677</v>
      </c>
      <c r="M70" s="322" t="s">
        <v>6628</v>
      </c>
      <c r="N70" s="339" t="s">
        <v>7678</v>
      </c>
      <c r="O70" s="332" t="s">
        <v>7679</v>
      </c>
      <c r="P70" s="345"/>
      <c r="Q70" s="322" t="s">
        <v>7680</v>
      </c>
      <c r="R70" s="322" t="s">
        <v>7681</v>
      </c>
      <c r="S70" s="346"/>
      <c r="T70" s="347"/>
      <c r="U70" s="326"/>
      <c r="V70" s="348"/>
      <c r="W70" s="347"/>
      <c r="X70" s="326"/>
      <c r="Y70" s="348"/>
      <c r="Z70" s="347"/>
      <c r="AA70" s="326"/>
      <c r="AB70" s="348"/>
      <c r="AC70" s="820"/>
      <c r="AD70" s="821"/>
      <c r="AE70" s="822"/>
      <c r="AF70" s="820"/>
      <c r="AG70" s="821"/>
      <c r="AH70" s="822"/>
      <c r="AI70" s="482">
        <v>34261</v>
      </c>
      <c r="AJ70" s="326">
        <v>0</v>
      </c>
      <c r="AK70" s="3917">
        <v>0</v>
      </c>
      <c r="AL70" s="349">
        <f t="shared" si="35"/>
        <v>34261</v>
      </c>
      <c r="AM70" s="2002"/>
      <c r="AN70" s="3357"/>
      <c r="AO70" s="695"/>
      <c r="AP70" s="3362" t="str">
        <f t="shared" si="37"/>
        <v>Planning Reg 2023-2024</v>
      </c>
      <c r="AQ70" s="3555">
        <f t="shared" si="37"/>
        <v>1.1576249999999999</v>
      </c>
      <c r="AR70" s="333"/>
      <c r="AS70" s="330"/>
      <c r="AT70" s="330"/>
      <c r="AU70" s="849"/>
      <c r="AV70" s="849"/>
      <c r="AW70" s="3156">
        <f t="shared" si="36"/>
        <v>37851</v>
      </c>
      <c r="AX70" s="3140"/>
    </row>
    <row r="71" spans="1:50" ht="51">
      <c r="A71" s="2418" t="s">
        <v>10984</v>
      </c>
      <c r="B71" s="338" t="s">
        <v>6972</v>
      </c>
      <c r="C71" s="321">
        <v>0</v>
      </c>
      <c r="D71" s="323">
        <v>43941</v>
      </c>
      <c r="E71" s="3058" t="s">
        <v>7151</v>
      </c>
      <c r="F71" s="324" t="s">
        <v>6893</v>
      </c>
      <c r="G71" s="2621">
        <v>1.047839</v>
      </c>
      <c r="H71" s="332" t="s">
        <v>7795</v>
      </c>
      <c r="I71" s="339" t="s">
        <v>5753</v>
      </c>
      <c r="J71" s="322" t="s">
        <v>2712</v>
      </c>
      <c r="K71" s="340">
        <v>45396</v>
      </c>
      <c r="L71" s="339" t="s">
        <v>7796</v>
      </c>
      <c r="M71" s="322" t="s">
        <v>7797</v>
      </c>
      <c r="N71" s="339" t="s">
        <v>7798</v>
      </c>
      <c r="O71" s="332" t="s">
        <v>7799</v>
      </c>
      <c r="P71" s="345"/>
      <c r="Q71" s="322" t="s">
        <v>7800</v>
      </c>
      <c r="R71" s="322" t="s">
        <v>7801</v>
      </c>
      <c r="S71" s="346"/>
      <c r="T71" s="347"/>
      <c r="U71" s="326"/>
      <c r="V71" s="348"/>
      <c r="W71" s="347"/>
      <c r="X71" s="326"/>
      <c r="Y71" s="348"/>
      <c r="Z71" s="347"/>
      <c r="AA71" s="326"/>
      <c r="AB71" s="348"/>
      <c r="AC71" s="820"/>
      <c r="AD71" s="821"/>
      <c r="AE71" s="822"/>
      <c r="AF71" s="820"/>
      <c r="AG71" s="821"/>
      <c r="AH71" s="822"/>
      <c r="AI71" s="482">
        <v>17603</v>
      </c>
      <c r="AJ71" s="326">
        <v>0</v>
      </c>
      <c r="AK71" s="3917">
        <v>0</v>
      </c>
      <c r="AL71" s="349">
        <f t="shared" si="35"/>
        <v>17603</v>
      </c>
      <c r="AM71" s="2002"/>
      <c r="AN71" s="3357"/>
      <c r="AO71" s="695"/>
      <c r="AP71" s="3362" t="str">
        <f t="shared" si="37"/>
        <v>Planning Reg 2023-2024</v>
      </c>
      <c r="AQ71" s="3555">
        <f t="shared" si="37"/>
        <v>1.1576249999999999</v>
      </c>
      <c r="AR71" s="333"/>
      <c r="AS71" s="330"/>
      <c r="AT71" s="330"/>
      <c r="AU71" s="849"/>
      <c r="AV71" s="849"/>
      <c r="AW71" s="3156">
        <f t="shared" si="36"/>
        <v>19447</v>
      </c>
      <c r="AX71" s="3140"/>
    </row>
    <row r="72" spans="1:50" ht="51">
      <c r="A72" s="2418" t="s">
        <v>10984</v>
      </c>
      <c r="B72" s="338" t="s">
        <v>6973</v>
      </c>
      <c r="C72" s="321">
        <v>0</v>
      </c>
      <c r="D72" s="323">
        <v>43941</v>
      </c>
      <c r="E72" s="3058" t="s">
        <v>7151</v>
      </c>
      <c r="F72" s="324" t="s">
        <v>6893</v>
      </c>
      <c r="G72" s="2621">
        <v>1.047839</v>
      </c>
      <c r="H72" s="332" t="s">
        <v>7818</v>
      </c>
      <c r="I72" s="339" t="s">
        <v>1433</v>
      </c>
      <c r="J72" s="322" t="s">
        <v>1434</v>
      </c>
      <c r="K72" s="340">
        <v>46127</v>
      </c>
      <c r="L72" s="339" t="s">
        <v>7819</v>
      </c>
      <c r="M72" s="322" t="s">
        <v>7820</v>
      </c>
      <c r="N72" s="339" t="s">
        <v>7822</v>
      </c>
      <c r="O72" s="332" t="s">
        <v>7821</v>
      </c>
      <c r="P72" s="345" t="s">
        <v>7390</v>
      </c>
      <c r="Q72" s="322" t="s">
        <v>7823</v>
      </c>
      <c r="R72" s="322" t="s">
        <v>5350</v>
      </c>
      <c r="S72" s="346"/>
      <c r="T72" s="347"/>
      <c r="U72" s="326"/>
      <c r="V72" s="348"/>
      <c r="W72" s="347"/>
      <c r="X72" s="326"/>
      <c r="Y72" s="348"/>
      <c r="Z72" s="347"/>
      <c r="AA72" s="326"/>
      <c r="AB72" s="348"/>
      <c r="AC72" s="820"/>
      <c r="AD72" s="821"/>
      <c r="AE72" s="822"/>
      <c r="AF72" s="820"/>
      <c r="AG72" s="821"/>
      <c r="AH72" s="822"/>
      <c r="AI72" s="482">
        <v>11317</v>
      </c>
      <c r="AJ72" s="326">
        <v>0</v>
      </c>
      <c r="AK72" s="3917">
        <v>0</v>
      </c>
      <c r="AL72" s="349">
        <f t="shared" si="35"/>
        <v>11317</v>
      </c>
      <c r="AM72" s="2002"/>
      <c r="AN72" s="3357"/>
      <c r="AO72" s="695"/>
      <c r="AP72" s="3362" t="str">
        <f t="shared" si="37"/>
        <v>Planning Reg 2023-2024</v>
      </c>
      <c r="AQ72" s="3555">
        <f t="shared" si="37"/>
        <v>1.1576249999999999</v>
      </c>
      <c r="AR72" s="333"/>
      <c r="AS72" s="330"/>
      <c r="AT72" s="330"/>
      <c r="AU72" s="849"/>
      <c r="AV72" s="849"/>
      <c r="AW72" s="3156">
        <f t="shared" si="36"/>
        <v>12503</v>
      </c>
      <c r="AX72" s="3140"/>
    </row>
    <row r="73" spans="1:50" ht="51">
      <c r="A73" s="2418" t="s">
        <v>11006</v>
      </c>
      <c r="B73" s="338" t="s">
        <v>11976</v>
      </c>
      <c r="C73" s="695">
        <v>1</v>
      </c>
      <c r="D73" s="323" t="s">
        <v>11980</v>
      </c>
      <c r="E73" s="3058" t="s">
        <v>11981</v>
      </c>
      <c r="F73" s="1866" t="s">
        <v>11479</v>
      </c>
      <c r="G73" s="3207">
        <v>1.1576249999999999</v>
      </c>
      <c r="H73" s="332" t="s">
        <v>11977</v>
      </c>
      <c r="I73" s="339" t="s">
        <v>11978</v>
      </c>
      <c r="J73" s="322" t="s">
        <v>1434</v>
      </c>
      <c r="K73" s="340">
        <v>46134</v>
      </c>
      <c r="L73" s="339" t="s">
        <v>7324</v>
      </c>
      <c r="M73" s="322" t="s">
        <v>6628</v>
      </c>
      <c r="N73" s="339" t="s">
        <v>7831</v>
      </c>
      <c r="O73" s="332" t="s">
        <v>7832</v>
      </c>
      <c r="P73" s="345"/>
      <c r="Q73" s="322" t="s">
        <v>11979</v>
      </c>
      <c r="R73" s="322" t="s">
        <v>7833</v>
      </c>
      <c r="S73" s="346"/>
      <c r="T73" s="347"/>
      <c r="U73" s="326"/>
      <c r="V73" s="348"/>
      <c r="W73" s="347"/>
      <c r="X73" s="326"/>
      <c r="Y73" s="348"/>
      <c r="Z73" s="347"/>
      <c r="AA73" s="326"/>
      <c r="AB73" s="348"/>
      <c r="AC73" s="820"/>
      <c r="AD73" s="821"/>
      <c r="AE73" s="822"/>
      <c r="AF73" s="820"/>
      <c r="AG73" s="821"/>
      <c r="AH73" s="822"/>
      <c r="AI73" s="482">
        <v>36216</v>
      </c>
      <c r="AJ73" s="326">
        <v>0</v>
      </c>
      <c r="AK73" s="3917">
        <v>0</v>
      </c>
      <c r="AL73" s="349">
        <f t="shared" si="35"/>
        <v>36216</v>
      </c>
      <c r="AM73" s="2002"/>
      <c r="AN73" s="3357"/>
      <c r="AO73" s="695"/>
      <c r="AP73" s="3362" t="str">
        <f t="shared" si="37"/>
        <v>Planning Reg 2023-2024</v>
      </c>
      <c r="AQ73" s="3555">
        <f t="shared" si="37"/>
        <v>1.1576249999999999</v>
      </c>
      <c r="AR73" s="333"/>
      <c r="AS73" s="330"/>
      <c r="AT73" s="330"/>
      <c r="AU73" s="849"/>
      <c r="AV73" s="849"/>
      <c r="AW73" s="3156">
        <f t="shared" si="36"/>
        <v>36216</v>
      </c>
      <c r="AX73" s="3140"/>
    </row>
    <row r="74" spans="1:50" ht="51">
      <c r="A74" s="2418" t="s">
        <v>11006</v>
      </c>
      <c r="B74" s="338" t="s">
        <v>10493</v>
      </c>
      <c r="C74" s="321">
        <v>0</v>
      </c>
      <c r="D74" s="323">
        <v>43987</v>
      </c>
      <c r="E74" s="3058" t="s">
        <v>7151</v>
      </c>
      <c r="F74" s="324" t="s">
        <v>6893</v>
      </c>
      <c r="G74" s="2621">
        <v>1.047839</v>
      </c>
      <c r="H74" s="332" t="s">
        <v>7894</v>
      </c>
      <c r="I74" s="339" t="s">
        <v>1433</v>
      </c>
      <c r="J74" s="322" t="s">
        <v>1434</v>
      </c>
      <c r="K74" s="340" t="s">
        <v>7886</v>
      </c>
      <c r="L74" s="339" t="s">
        <v>7895</v>
      </c>
      <c r="M74" s="322" t="s">
        <v>6628</v>
      </c>
      <c r="N74" s="339" t="s">
        <v>7897</v>
      </c>
      <c r="O74" s="332" t="s">
        <v>7896</v>
      </c>
      <c r="P74" s="345" t="s">
        <v>10492</v>
      </c>
      <c r="Q74" s="322" t="s">
        <v>7898</v>
      </c>
      <c r="R74" s="322" t="s">
        <v>7157</v>
      </c>
      <c r="S74" s="346"/>
      <c r="T74" s="347"/>
      <c r="U74" s="326"/>
      <c r="V74" s="348"/>
      <c r="W74" s="347"/>
      <c r="X74" s="326"/>
      <c r="Y74" s="348"/>
      <c r="Z74" s="347"/>
      <c r="AA74" s="326"/>
      <c r="AB74" s="348"/>
      <c r="AC74" s="347"/>
      <c r="AD74" s="326"/>
      <c r="AE74" s="348"/>
      <c r="AF74" s="347"/>
      <c r="AG74" s="326"/>
      <c r="AH74" s="348"/>
      <c r="AI74" s="482">
        <v>4869</v>
      </c>
      <c r="AJ74" s="326">
        <v>0</v>
      </c>
      <c r="AK74" s="3917">
        <v>0</v>
      </c>
      <c r="AL74" s="349">
        <f t="shared" si="35"/>
        <v>4869</v>
      </c>
      <c r="AM74" s="2002"/>
      <c r="AN74" s="3357"/>
      <c r="AO74" s="695"/>
      <c r="AP74" s="3362" t="str">
        <f t="shared" si="37"/>
        <v>Planning Reg 2023-2024</v>
      </c>
      <c r="AQ74" s="3555">
        <f t="shared" si="37"/>
        <v>1.1576249999999999</v>
      </c>
      <c r="AR74" s="333"/>
      <c r="AS74" s="330"/>
      <c r="AT74" s="330"/>
      <c r="AU74" s="330"/>
      <c r="AV74" s="330"/>
      <c r="AW74" s="3156">
        <f t="shared" si="36"/>
        <v>5379</v>
      </c>
      <c r="AX74" s="3140"/>
    </row>
    <row r="75" spans="1:50" ht="114.75">
      <c r="A75" s="2418" t="s">
        <v>11006</v>
      </c>
      <c r="B75" s="1569" t="s">
        <v>10610</v>
      </c>
      <c r="C75" s="1570">
        <v>0</v>
      </c>
      <c r="D75" s="1571">
        <v>44033</v>
      </c>
      <c r="E75" s="4221" t="s">
        <v>7972</v>
      </c>
      <c r="F75" s="1572" t="s">
        <v>7957</v>
      </c>
      <c r="G75" s="2622">
        <v>1.0795220000000001</v>
      </c>
      <c r="H75" s="1573" t="s">
        <v>8263</v>
      </c>
      <c r="I75" s="1574" t="s">
        <v>7958</v>
      </c>
      <c r="J75" s="4875" t="s">
        <v>4306</v>
      </c>
      <c r="K75" s="4222">
        <v>44763</v>
      </c>
      <c r="L75" s="1574" t="s">
        <v>7959</v>
      </c>
      <c r="M75" s="3208" t="s">
        <v>7960</v>
      </c>
      <c r="N75" s="1574" t="s">
        <v>7961</v>
      </c>
      <c r="O75" s="1573" t="s">
        <v>7962</v>
      </c>
      <c r="P75" s="4220" t="s">
        <v>10484</v>
      </c>
      <c r="Q75" s="3208" t="s">
        <v>7963</v>
      </c>
      <c r="R75" s="3208" t="s">
        <v>5350</v>
      </c>
      <c r="S75" s="5770" t="s">
        <v>10485</v>
      </c>
      <c r="T75" s="4858"/>
      <c r="U75" s="1593"/>
      <c r="V75" s="4859"/>
      <c r="W75" s="4858"/>
      <c r="X75" s="1593"/>
      <c r="Y75" s="4859"/>
      <c r="Z75" s="4858"/>
      <c r="AA75" s="1593"/>
      <c r="AB75" s="4859"/>
      <c r="AC75" s="4858"/>
      <c r="AD75" s="1593"/>
      <c r="AE75" s="4859"/>
      <c r="AF75" s="4858"/>
      <c r="AG75" s="1593"/>
      <c r="AH75" s="4859"/>
      <c r="AI75" s="482">
        <v>16322</v>
      </c>
      <c r="AJ75" s="326"/>
      <c r="AK75" s="3917">
        <v>0</v>
      </c>
      <c r="AL75" s="349">
        <f t="shared" si="35"/>
        <v>16322</v>
      </c>
      <c r="AM75" s="2002"/>
      <c r="AN75" s="3357"/>
      <c r="AO75" s="695"/>
      <c r="AP75" s="3362" t="str">
        <f t="shared" si="37"/>
        <v>Planning Reg 2023-2024</v>
      </c>
      <c r="AQ75" s="3555">
        <f t="shared" si="37"/>
        <v>1.1576249999999999</v>
      </c>
      <c r="AR75" s="333"/>
      <c r="AS75" s="330"/>
      <c r="AT75" s="330"/>
      <c r="AU75" s="330"/>
      <c r="AV75" s="330"/>
      <c r="AW75" s="3156">
        <f t="shared" si="36"/>
        <v>17503</v>
      </c>
      <c r="AX75" s="3140"/>
    </row>
    <row r="76" spans="1:50" ht="51">
      <c r="A76" s="2418" t="s">
        <v>11006</v>
      </c>
      <c r="B76" s="338" t="s">
        <v>7608</v>
      </c>
      <c r="C76" s="321">
        <v>0</v>
      </c>
      <c r="D76" s="323">
        <v>44103</v>
      </c>
      <c r="E76" s="3058" t="s">
        <v>7972</v>
      </c>
      <c r="F76" s="324" t="s">
        <v>7957</v>
      </c>
      <c r="G76" s="2621">
        <v>1.0795220000000001</v>
      </c>
      <c r="H76" s="332" t="s">
        <v>8100</v>
      </c>
      <c r="I76" s="339" t="s">
        <v>1433</v>
      </c>
      <c r="J76" s="322" t="s">
        <v>1434</v>
      </c>
      <c r="K76" s="340" t="s">
        <v>7886</v>
      </c>
      <c r="L76" s="339" t="s">
        <v>8101</v>
      </c>
      <c r="M76" s="322" t="s">
        <v>8102</v>
      </c>
      <c r="N76" s="339" t="s">
        <v>8103</v>
      </c>
      <c r="O76" s="332" t="s">
        <v>8104</v>
      </c>
      <c r="P76" s="345"/>
      <c r="Q76" s="322" t="s">
        <v>8106</v>
      </c>
      <c r="R76" s="322" t="s">
        <v>8105</v>
      </c>
      <c r="S76" s="346"/>
      <c r="T76" s="347"/>
      <c r="U76" s="326"/>
      <c r="V76" s="348"/>
      <c r="W76" s="347"/>
      <c r="X76" s="326"/>
      <c r="Y76" s="348"/>
      <c r="Z76" s="347"/>
      <c r="AA76" s="326"/>
      <c r="AB76" s="348"/>
      <c r="AC76" s="820"/>
      <c r="AD76" s="821"/>
      <c r="AE76" s="822"/>
      <c r="AF76" s="820"/>
      <c r="AG76" s="821"/>
      <c r="AH76" s="822"/>
      <c r="AI76" s="482">
        <v>3315</v>
      </c>
      <c r="AJ76" s="326">
        <v>0</v>
      </c>
      <c r="AK76" s="3917">
        <v>0</v>
      </c>
      <c r="AL76" s="349">
        <f t="shared" si="35"/>
        <v>3315</v>
      </c>
      <c r="AM76" s="2002"/>
      <c r="AN76" s="3357"/>
      <c r="AO76" s="695"/>
      <c r="AP76" s="3362" t="str">
        <f t="shared" si="37"/>
        <v>Planning Reg 2023-2024</v>
      </c>
      <c r="AQ76" s="3555">
        <f t="shared" si="37"/>
        <v>1.1576249999999999</v>
      </c>
      <c r="AR76" s="333"/>
      <c r="AS76" s="330"/>
      <c r="AT76" s="330"/>
      <c r="AU76" s="849"/>
      <c r="AV76" s="849"/>
      <c r="AW76" s="3156">
        <f t="shared" si="36"/>
        <v>3555</v>
      </c>
      <c r="AX76" s="3140"/>
    </row>
    <row r="77" spans="1:50" ht="51">
      <c r="A77" s="2418" t="s">
        <v>11006</v>
      </c>
      <c r="B77" s="5788" t="s">
        <v>12472</v>
      </c>
      <c r="C77" s="321">
        <v>0</v>
      </c>
      <c r="D77" s="323">
        <v>44124</v>
      </c>
      <c r="E77" s="3058" t="s">
        <v>8170</v>
      </c>
      <c r="F77" s="324" t="s">
        <v>7957</v>
      </c>
      <c r="G77" s="2621">
        <v>1.0795220000000001</v>
      </c>
      <c r="H77" s="5440" t="s">
        <v>8171</v>
      </c>
      <c r="I77" s="339" t="s">
        <v>1433</v>
      </c>
      <c r="J77" s="322" t="s">
        <v>1434</v>
      </c>
      <c r="K77" s="340">
        <v>46311</v>
      </c>
      <c r="L77" s="339" t="s">
        <v>8172</v>
      </c>
      <c r="M77" s="322" t="s">
        <v>6628</v>
      </c>
      <c r="N77" s="5789" t="s">
        <v>7280</v>
      </c>
      <c r="O77" s="5440" t="s">
        <v>8173</v>
      </c>
      <c r="P77" s="345"/>
      <c r="Q77" s="322" t="s">
        <v>8174</v>
      </c>
      <c r="R77" s="322" t="s">
        <v>8105</v>
      </c>
      <c r="S77" s="346"/>
      <c r="T77" s="347"/>
      <c r="U77" s="326"/>
      <c r="V77" s="348"/>
      <c r="W77" s="347"/>
      <c r="X77" s="326"/>
      <c r="Y77" s="348"/>
      <c r="Z77" s="347"/>
      <c r="AA77" s="326"/>
      <c r="AB77" s="348"/>
      <c r="AC77" s="820"/>
      <c r="AD77" s="821"/>
      <c r="AE77" s="822"/>
      <c r="AF77" s="820"/>
      <c r="AG77" s="821"/>
      <c r="AH77" s="822"/>
      <c r="AI77" s="482">
        <v>16555</v>
      </c>
      <c r="AJ77" s="326">
        <v>0</v>
      </c>
      <c r="AK77" s="3917">
        <v>0</v>
      </c>
      <c r="AL77" s="349">
        <f t="shared" si="35"/>
        <v>16555</v>
      </c>
      <c r="AM77" s="2002"/>
      <c r="AN77" s="3357"/>
      <c r="AO77" s="695"/>
      <c r="AP77" s="3362" t="str">
        <f t="shared" si="37"/>
        <v>Planning Reg 2023-2024</v>
      </c>
      <c r="AQ77" s="3555">
        <f t="shared" si="37"/>
        <v>1.1576249999999999</v>
      </c>
      <c r="AR77" s="333"/>
      <c r="AS77" s="330"/>
      <c r="AT77" s="330"/>
      <c r="AU77" s="849"/>
      <c r="AV77" s="849"/>
      <c r="AW77" s="3156">
        <f t="shared" si="36"/>
        <v>17753</v>
      </c>
      <c r="AX77" s="3140"/>
    </row>
    <row r="78" spans="1:50" ht="51">
      <c r="A78" s="2418" t="s">
        <v>11006</v>
      </c>
      <c r="B78" s="338" t="s">
        <v>7610</v>
      </c>
      <c r="C78" s="321">
        <v>0</v>
      </c>
      <c r="D78" s="323">
        <v>44125</v>
      </c>
      <c r="E78" s="3058" t="s">
        <v>8170</v>
      </c>
      <c r="F78" s="324" t="s">
        <v>7957</v>
      </c>
      <c r="G78" s="2621">
        <v>1.0795220000000001</v>
      </c>
      <c r="H78" s="332" t="s">
        <v>8195</v>
      </c>
      <c r="I78" s="339" t="s">
        <v>1433</v>
      </c>
      <c r="J78" s="322" t="s">
        <v>1434</v>
      </c>
      <c r="K78" s="340">
        <v>46313</v>
      </c>
      <c r="L78" s="339" t="s">
        <v>1573</v>
      </c>
      <c r="M78" s="322" t="s">
        <v>4746</v>
      </c>
      <c r="N78" s="339" t="s">
        <v>8191</v>
      </c>
      <c r="O78" s="332" t="s">
        <v>8192</v>
      </c>
      <c r="P78" s="345"/>
      <c r="Q78" s="6094" t="s">
        <v>8193</v>
      </c>
      <c r="R78" s="322" t="s">
        <v>8194</v>
      </c>
      <c r="S78" s="346"/>
      <c r="T78" s="347"/>
      <c r="U78" s="326"/>
      <c r="V78" s="348"/>
      <c r="W78" s="347"/>
      <c r="X78" s="326"/>
      <c r="Y78" s="348"/>
      <c r="Z78" s="347"/>
      <c r="AA78" s="326"/>
      <c r="AB78" s="348"/>
      <c r="AC78" s="820"/>
      <c r="AD78" s="821"/>
      <c r="AE78" s="822"/>
      <c r="AF78" s="820"/>
      <c r="AG78" s="821"/>
      <c r="AH78" s="822"/>
      <c r="AI78" s="482">
        <v>5484</v>
      </c>
      <c r="AJ78" s="326">
        <v>0</v>
      </c>
      <c r="AK78" s="3917">
        <v>0</v>
      </c>
      <c r="AL78" s="349">
        <f t="shared" si="35"/>
        <v>5484</v>
      </c>
      <c r="AM78" s="2002"/>
      <c r="AN78" s="3357"/>
      <c r="AO78" s="695"/>
      <c r="AP78" s="3362" t="str">
        <f t="shared" si="37"/>
        <v>Planning Reg 2023-2024</v>
      </c>
      <c r="AQ78" s="3555">
        <f t="shared" si="37"/>
        <v>1.1576249999999999</v>
      </c>
      <c r="AR78" s="333"/>
      <c r="AS78" s="330"/>
      <c r="AT78" s="330"/>
      <c r="AU78" s="849"/>
      <c r="AV78" s="849"/>
      <c r="AW78" s="3156">
        <f t="shared" si="36"/>
        <v>5881</v>
      </c>
      <c r="AX78" s="3140"/>
    </row>
    <row r="79" spans="1:50" ht="51">
      <c r="A79" s="2418" t="s">
        <v>11006</v>
      </c>
      <c r="B79" s="338" t="s">
        <v>7611</v>
      </c>
      <c r="C79" s="321">
        <v>0</v>
      </c>
      <c r="D79" s="323">
        <v>44130</v>
      </c>
      <c r="E79" s="3058" t="s">
        <v>8170</v>
      </c>
      <c r="F79" s="324" t="s">
        <v>7957</v>
      </c>
      <c r="G79" s="2621">
        <v>1.0795220000000001</v>
      </c>
      <c r="H79" s="332" t="s">
        <v>8215</v>
      </c>
      <c r="I79" s="339" t="s">
        <v>1433</v>
      </c>
      <c r="J79" s="322" t="s">
        <v>1434</v>
      </c>
      <c r="K79" s="340">
        <v>46315</v>
      </c>
      <c r="L79" s="339" t="s">
        <v>3160</v>
      </c>
      <c r="M79" s="322" t="s">
        <v>8216</v>
      </c>
      <c r="N79" s="339" t="s">
        <v>8217</v>
      </c>
      <c r="O79" s="332" t="s">
        <v>8218</v>
      </c>
      <c r="P79" s="345"/>
      <c r="Q79" s="322" t="s">
        <v>8219</v>
      </c>
      <c r="R79" s="322" t="s">
        <v>8105</v>
      </c>
      <c r="S79" s="346"/>
      <c r="T79" s="347"/>
      <c r="U79" s="326"/>
      <c r="V79" s="348"/>
      <c r="W79" s="347"/>
      <c r="X79" s="326"/>
      <c r="Y79" s="348"/>
      <c r="Z79" s="347"/>
      <c r="AA79" s="326"/>
      <c r="AB79" s="348"/>
      <c r="AC79" s="820"/>
      <c r="AD79" s="821"/>
      <c r="AE79" s="822"/>
      <c r="AF79" s="820"/>
      <c r="AG79" s="821"/>
      <c r="AH79" s="822"/>
      <c r="AI79" s="482">
        <v>16555</v>
      </c>
      <c r="AJ79" s="326">
        <v>0</v>
      </c>
      <c r="AK79" s="3917">
        <v>0</v>
      </c>
      <c r="AL79" s="349">
        <f t="shared" si="35"/>
        <v>16555</v>
      </c>
      <c r="AM79" s="2002"/>
      <c r="AN79" s="3357"/>
      <c r="AO79" s="695"/>
      <c r="AP79" s="3362" t="str">
        <f t="shared" si="37"/>
        <v>Planning Reg 2023-2024</v>
      </c>
      <c r="AQ79" s="3555">
        <f t="shared" si="37"/>
        <v>1.1576249999999999</v>
      </c>
      <c r="AR79" s="333"/>
      <c r="AS79" s="330"/>
      <c r="AT79" s="330"/>
      <c r="AU79" s="849"/>
      <c r="AV79" s="849"/>
      <c r="AW79" s="3156">
        <f t="shared" si="36"/>
        <v>17753</v>
      </c>
      <c r="AX79" s="3140"/>
    </row>
    <row r="80" spans="1:50" ht="76.5">
      <c r="A80" s="2418" t="s">
        <v>11006</v>
      </c>
      <c r="B80" s="338" t="s">
        <v>7612</v>
      </c>
      <c r="C80" s="321">
        <v>0</v>
      </c>
      <c r="D80" s="323">
        <v>44131</v>
      </c>
      <c r="E80" s="3058" t="s">
        <v>8170</v>
      </c>
      <c r="F80" s="324" t="s">
        <v>7957</v>
      </c>
      <c r="G80" s="2621">
        <v>1.0795220000000001</v>
      </c>
      <c r="H80" s="2273" t="s">
        <v>8274</v>
      </c>
      <c r="I80" s="339" t="s">
        <v>8220</v>
      </c>
      <c r="J80" s="2399" t="s">
        <v>4306</v>
      </c>
      <c r="K80" s="340">
        <v>44861</v>
      </c>
      <c r="L80" s="339" t="s">
        <v>8221</v>
      </c>
      <c r="M80" s="322" t="s">
        <v>8222</v>
      </c>
      <c r="N80" s="339" t="s">
        <v>8223</v>
      </c>
      <c r="O80" s="322" t="s">
        <v>8222</v>
      </c>
      <c r="P80" s="345"/>
      <c r="Q80" s="6094" t="s">
        <v>5708</v>
      </c>
      <c r="R80" s="322" t="s">
        <v>5350</v>
      </c>
      <c r="S80" s="346"/>
      <c r="T80" s="347"/>
      <c r="U80" s="326"/>
      <c r="V80" s="348"/>
      <c r="W80" s="347"/>
      <c r="X80" s="326"/>
      <c r="Y80" s="348"/>
      <c r="Z80" s="347"/>
      <c r="AA80" s="326"/>
      <c r="AB80" s="348"/>
      <c r="AC80" s="820"/>
      <c r="AD80" s="821"/>
      <c r="AE80" s="822"/>
      <c r="AF80" s="820"/>
      <c r="AG80" s="821"/>
      <c r="AH80" s="822"/>
      <c r="AI80" s="482">
        <v>5484</v>
      </c>
      <c r="AJ80" s="326">
        <v>0</v>
      </c>
      <c r="AK80" s="3917">
        <v>0</v>
      </c>
      <c r="AL80" s="349">
        <f t="shared" si="35"/>
        <v>5484</v>
      </c>
      <c r="AM80" s="2002"/>
      <c r="AN80" s="3357"/>
      <c r="AO80" s="695"/>
      <c r="AP80" s="3362" t="str">
        <f t="shared" si="37"/>
        <v>Planning Reg 2023-2024</v>
      </c>
      <c r="AQ80" s="3555">
        <f t="shared" si="37"/>
        <v>1.1576249999999999</v>
      </c>
      <c r="AR80" s="333"/>
      <c r="AS80" s="330"/>
      <c r="AT80" s="330"/>
      <c r="AU80" s="849"/>
      <c r="AV80" s="849"/>
      <c r="AW80" s="3156">
        <f t="shared" si="36"/>
        <v>5881</v>
      </c>
      <c r="AX80" s="3140"/>
    </row>
    <row r="81" spans="1:50" ht="51">
      <c r="A81" s="2418" t="s">
        <v>11006</v>
      </c>
      <c r="B81" s="338" t="s">
        <v>7613</v>
      </c>
      <c r="C81" s="321">
        <v>0</v>
      </c>
      <c r="D81" s="323">
        <v>44134</v>
      </c>
      <c r="E81" s="3058" t="s">
        <v>8170</v>
      </c>
      <c r="F81" s="324" t="s">
        <v>7957</v>
      </c>
      <c r="G81" s="2621">
        <v>1.0795220000000001</v>
      </c>
      <c r="H81" s="332" t="s">
        <v>8227</v>
      </c>
      <c r="I81" s="339" t="s">
        <v>1433</v>
      </c>
      <c r="J81" s="322" t="s">
        <v>1434</v>
      </c>
      <c r="K81" s="340">
        <v>46324</v>
      </c>
      <c r="L81" s="339" t="s">
        <v>8228</v>
      </c>
      <c r="M81" s="322" t="s">
        <v>8238</v>
      </c>
      <c r="N81" s="339" t="s">
        <v>8229</v>
      </c>
      <c r="O81" s="332" t="s">
        <v>8230</v>
      </c>
      <c r="P81" s="345"/>
      <c r="Q81" s="322" t="s">
        <v>8231</v>
      </c>
      <c r="R81" s="322" t="s">
        <v>8232</v>
      </c>
      <c r="S81" s="346"/>
      <c r="T81" s="347"/>
      <c r="U81" s="326"/>
      <c r="V81" s="348"/>
      <c r="W81" s="347"/>
      <c r="X81" s="326"/>
      <c r="Y81" s="348"/>
      <c r="Z81" s="347"/>
      <c r="AA81" s="326"/>
      <c r="AB81" s="348"/>
      <c r="AC81" s="820"/>
      <c r="AD81" s="821"/>
      <c r="AE81" s="822"/>
      <c r="AF81" s="820"/>
      <c r="AG81" s="821"/>
      <c r="AH81" s="822"/>
      <c r="AI81" s="482">
        <v>25908</v>
      </c>
      <c r="AJ81" s="326">
        <v>0</v>
      </c>
      <c r="AK81" s="3917">
        <v>0</v>
      </c>
      <c r="AL81" s="349">
        <f t="shared" si="35"/>
        <v>25908</v>
      </c>
      <c r="AM81" s="2002"/>
      <c r="AN81" s="3357"/>
      <c r="AO81" s="695"/>
      <c r="AP81" s="3362" t="str">
        <f t="shared" si="37"/>
        <v>Planning Reg 2023-2024</v>
      </c>
      <c r="AQ81" s="3555">
        <f t="shared" si="37"/>
        <v>1.1576249999999999</v>
      </c>
      <c r="AR81" s="333"/>
      <c r="AS81" s="330"/>
      <c r="AT81" s="330"/>
      <c r="AU81" s="849"/>
      <c r="AV81" s="849"/>
      <c r="AW81" s="3156">
        <f t="shared" si="36"/>
        <v>27782</v>
      </c>
      <c r="AX81" s="3140"/>
    </row>
    <row r="82" spans="1:50" ht="76.5">
      <c r="A82" s="2418" t="s">
        <v>11006</v>
      </c>
      <c r="B82" s="5788" t="s">
        <v>10889</v>
      </c>
      <c r="C82" s="321">
        <v>0</v>
      </c>
      <c r="D82" s="323">
        <v>44138</v>
      </c>
      <c r="E82" s="3058" t="s">
        <v>8170</v>
      </c>
      <c r="F82" s="324" t="s">
        <v>7957</v>
      </c>
      <c r="G82" s="2621">
        <v>1.0795220000000001</v>
      </c>
      <c r="H82" s="2273" t="s">
        <v>8252</v>
      </c>
      <c r="I82" s="339" t="s">
        <v>8248</v>
      </c>
      <c r="J82" s="2399" t="s">
        <v>4306</v>
      </c>
      <c r="K82" s="340">
        <v>44794</v>
      </c>
      <c r="L82" s="339" t="s">
        <v>8245</v>
      </c>
      <c r="M82" s="322" t="s">
        <v>8246</v>
      </c>
      <c r="N82" s="5789" t="s">
        <v>8247</v>
      </c>
      <c r="O82" s="5456" t="s">
        <v>8246</v>
      </c>
      <c r="P82" s="345"/>
      <c r="Q82" s="6094" t="s">
        <v>5708</v>
      </c>
      <c r="R82" s="322" t="s">
        <v>5350</v>
      </c>
      <c r="S82" s="346"/>
      <c r="T82" s="347"/>
      <c r="U82" s="326"/>
      <c r="V82" s="348"/>
      <c r="W82" s="347"/>
      <c r="X82" s="326"/>
      <c r="Y82" s="348"/>
      <c r="Z82" s="347"/>
      <c r="AA82" s="326"/>
      <c r="AB82" s="348"/>
      <c r="AC82" s="820"/>
      <c r="AD82" s="821"/>
      <c r="AE82" s="822"/>
      <c r="AF82" s="820"/>
      <c r="AG82" s="821"/>
      <c r="AH82" s="822"/>
      <c r="AI82" s="482">
        <v>5484</v>
      </c>
      <c r="AJ82" s="326">
        <v>0</v>
      </c>
      <c r="AK82" s="3917">
        <v>0</v>
      </c>
      <c r="AL82" s="349">
        <f t="shared" si="35"/>
        <v>5484</v>
      </c>
      <c r="AM82" s="2002"/>
      <c r="AN82" s="3357"/>
      <c r="AO82" s="695"/>
      <c r="AP82" s="3362" t="str">
        <f t="shared" si="37"/>
        <v>Planning Reg 2023-2024</v>
      </c>
      <c r="AQ82" s="3555">
        <f t="shared" si="37"/>
        <v>1.1576249999999999</v>
      </c>
      <c r="AR82" s="333"/>
      <c r="AS82" s="330"/>
      <c r="AT82" s="330"/>
      <c r="AU82" s="849"/>
      <c r="AV82" s="849"/>
      <c r="AW82" s="3156">
        <f t="shared" si="36"/>
        <v>5881</v>
      </c>
      <c r="AX82" s="3140"/>
    </row>
    <row r="83" spans="1:50" ht="51">
      <c r="A83" s="2418" t="s">
        <v>11006</v>
      </c>
      <c r="B83" s="1569" t="s">
        <v>7614</v>
      </c>
      <c r="C83" s="1570">
        <v>0</v>
      </c>
      <c r="D83" s="1571">
        <v>44151</v>
      </c>
      <c r="E83" s="4221" t="s">
        <v>8170</v>
      </c>
      <c r="F83" s="1572" t="s">
        <v>7957</v>
      </c>
      <c r="G83" s="2622">
        <v>1.0795220000000001</v>
      </c>
      <c r="H83" s="1573" t="s">
        <v>8296</v>
      </c>
      <c r="I83" s="1574" t="s">
        <v>1433</v>
      </c>
      <c r="J83" s="3208" t="s">
        <v>1434</v>
      </c>
      <c r="K83" s="4222">
        <v>46336</v>
      </c>
      <c r="L83" s="1574" t="s">
        <v>8297</v>
      </c>
      <c r="M83" s="3208" t="s">
        <v>8298</v>
      </c>
      <c r="N83" s="1574" t="s">
        <v>8299</v>
      </c>
      <c r="O83" s="1573" t="s">
        <v>8300</v>
      </c>
      <c r="P83" s="4220"/>
      <c r="Q83" s="3208" t="s">
        <v>8301</v>
      </c>
      <c r="R83" s="3208" t="s">
        <v>8105</v>
      </c>
      <c r="S83" s="1577" t="s">
        <v>3476</v>
      </c>
      <c r="T83" s="4858"/>
      <c r="U83" s="1593"/>
      <c r="V83" s="4859"/>
      <c r="W83" s="4858"/>
      <c r="X83" s="1593"/>
      <c r="Y83" s="4859"/>
      <c r="Z83" s="4858"/>
      <c r="AA83" s="1593"/>
      <c r="AB83" s="4859"/>
      <c r="AC83" s="4858"/>
      <c r="AD83" s="1593"/>
      <c r="AE83" s="4859"/>
      <c r="AF83" s="4858"/>
      <c r="AG83" s="1593"/>
      <c r="AH83" s="4859"/>
      <c r="AI83" s="4860">
        <v>3667</v>
      </c>
      <c r="AJ83" s="1593">
        <v>3667</v>
      </c>
      <c r="AK83" s="4861">
        <v>0</v>
      </c>
      <c r="AL83" s="4862">
        <f t="shared" si="35"/>
        <v>0</v>
      </c>
      <c r="AM83" s="4863"/>
      <c r="AN83" s="4864"/>
      <c r="AO83" s="4865"/>
      <c r="AP83" s="4873" t="str">
        <f t="shared" si="37"/>
        <v>Planning Reg 2023-2024</v>
      </c>
      <c r="AQ83" s="4874">
        <f t="shared" si="37"/>
        <v>1.1576249999999999</v>
      </c>
      <c r="AR83" s="4866"/>
      <c r="AS83" s="4867"/>
      <c r="AT83" s="4867"/>
      <c r="AU83" s="4867"/>
      <c r="AV83" s="4867"/>
      <c r="AW83" s="4868">
        <f t="shared" si="36"/>
        <v>0</v>
      </c>
      <c r="AX83" s="3140"/>
    </row>
    <row r="84" spans="1:50" ht="76.5">
      <c r="A84" s="2418" t="s">
        <v>11006</v>
      </c>
      <c r="B84" s="5788" t="s">
        <v>12418</v>
      </c>
      <c r="C84" s="1570">
        <v>0</v>
      </c>
      <c r="D84" s="1571">
        <v>44158</v>
      </c>
      <c r="E84" s="4221" t="s">
        <v>8170</v>
      </c>
      <c r="F84" s="1572" t="s">
        <v>7957</v>
      </c>
      <c r="G84" s="2622">
        <v>1.0795220000000001</v>
      </c>
      <c r="H84" s="1573" t="s">
        <v>8332</v>
      </c>
      <c r="I84" s="1574" t="s">
        <v>8557</v>
      </c>
      <c r="J84" s="4875" t="s">
        <v>4306</v>
      </c>
      <c r="K84" s="4222">
        <v>44875</v>
      </c>
      <c r="L84" s="1574" t="s">
        <v>8333</v>
      </c>
      <c r="M84" s="3208" t="s">
        <v>8334</v>
      </c>
      <c r="N84" s="1574" t="s">
        <v>8335</v>
      </c>
      <c r="O84" s="1573" t="s">
        <v>8336</v>
      </c>
      <c r="P84" s="4220"/>
      <c r="Q84" s="3208" t="s">
        <v>8337</v>
      </c>
      <c r="R84" s="3208" t="s">
        <v>8105</v>
      </c>
      <c r="S84" s="1577" t="s">
        <v>3476</v>
      </c>
      <c r="T84" s="4858"/>
      <c r="U84" s="1593"/>
      <c r="V84" s="4859"/>
      <c r="W84" s="4858"/>
      <c r="X84" s="1593"/>
      <c r="Y84" s="4859"/>
      <c r="Z84" s="4858"/>
      <c r="AA84" s="1593"/>
      <c r="AB84" s="4859"/>
      <c r="AC84" s="4858"/>
      <c r="AD84" s="1593"/>
      <c r="AE84" s="4859"/>
      <c r="AF84" s="4858"/>
      <c r="AG84" s="1593"/>
      <c r="AH84" s="4859"/>
      <c r="AI84" s="4860">
        <v>359</v>
      </c>
      <c r="AJ84" s="1593">
        <v>359</v>
      </c>
      <c r="AK84" s="4861">
        <v>0</v>
      </c>
      <c r="AL84" s="4862">
        <f t="shared" si="35"/>
        <v>0</v>
      </c>
      <c r="AM84" s="4863"/>
      <c r="AN84" s="4864"/>
      <c r="AO84" s="4865"/>
      <c r="AP84" s="4873" t="str">
        <f t="shared" si="37"/>
        <v>Planning Reg 2023-2024</v>
      </c>
      <c r="AQ84" s="4874">
        <f t="shared" si="37"/>
        <v>1.1576249999999999</v>
      </c>
      <c r="AR84" s="4866"/>
      <c r="AS84" s="4867"/>
      <c r="AT84" s="4867"/>
      <c r="AU84" s="4867"/>
      <c r="AV84" s="4867"/>
      <c r="AW84" s="4868">
        <f t="shared" si="36"/>
        <v>0</v>
      </c>
      <c r="AX84" s="3140"/>
    </row>
    <row r="85" spans="1:50" ht="51">
      <c r="A85" s="2418" t="s">
        <v>11006</v>
      </c>
      <c r="B85" s="338" t="s">
        <v>8385</v>
      </c>
      <c r="C85" s="321">
        <v>0</v>
      </c>
      <c r="D85" s="323">
        <v>44173</v>
      </c>
      <c r="E85" s="3058" t="s">
        <v>8170</v>
      </c>
      <c r="F85" s="324" t="s">
        <v>7957</v>
      </c>
      <c r="G85" s="2621">
        <v>1.0795220000000001</v>
      </c>
      <c r="H85" s="332" t="s">
        <v>8386</v>
      </c>
      <c r="I85" s="339" t="s">
        <v>1433</v>
      </c>
      <c r="J85" s="322" t="s">
        <v>1434</v>
      </c>
      <c r="K85" s="340">
        <v>45634</v>
      </c>
      <c r="L85" s="339" t="s">
        <v>8387</v>
      </c>
      <c r="M85" s="322" t="s">
        <v>6628</v>
      </c>
      <c r="N85" s="339" t="s">
        <v>8388</v>
      </c>
      <c r="O85" s="332" t="s">
        <v>8389</v>
      </c>
      <c r="P85" s="345"/>
      <c r="Q85" s="322" t="s">
        <v>8391</v>
      </c>
      <c r="R85" s="322" t="s">
        <v>8390</v>
      </c>
      <c r="S85" s="346"/>
      <c r="T85" s="347"/>
      <c r="U85" s="326"/>
      <c r="V85" s="348"/>
      <c r="W85" s="347"/>
      <c r="X85" s="326"/>
      <c r="Y85" s="348"/>
      <c r="Z85" s="347"/>
      <c r="AA85" s="326"/>
      <c r="AB85" s="348"/>
      <c r="AC85" s="820"/>
      <c r="AD85" s="821"/>
      <c r="AE85" s="822"/>
      <c r="AF85" s="820"/>
      <c r="AG85" s="821"/>
      <c r="AH85" s="822"/>
      <c r="AI85" s="482">
        <v>15545</v>
      </c>
      <c r="AJ85" s="326">
        <v>0</v>
      </c>
      <c r="AK85" s="3917">
        <v>0</v>
      </c>
      <c r="AL85" s="349">
        <f t="shared" si="35"/>
        <v>15545</v>
      </c>
      <c r="AM85" s="2002"/>
      <c r="AN85" s="3357"/>
      <c r="AO85" s="695"/>
      <c r="AP85" s="3362" t="str">
        <f t="shared" si="37"/>
        <v>Planning Reg 2023-2024</v>
      </c>
      <c r="AQ85" s="3555">
        <f t="shared" si="37"/>
        <v>1.1576249999999999</v>
      </c>
      <c r="AR85" s="333"/>
      <c r="AS85" s="330"/>
      <c r="AT85" s="330"/>
      <c r="AU85" s="849"/>
      <c r="AV85" s="849"/>
      <c r="AW85" s="3156">
        <f t="shared" si="36"/>
        <v>16670</v>
      </c>
      <c r="AX85" s="3140"/>
    </row>
    <row r="86" spans="1:50" ht="76.5">
      <c r="A86" s="2418" t="s">
        <v>11006</v>
      </c>
      <c r="B86" s="338" t="s">
        <v>12436</v>
      </c>
      <c r="C86" s="321">
        <v>0</v>
      </c>
      <c r="D86" s="323">
        <v>44173</v>
      </c>
      <c r="E86" s="3058" t="s">
        <v>8170</v>
      </c>
      <c r="F86" s="324" t="s">
        <v>7957</v>
      </c>
      <c r="G86" s="2621">
        <v>1.0795220000000001</v>
      </c>
      <c r="H86" s="332" t="s">
        <v>8379</v>
      </c>
      <c r="I86" s="2398" t="s">
        <v>5127</v>
      </c>
      <c r="J86" s="2399" t="s">
        <v>4306</v>
      </c>
      <c r="K86" s="340">
        <v>44903</v>
      </c>
      <c r="L86" s="339" t="s">
        <v>8380</v>
      </c>
      <c r="M86" s="322" t="s">
        <v>8381</v>
      </c>
      <c r="N86" s="339" t="s">
        <v>8382</v>
      </c>
      <c r="O86" s="332" t="s">
        <v>8383</v>
      </c>
      <c r="P86" s="345" t="s">
        <v>8384</v>
      </c>
      <c r="Q86" s="322" t="s">
        <v>8813</v>
      </c>
      <c r="R86" s="322" t="s">
        <v>7371</v>
      </c>
      <c r="S86" s="346"/>
      <c r="T86" s="347"/>
      <c r="U86" s="326"/>
      <c r="V86" s="348"/>
      <c r="W86" s="347"/>
      <c r="X86" s="326"/>
      <c r="Y86" s="348"/>
      <c r="Z86" s="347"/>
      <c r="AA86" s="326"/>
      <c r="AB86" s="348"/>
      <c r="AC86" s="820"/>
      <c r="AD86" s="821"/>
      <c r="AE86" s="822"/>
      <c r="AF86" s="820"/>
      <c r="AG86" s="821"/>
      <c r="AH86" s="822"/>
      <c r="AI86" s="482">
        <v>2764</v>
      </c>
      <c r="AJ86" s="326">
        <v>0</v>
      </c>
      <c r="AK86" s="3917">
        <v>0</v>
      </c>
      <c r="AL86" s="349">
        <f t="shared" si="35"/>
        <v>2764</v>
      </c>
      <c r="AM86" s="2002"/>
      <c r="AN86" s="3357"/>
      <c r="AO86" s="695"/>
      <c r="AP86" s="3362" t="str">
        <f t="shared" si="37"/>
        <v>Planning Reg 2023-2024</v>
      </c>
      <c r="AQ86" s="3555">
        <f t="shared" si="37"/>
        <v>1.1576249999999999</v>
      </c>
      <c r="AR86" s="333"/>
      <c r="AS86" s="330"/>
      <c r="AT86" s="330"/>
      <c r="AU86" s="849"/>
      <c r="AV86" s="849"/>
      <c r="AW86" s="3156">
        <f t="shared" si="36"/>
        <v>2964</v>
      </c>
      <c r="AX86" s="3140"/>
    </row>
    <row r="87" spans="1:50" ht="51">
      <c r="A87" s="2418" t="s">
        <v>11006</v>
      </c>
      <c r="B87" s="338" t="s">
        <v>7618</v>
      </c>
      <c r="C87" s="321">
        <v>0</v>
      </c>
      <c r="D87" s="323">
        <v>44187</v>
      </c>
      <c r="E87" s="3058" t="s">
        <v>8170</v>
      </c>
      <c r="F87" s="324" t="s">
        <v>7957</v>
      </c>
      <c r="G87" s="2621">
        <v>1.0795220000000001</v>
      </c>
      <c r="H87" s="332" t="s">
        <v>8423</v>
      </c>
      <c r="I87" s="339" t="s">
        <v>1433</v>
      </c>
      <c r="J87" s="322" t="s">
        <v>1434</v>
      </c>
      <c r="K87" s="340">
        <v>45648</v>
      </c>
      <c r="L87" s="339" t="s">
        <v>8424</v>
      </c>
      <c r="M87" s="322" t="s">
        <v>8425</v>
      </c>
      <c r="N87" s="339" t="s">
        <v>8426</v>
      </c>
      <c r="O87" s="332" t="s">
        <v>8427</v>
      </c>
      <c r="P87" s="345"/>
      <c r="Q87" s="6094" t="s">
        <v>5708</v>
      </c>
      <c r="R87" s="322" t="s">
        <v>5350</v>
      </c>
      <c r="S87" s="346"/>
      <c r="T87" s="347"/>
      <c r="U87" s="326"/>
      <c r="V87" s="348"/>
      <c r="W87" s="347"/>
      <c r="X87" s="326"/>
      <c r="Y87" s="348"/>
      <c r="Z87" s="347"/>
      <c r="AA87" s="326"/>
      <c r="AB87" s="348"/>
      <c r="AC87" s="820"/>
      <c r="AD87" s="821"/>
      <c r="AE87" s="822"/>
      <c r="AF87" s="820"/>
      <c r="AG87" s="821"/>
      <c r="AH87" s="822"/>
      <c r="AI87" s="482">
        <v>5484</v>
      </c>
      <c r="AJ87" s="326">
        <v>0</v>
      </c>
      <c r="AK87" s="3917">
        <v>0</v>
      </c>
      <c r="AL87" s="349">
        <f t="shared" si="35"/>
        <v>5484</v>
      </c>
      <c r="AM87" s="2002"/>
      <c r="AN87" s="3357"/>
      <c r="AO87" s="695"/>
      <c r="AP87" s="3362" t="str">
        <f t="shared" si="37"/>
        <v>Planning Reg 2023-2024</v>
      </c>
      <c r="AQ87" s="3555">
        <f t="shared" si="37"/>
        <v>1.1576249999999999</v>
      </c>
      <c r="AR87" s="333"/>
      <c r="AS87" s="330"/>
      <c r="AT87" s="330"/>
      <c r="AU87" s="849"/>
      <c r="AV87" s="849"/>
      <c r="AW87" s="3156">
        <f t="shared" si="36"/>
        <v>5881</v>
      </c>
      <c r="AX87" s="3140"/>
    </row>
    <row r="88" spans="1:50" ht="114.75">
      <c r="A88" s="2418" t="s">
        <v>11006</v>
      </c>
      <c r="B88" s="338" t="s">
        <v>7619</v>
      </c>
      <c r="C88" s="321">
        <v>0</v>
      </c>
      <c r="D88" s="323">
        <v>44187</v>
      </c>
      <c r="E88" s="3058" t="s">
        <v>8170</v>
      </c>
      <c r="F88" s="324" t="s">
        <v>7957</v>
      </c>
      <c r="G88" s="2621">
        <v>1.0795220000000001</v>
      </c>
      <c r="H88" s="332" t="s">
        <v>8428</v>
      </c>
      <c r="I88" s="339" t="s">
        <v>1433</v>
      </c>
      <c r="J88" s="322" t="s">
        <v>1434</v>
      </c>
      <c r="K88" s="340">
        <v>45648</v>
      </c>
      <c r="L88" s="339" t="s">
        <v>8429</v>
      </c>
      <c r="M88" s="322" t="s">
        <v>8430</v>
      </c>
      <c r="N88" s="339" t="s">
        <v>8431</v>
      </c>
      <c r="O88" s="332" t="s">
        <v>8432</v>
      </c>
      <c r="P88" s="345"/>
      <c r="Q88" s="322" t="s">
        <v>8444</v>
      </c>
      <c r="R88" s="322" t="s">
        <v>8433</v>
      </c>
      <c r="S88" s="346"/>
      <c r="T88" s="347"/>
      <c r="U88" s="326"/>
      <c r="V88" s="348"/>
      <c r="W88" s="347"/>
      <c r="X88" s="326"/>
      <c r="Y88" s="348"/>
      <c r="Z88" s="347"/>
      <c r="AA88" s="326"/>
      <c r="AB88" s="348"/>
      <c r="AC88" s="820"/>
      <c r="AD88" s="821"/>
      <c r="AE88" s="822"/>
      <c r="AF88" s="820"/>
      <c r="AG88" s="821"/>
      <c r="AH88" s="822"/>
      <c r="AI88" s="482">
        <v>107075</v>
      </c>
      <c r="AJ88" s="326">
        <v>0</v>
      </c>
      <c r="AK88" s="3917">
        <v>0</v>
      </c>
      <c r="AL88" s="349">
        <f t="shared" si="35"/>
        <v>107075</v>
      </c>
      <c r="AM88" s="2002"/>
      <c r="AN88" s="3357"/>
      <c r="AO88" s="695"/>
      <c r="AP88" s="3362" t="str">
        <f t="shared" si="37"/>
        <v>Planning Reg 2023-2024</v>
      </c>
      <c r="AQ88" s="3555">
        <f t="shared" si="37"/>
        <v>1.1576249999999999</v>
      </c>
      <c r="AR88" s="333"/>
      <c r="AS88" s="330"/>
      <c r="AT88" s="330"/>
      <c r="AU88" s="849"/>
      <c r="AV88" s="849"/>
      <c r="AW88" s="3156">
        <f t="shared" si="36"/>
        <v>114822</v>
      </c>
      <c r="AX88" s="3140"/>
    </row>
    <row r="89" spans="1:50" ht="51">
      <c r="A89" s="6192"/>
      <c r="B89" s="6193" t="s">
        <v>11593</v>
      </c>
      <c r="C89" s="321">
        <v>0</v>
      </c>
      <c r="D89" s="6194">
        <v>44235</v>
      </c>
      <c r="E89" s="6195" t="s">
        <v>8170</v>
      </c>
      <c r="F89" s="6196" t="s">
        <v>7957</v>
      </c>
      <c r="G89" s="6197">
        <v>1.0795220000000001</v>
      </c>
      <c r="H89" s="332" t="s">
        <v>11594</v>
      </c>
      <c r="I89" s="339" t="s">
        <v>1433</v>
      </c>
      <c r="J89" s="322" t="s">
        <v>1434</v>
      </c>
      <c r="K89" s="340">
        <v>46420</v>
      </c>
      <c r="L89" s="6198" t="s">
        <v>11595</v>
      </c>
      <c r="M89" s="6199" t="s">
        <v>1957</v>
      </c>
      <c r="N89" s="6198" t="s">
        <v>11597</v>
      </c>
      <c r="O89" s="5943" t="s">
        <v>11596</v>
      </c>
      <c r="P89" s="6200"/>
      <c r="Q89" s="6199" t="s">
        <v>11599</v>
      </c>
      <c r="R89" s="6199" t="s">
        <v>11598</v>
      </c>
      <c r="S89" s="6201"/>
      <c r="T89" s="6202"/>
      <c r="U89" s="6203"/>
      <c r="V89" s="6204"/>
      <c r="W89" s="6202"/>
      <c r="X89" s="6203"/>
      <c r="Y89" s="6204"/>
      <c r="Z89" s="6202"/>
      <c r="AA89" s="6203"/>
      <c r="AB89" s="6204"/>
      <c r="AC89" s="6205"/>
      <c r="AD89" s="6206"/>
      <c r="AE89" s="6207"/>
      <c r="AF89" s="6205"/>
      <c r="AG89" s="6206"/>
      <c r="AH89" s="6207"/>
      <c r="AI89" s="6208">
        <v>10363</v>
      </c>
      <c r="AJ89" s="326">
        <v>0</v>
      </c>
      <c r="AK89" s="3917">
        <v>0</v>
      </c>
      <c r="AL89" s="349">
        <f t="shared" si="35"/>
        <v>10363</v>
      </c>
      <c r="AM89" s="6209"/>
      <c r="AN89" s="6210"/>
      <c r="AO89" s="6211"/>
      <c r="AP89" s="3362" t="str">
        <f t="shared" si="37"/>
        <v>Planning Reg 2023-2024</v>
      </c>
      <c r="AQ89" s="3555">
        <f t="shared" si="37"/>
        <v>1.1576249999999999</v>
      </c>
      <c r="AR89" s="333"/>
      <c r="AS89" s="330"/>
      <c r="AT89" s="330"/>
      <c r="AU89" s="849"/>
      <c r="AV89" s="849"/>
      <c r="AW89" s="3156">
        <f t="shared" si="36"/>
        <v>11113</v>
      </c>
      <c r="AX89" s="5709"/>
    </row>
    <row r="90" spans="1:50" ht="51">
      <c r="A90" s="2418" t="s">
        <v>11006</v>
      </c>
      <c r="B90" s="338" t="s">
        <v>11007</v>
      </c>
      <c r="C90" s="321">
        <v>0</v>
      </c>
      <c r="D90" s="323">
        <v>44299</v>
      </c>
      <c r="E90" s="3058" t="s">
        <v>8170</v>
      </c>
      <c r="F90" s="324" t="s">
        <v>7957</v>
      </c>
      <c r="G90" s="2621">
        <v>1.0795220000000001</v>
      </c>
      <c r="H90" s="332" t="s">
        <v>8716</v>
      </c>
      <c r="I90" s="339" t="s">
        <v>5753</v>
      </c>
      <c r="J90" s="322" t="s">
        <v>2712</v>
      </c>
      <c r="K90" s="340">
        <v>45761</v>
      </c>
      <c r="L90" s="339" t="s">
        <v>8717</v>
      </c>
      <c r="M90" s="322" t="s">
        <v>8718</v>
      </c>
      <c r="N90" s="339" t="s">
        <v>8720</v>
      </c>
      <c r="O90" s="332" t="s">
        <v>8719</v>
      </c>
      <c r="P90" s="345"/>
      <c r="Q90" s="322" t="s">
        <v>4127</v>
      </c>
      <c r="R90" s="322" t="s">
        <v>8721</v>
      </c>
      <c r="S90" s="346"/>
      <c r="T90" s="347"/>
      <c r="U90" s="326"/>
      <c r="V90" s="348"/>
      <c r="W90" s="347"/>
      <c r="X90" s="326"/>
      <c r="Y90" s="348"/>
      <c r="Z90" s="347"/>
      <c r="AA90" s="326"/>
      <c r="AB90" s="348"/>
      <c r="AC90" s="820"/>
      <c r="AD90" s="821"/>
      <c r="AE90" s="822"/>
      <c r="AF90" s="820"/>
      <c r="AG90" s="821"/>
      <c r="AH90" s="822"/>
      <c r="AI90" s="482">
        <v>18136</v>
      </c>
      <c r="AJ90" s="326">
        <v>0</v>
      </c>
      <c r="AK90" s="3917">
        <v>0</v>
      </c>
      <c r="AL90" s="349">
        <f t="shared" si="35"/>
        <v>18136</v>
      </c>
      <c r="AM90" s="2002"/>
      <c r="AN90" s="3357"/>
      <c r="AO90" s="695"/>
      <c r="AP90" s="3362" t="str">
        <f t="shared" si="37"/>
        <v>Planning Reg 2023-2024</v>
      </c>
      <c r="AQ90" s="3555">
        <f t="shared" si="37"/>
        <v>1.1576249999999999</v>
      </c>
      <c r="AR90" s="333"/>
      <c r="AS90" s="330"/>
      <c r="AT90" s="330"/>
      <c r="AU90" s="849"/>
      <c r="AV90" s="849"/>
      <c r="AW90" s="3156">
        <f t="shared" si="36"/>
        <v>19448</v>
      </c>
      <c r="AX90" s="3140"/>
    </row>
    <row r="91" spans="1:50" ht="51">
      <c r="A91" s="2418" t="s">
        <v>11006</v>
      </c>
      <c r="B91" s="1569" t="s">
        <v>8286</v>
      </c>
      <c r="C91" s="1570">
        <v>0</v>
      </c>
      <c r="D91" s="1571">
        <v>44306</v>
      </c>
      <c r="E91" s="4221" t="s">
        <v>8170</v>
      </c>
      <c r="F91" s="1572" t="s">
        <v>7957</v>
      </c>
      <c r="G91" s="2622">
        <v>1.0795220000000001</v>
      </c>
      <c r="H91" s="1573" t="s">
        <v>8731</v>
      </c>
      <c r="I91" s="1574" t="s">
        <v>1433</v>
      </c>
      <c r="J91" s="3208" t="s">
        <v>1434</v>
      </c>
      <c r="K91" s="4222">
        <v>46492</v>
      </c>
      <c r="L91" s="1574" t="s">
        <v>8732</v>
      </c>
      <c r="M91" s="3208" t="s">
        <v>5165</v>
      </c>
      <c r="N91" s="1574" t="s">
        <v>8733</v>
      </c>
      <c r="O91" s="1573" t="s">
        <v>8734</v>
      </c>
      <c r="P91" s="4220"/>
      <c r="Q91" s="3208" t="s">
        <v>8736</v>
      </c>
      <c r="R91" s="3208" t="s">
        <v>8735</v>
      </c>
      <c r="S91" s="1577" t="s">
        <v>3476</v>
      </c>
      <c r="T91" s="4858"/>
      <c r="U91" s="1593"/>
      <c r="V91" s="4859"/>
      <c r="W91" s="4858"/>
      <c r="X91" s="1593"/>
      <c r="Y91" s="4859"/>
      <c r="Z91" s="4858"/>
      <c r="AA91" s="1593"/>
      <c r="AB91" s="4859"/>
      <c r="AC91" s="4858"/>
      <c r="AD91" s="1593"/>
      <c r="AE91" s="4859"/>
      <c r="AF91" s="4858"/>
      <c r="AG91" s="1593"/>
      <c r="AH91" s="4859"/>
      <c r="AI91" s="4860">
        <v>101495</v>
      </c>
      <c r="AJ91" s="1593">
        <v>101495</v>
      </c>
      <c r="AK91" s="4861">
        <v>0</v>
      </c>
      <c r="AL91" s="4862">
        <f t="shared" si="35"/>
        <v>0</v>
      </c>
      <c r="AM91" s="4863"/>
      <c r="AN91" s="4864"/>
      <c r="AO91" s="4865"/>
      <c r="AP91" s="4873" t="str">
        <f t="shared" si="37"/>
        <v>Planning Reg 2023-2024</v>
      </c>
      <c r="AQ91" s="4874">
        <f t="shared" si="37"/>
        <v>1.1576249999999999</v>
      </c>
      <c r="AR91" s="4866"/>
      <c r="AS91" s="4867"/>
      <c r="AT91" s="4867"/>
      <c r="AU91" s="4867"/>
      <c r="AV91" s="4867"/>
      <c r="AW91" s="4868">
        <f t="shared" si="36"/>
        <v>0</v>
      </c>
      <c r="AX91" s="3140"/>
    </row>
    <row r="92" spans="1:50" ht="89.25">
      <c r="A92" s="2418" t="s">
        <v>11006</v>
      </c>
      <c r="B92" s="338" t="s">
        <v>12471</v>
      </c>
      <c r="C92" s="321">
        <v>0</v>
      </c>
      <c r="D92" s="323">
        <v>44327</v>
      </c>
      <c r="E92" s="3058" t="s">
        <v>8170</v>
      </c>
      <c r="F92" s="324" t="s">
        <v>7957</v>
      </c>
      <c r="G92" s="2621">
        <v>1.0795220000000001</v>
      </c>
      <c r="H92" s="2273" t="s">
        <v>9111</v>
      </c>
      <c r="I92" s="339" t="s">
        <v>8780</v>
      </c>
      <c r="J92" s="2399" t="s">
        <v>4306</v>
      </c>
      <c r="K92" s="340">
        <v>45057</v>
      </c>
      <c r="L92" s="339" t="s">
        <v>8781</v>
      </c>
      <c r="M92" s="322" t="s">
        <v>8782</v>
      </c>
      <c r="N92" s="339" t="s">
        <v>8783</v>
      </c>
      <c r="O92" s="322" t="s">
        <v>8782</v>
      </c>
      <c r="P92" s="345"/>
      <c r="Q92" s="6094" t="s">
        <v>5708</v>
      </c>
      <c r="R92" s="322" t="s">
        <v>5350</v>
      </c>
      <c r="S92" s="346"/>
      <c r="T92" s="347"/>
      <c r="U92" s="326"/>
      <c r="V92" s="348"/>
      <c r="W92" s="347"/>
      <c r="X92" s="326"/>
      <c r="Y92" s="348"/>
      <c r="Z92" s="347"/>
      <c r="AA92" s="326"/>
      <c r="AB92" s="348"/>
      <c r="AC92" s="820"/>
      <c r="AD92" s="821"/>
      <c r="AE92" s="822"/>
      <c r="AF92" s="820"/>
      <c r="AG92" s="821"/>
      <c r="AH92" s="822"/>
      <c r="AI92" s="482">
        <v>6437</v>
      </c>
      <c r="AJ92" s="326">
        <v>0</v>
      </c>
      <c r="AK92" s="3917">
        <v>0</v>
      </c>
      <c r="AL92" s="349">
        <f t="shared" si="35"/>
        <v>6437</v>
      </c>
      <c r="AM92" s="2002"/>
      <c r="AN92" s="3357"/>
      <c r="AO92" s="695"/>
      <c r="AP92" s="3362" t="str">
        <f t="shared" si="37"/>
        <v>Planning Reg 2023-2024</v>
      </c>
      <c r="AQ92" s="3555">
        <f t="shared" si="37"/>
        <v>1.1576249999999999</v>
      </c>
      <c r="AR92" s="333"/>
      <c r="AS92" s="330"/>
      <c r="AT92" s="330"/>
      <c r="AU92" s="849"/>
      <c r="AV92" s="849"/>
      <c r="AW92" s="3156">
        <f t="shared" si="36"/>
        <v>6903</v>
      </c>
      <c r="AX92" s="3140"/>
    </row>
    <row r="93" spans="1:50" ht="76.5">
      <c r="A93" s="2418" t="s">
        <v>11006</v>
      </c>
      <c r="B93" s="3259" t="s">
        <v>11009</v>
      </c>
      <c r="C93" s="321">
        <v>0</v>
      </c>
      <c r="D93" s="323">
        <v>44348</v>
      </c>
      <c r="E93" s="3058" t="s">
        <v>8170</v>
      </c>
      <c r="F93" s="324" t="s">
        <v>7957</v>
      </c>
      <c r="G93" s="2621">
        <v>1.0795220000000001</v>
      </c>
      <c r="H93" s="332" t="s">
        <v>8867</v>
      </c>
      <c r="I93" s="339" t="s">
        <v>8866</v>
      </c>
      <c r="J93" s="2399" t="s">
        <v>4306</v>
      </c>
      <c r="K93" s="340">
        <v>45078</v>
      </c>
      <c r="L93" s="339" t="s">
        <v>8868</v>
      </c>
      <c r="M93" s="322" t="s">
        <v>8869</v>
      </c>
      <c r="N93" s="339" t="s">
        <v>8870</v>
      </c>
      <c r="O93" s="322" t="s">
        <v>8869</v>
      </c>
      <c r="P93" s="667" t="s">
        <v>11010</v>
      </c>
      <c r="Q93" s="6094" t="s">
        <v>5708</v>
      </c>
      <c r="R93" s="322" t="s">
        <v>5350</v>
      </c>
      <c r="S93" s="346"/>
      <c r="T93" s="347"/>
      <c r="U93" s="326"/>
      <c r="V93" s="348"/>
      <c r="W93" s="347"/>
      <c r="X93" s="326"/>
      <c r="Y93" s="348"/>
      <c r="Z93" s="347"/>
      <c r="AA93" s="326"/>
      <c r="AB93" s="348"/>
      <c r="AC93" s="347"/>
      <c r="AD93" s="326"/>
      <c r="AE93" s="348"/>
      <c r="AF93" s="347"/>
      <c r="AG93" s="326"/>
      <c r="AH93" s="348"/>
      <c r="AI93" s="482">
        <v>2742</v>
      </c>
      <c r="AJ93" s="326">
        <v>0</v>
      </c>
      <c r="AK93" s="3917">
        <v>0</v>
      </c>
      <c r="AL93" s="349">
        <f t="shared" si="35"/>
        <v>2742</v>
      </c>
      <c r="AM93" s="2002"/>
      <c r="AN93" s="3357"/>
      <c r="AO93" s="695"/>
      <c r="AP93" s="3696" t="s">
        <v>7957</v>
      </c>
      <c r="AQ93" s="3697">
        <v>1.0795220000000001</v>
      </c>
      <c r="AR93" s="333"/>
      <c r="AS93" s="330"/>
      <c r="AT93" s="330"/>
      <c r="AU93" s="330"/>
      <c r="AV93" s="330"/>
      <c r="AW93" s="3156">
        <f t="shared" si="36"/>
        <v>2742</v>
      </c>
      <c r="AX93" s="3140"/>
    </row>
    <row r="94" spans="1:50" ht="76.5">
      <c r="A94" s="2418" t="s">
        <v>11006</v>
      </c>
      <c r="B94" s="338" t="s">
        <v>8290</v>
      </c>
      <c r="C94" s="321">
        <v>0</v>
      </c>
      <c r="D94" s="323">
        <v>44356</v>
      </c>
      <c r="E94" s="3058" t="s">
        <v>8170</v>
      </c>
      <c r="F94" s="324" t="s">
        <v>7957</v>
      </c>
      <c r="G94" s="2621">
        <v>1.0795220000000001</v>
      </c>
      <c r="H94" s="2273" t="s">
        <v>9109</v>
      </c>
      <c r="I94" s="339" t="s">
        <v>8880</v>
      </c>
      <c r="J94" s="2399" t="s">
        <v>4306</v>
      </c>
      <c r="K94" s="340">
        <v>45086</v>
      </c>
      <c r="L94" s="339" t="s">
        <v>8882</v>
      </c>
      <c r="M94" s="322" t="s">
        <v>8884</v>
      </c>
      <c r="N94" s="339" t="s">
        <v>8886</v>
      </c>
      <c r="O94" s="332" t="s">
        <v>8887</v>
      </c>
      <c r="P94" s="345"/>
      <c r="Q94" s="6094" t="s">
        <v>5708</v>
      </c>
      <c r="R94" s="322" t="s">
        <v>5350</v>
      </c>
      <c r="S94" s="346"/>
      <c r="T94" s="347"/>
      <c r="U94" s="326"/>
      <c r="V94" s="348"/>
      <c r="W94" s="347"/>
      <c r="X94" s="326"/>
      <c r="Y94" s="348"/>
      <c r="Z94" s="347"/>
      <c r="AA94" s="326"/>
      <c r="AB94" s="348"/>
      <c r="AC94" s="820"/>
      <c r="AD94" s="821"/>
      <c r="AE94" s="822"/>
      <c r="AF94" s="820"/>
      <c r="AG94" s="821"/>
      <c r="AH94" s="822"/>
      <c r="AI94" s="482">
        <v>6437</v>
      </c>
      <c r="AJ94" s="326">
        <v>0</v>
      </c>
      <c r="AK94" s="3917">
        <v>0</v>
      </c>
      <c r="AL94" s="349">
        <f t="shared" si="35"/>
        <v>6437</v>
      </c>
      <c r="AM94" s="2002"/>
      <c r="AN94" s="3357"/>
      <c r="AO94" s="695"/>
      <c r="AP94" s="3362" t="str">
        <f t="shared" ref="AP94:AQ102" si="38">AP$2</f>
        <v>Planning Reg 2023-2024</v>
      </c>
      <c r="AQ94" s="3555">
        <f t="shared" si="38"/>
        <v>1.1576249999999999</v>
      </c>
      <c r="AR94" s="333"/>
      <c r="AS94" s="330"/>
      <c r="AT94" s="330"/>
      <c r="AU94" s="849"/>
      <c r="AV94" s="849"/>
      <c r="AW94" s="3156">
        <f t="shared" si="36"/>
        <v>6903</v>
      </c>
      <c r="AX94" s="3140"/>
    </row>
    <row r="95" spans="1:50" ht="76.5">
      <c r="A95" s="2418" t="s">
        <v>11006</v>
      </c>
      <c r="B95" s="338" t="s">
        <v>11011</v>
      </c>
      <c r="C95" s="321">
        <v>0</v>
      </c>
      <c r="D95" s="323">
        <v>44365</v>
      </c>
      <c r="E95" s="3058" t="s">
        <v>8170</v>
      </c>
      <c r="F95" s="324" t="s">
        <v>7957</v>
      </c>
      <c r="G95" s="2621">
        <v>1.0795220000000001</v>
      </c>
      <c r="H95" s="332" t="s">
        <v>10473</v>
      </c>
      <c r="I95" s="339" t="s">
        <v>1433</v>
      </c>
      <c r="J95" s="322" t="s">
        <v>1434</v>
      </c>
      <c r="K95" s="340">
        <v>46549</v>
      </c>
      <c r="L95" s="339" t="s">
        <v>8922</v>
      </c>
      <c r="M95" s="322" t="s">
        <v>8334</v>
      </c>
      <c r="N95" s="339" t="s">
        <v>8924</v>
      </c>
      <c r="O95" s="332" t="s">
        <v>8923</v>
      </c>
      <c r="P95" s="345"/>
      <c r="Q95" s="6094" t="s">
        <v>8926</v>
      </c>
      <c r="R95" s="322" t="s">
        <v>8925</v>
      </c>
      <c r="S95" s="346"/>
      <c r="T95" s="347"/>
      <c r="U95" s="326"/>
      <c r="V95" s="348"/>
      <c r="W95" s="347"/>
      <c r="X95" s="326"/>
      <c r="Y95" s="348"/>
      <c r="Z95" s="347"/>
      <c r="AA95" s="326"/>
      <c r="AB95" s="348"/>
      <c r="AC95" s="820"/>
      <c r="AD95" s="821"/>
      <c r="AE95" s="822"/>
      <c r="AF95" s="820"/>
      <c r="AG95" s="821"/>
      <c r="AH95" s="822"/>
      <c r="AI95" s="482">
        <v>5484</v>
      </c>
      <c r="AJ95" s="326">
        <v>0</v>
      </c>
      <c r="AK95" s="3917">
        <v>0</v>
      </c>
      <c r="AL95" s="349">
        <f t="shared" si="35"/>
        <v>5484</v>
      </c>
      <c r="AM95" s="2002"/>
      <c r="AN95" s="3357"/>
      <c r="AO95" s="695"/>
      <c r="AP95" s="3362" t="str">
        <f t="shared" si="38"/>
        <v>Planning Reg 2023-2024</v>
      </c>
      <c r="AQ95" s="3555">
        <f t="shared" si="38"/>
        <v>1.1576249999999999</v>
      </c>
      <c r="AR95" s="333"/>
      <c r="AS95" s="330"/>
      <c r="AT95" s="330"/>
      <c r="AU95" s="849"/>
      <c r="AV95" s="849"/>
      <c r="AW95" s="3156">
        <f t="shared" si="36"/>
        <v>5881</v>
      </c>
      <c r="AX95" s="3140"/>
    </row>
    <row r="96" spans="1:50" ht="89.25">
      <c r="A96" s="2418" t="s">
        <v>11006</v>
      </c>
      <c r="B96" s="338" t="s">
        <v>12470</v>
      </c>
      <c r="C96" s="321">
        <v>0</v>
      </c>
      <c r="D96" s="323">
        <v>44375</v>
      </c>
      <c r="E96" s="3058" t="s">
        <v>8170</v>
      </c>
      <c r="F96" s="324" t="s">
        <v>7957</v>
      </c>
      <c r="G96" s="2621">
        <v>1.0795220000000001</v>
      </c>
      <c r="H96" s="332" t="s">
        <v>8969</v>
      </c>
      <c r="I96" s="339" t="s">
        <v>1433</v>
      </c>
      <c r="J96" s="322" t="s">
        <v>1434</v>
      </c>
      <c r="K96" s="340">
        <v>46564</v>
      </c>
      <c r="L96" s="339" t="s">
        <v>8966</v>
      </c>
      <c r="M96" s="322" t="s">
        <v>8836</v>
      </c>
      <c r="N96" s="339" t="s">
        <v>8967</v>
      </c>
      <c r="O96" s="332" t="s">
        <v>8968</v>
      </c>
      <c r="P96" s="345"/>
      <c r="Q96" s="322" t="s">
        <v>8970</v>
      </c>
      <c r="R96" s="322" t="s">
        <v>8778</v>
      </c>
      <c r="S96" s="346"/>
      <c r="T96" s="347"/>
      <c r="U96" s="326"/>
      <c r="V96" s="348"/>
      <c r="W96" s="347"/>
      <c r="X96" s="326"/>
      <c r="Y96" s="348"/>
      <c r="Z96" s="347"/>
      <c r="AA96" s="326"/>
      <c r="AB96" s="348"/>
      <c r="AC96" s="347"/>
      <c r="AD96" s="326"/>
      <c r="AE96" s="348"/>
      <c r="AF96" s="347"/>
      <c r="AG96" s="326"/>
      <c r="AH96" s="348"/>
      <c r="AI96" s="482">
        <v>5484</v>
      </c>
      <c r="AJ96" s="326">
        <v>0</v>
      </c>
      <c r="AK96" s="3917">
        <v>0</v>
      </c>
      <c r="AL96" s="349">
        <f t="shared" si="35"/>
        <v>5484</v>
      </c>
      <c r="AM96" s="2002"/>
      <c r="AN96" s="3357"/>
      <c r="AO96" s="695"/>
      <c r="AP96" s="3362" t="str">
        <f t="shared" si="38"/>
        <v>Planning Reg 2023-2024</v>
      </c>
      <c r="AQ96" s="3555">
        <f t="shared" si="38"/>
        <v>1.1576249999999999</v>
      </c>
      <c r="AR96" s="333"/>
      <c r="AS96" s="330"/>
      <c r="AT96" s="330"/>
      <c r="AU96" s="330"/>
      <c r="AV96" s="330"/>
      <c r="AW96" s="3156">
        <f t="shared" si="36"/>
        <v>5881</v>
      </c>
      <c r="AX96" s="3140"/>
    </row>
    <row r="97" spans="1:50" ht="76.5">
      <c r="A97" s="5966" t="s">
        <v>11006</v>
      </c>
      <c r="B97" s="827" t="s">
        <v>10915</v>
      </c>
      <c r="C97" s="828">
        <v>0</v>
      </c>
      <c r="D97" s="829">
        <v>44392</v>
      </c>
      <c r="E97" s="831" t="s">
        <v>8170</v>
      </c>
      <c r="F97" s="830" t="s">
        <v>9005</v>
      </c>
      <c r="G97" s="5356">
        <v>1.0956269999999999</v>
      </c>
      <c r="H97" s="5359" t="s">
        <v>10892</v>
      </c>
      <c r="I97" s="339" t="s">
        <v>9030</v>
      </c>
      <c r="J97" s="2399" t="s">
        <v>4306</v>
      </c>
      <c r="K97" s="835">
        <v>45126</v>
      </c>
      <c r="L97" s="833" t="s">
        <v>9031</v>
      </c>
      <c r="M97" s="834" t="s">
        <v>9032</v>
      </c>
      <c r="N97" s="833" t="s">
        <v>9033</v>
      </c>
      <c r="O97" s="832" t="s">
        <v>9034</v>
      </c>
      <c r="P97" s="836"/>
      <c r="Q97" s="6094" t="s">
        <v>8970</v>
      </c>
      <c r="R97" s="322" t="s">
        <v>7249</v>
      </c>
      <c r="S97" s="837"/>
      <c r="T97" s="838"/>
      <c r="U97" s="839"/>
      <c r="V97" s="840"/>
      <c r="W97" s="838"/>
      <c r="X97" s="839"/>
      <c r="Y97" s="840"/>
      <c r="Z97" s="838"/>
      <c r="AA97" s="839"/>
      <c r="AB97" s="840"/>
      <c r="AC97" s="823"/>
      <c r="AD97" s="824"/>
      <c r="AE97" s="825"/>
      <c r="AF97" s="823"/>
      <c r="AG97" s="824"/>
      <c r="AH97" s="825"/>
      <c r="AI97" s="841">
        <v>5566</v>
      </c>
      <c r="AJ97" s="839">
        <v>0</v>
      </c>
      <c r="AK97" s="3906">
        <v>0</v>
      </c>
      <c r="AL97" s="869">
        <f t="shared" si="35"/>
        <v>5566</v>
      </c>
      <c r="AM97" s="3369"/>
      <c r="AN97" s="3360"/>
      <c r="AO97" s="3361"/>
      <c r="AP97" s="3362" t="str">
        <f t="shared" si="38"/>
        <v>Planning Reg 2023-2024</v>
      </c>
      <c r="AQ97" s="3555">
        <f t="shared" si="38"/>
        <v>1.1576249999999999</v>
      </c>
      <c r="AR97" s="846"/>
      <c r="AS97" s="847"/>
      <c r="AT97" s="847"/>
      <c r="AU97" s="848"/>
      <c r="AV97" s="848"/>
      <c r="AW97" s="2872">
        <f t="shared" si="36"/>
        <v>5881</v>
      </c>
      <c r="AX97" s="2891"/>
    </row>
    <row r="98" spans="1:50" ht="76.5">
      <c r="A98" s="2418" t="s">
        <v>11006</v>
      </c>
      <c r="B98" s="338" t="s">
        <v>10916</v>
      </c>
      <c r="C98" s="828">
        <v>0</v>
      </c>
      <c r="D98" s="829">
        <v>44392</v>
      </c>
      <c r="E98" s="831" t="s">
        <v>8170</v>
      </c>
      <c r="F98" s="830" t="s">
        <v>9005</v>
      </c>
      <c r="G98" s="5356">
        <v>1.0956269999999999</v>
      </c>
      <c r="H98" s="2273" t="s">
        <v>9108</v>
      </c>
      <c r="I98" s="339" t="s">
        <v>9035</v>
      </c>
      <c r="J98" s="2399" t="s">
        <v>4306</v>
      </c>
      <c r="K98" s="835" t="s">
        <v>9036</v>
      </c>
      <c r="L98" s="339" t="s">
        <v>9037</v>
      </c>
      <c r="M98" s="322" t="s">
        <v>9038</v>
      </c>
      <c r="N98" s="339" t="s">
        <v>9039</v>
      </c>
      <c r="O98" s="322" t="s">
        <v>9038</v>
      </c>
      <c r="P98" s="345"/>
      <c r="Q98" s="6094" t="s">
        <v>9047</v>
      </c>
      <c r="R98" s="322" t="s">
        <v>5350</v>
      </c>
      <c r="S98" s="346"/>
      <c r="T98" s="347"/>
      <c r="U98" s="326"/>
      <c r="V98" s="348"/>
      <c r="W98" s="347"/>
      <c r="X98" s="326"/>
      <c r="Y98" s="348"/>
      <c r="Z98" s="347"/>
      <c r="AA98" s="326"/>
      <c r="AB98" s="348"/>
      <c r="AC98" s="820"/>
      <c r="AD98" s="821"/>
      <c r="AE98" s="822"/>
      <c r="AF98" s="820"/>
      <c r="AG98" s="821"/>
      <c r="AH98" s="822"/>
      <c r="AI98" s="482">
        <v>6533</v>
      </c>
      <c r="AJ98" s="326">
        <v>0</v>
      </c>
      <c r="AK98" s="3917">
        <v>0</v>
      </c>
      <c r="AL98" s="349">
        <f t="shared" si="35"/>
        <v>6533</v>
      </c>
      <c r="AM98" s="2002"/>
      <c r="AN98" s="3357"/>
      <c r="AO98" s="695"/>
      <c r="AP98" s="3362" t="str">
        <f t="shared" si="38"/>
        <v>Planning Reg 2023-2024</v>
      </c>
      <c r="AQ98" s="3555">
        <f t="shared" si="38"/>
        <v>1.1576249999999999</v>
      </c>
      <c r="AR98" s="333"/>
      <c r="AS98" s="330"/>
      <c r="AT98" s="330"/>
      <c r="AU98" s="849"/>
      <c r="AV98" s="849"/>
      <c r="AW98" s="3156">
        <f t="shared" si="36"/>
        <v>6903</v>
      </c>
      <c r="AX98" s="3140"/>
    </row>
    <row r="99" spans="1:50" ht="76.5">
      <c r="A99" s="2418" t="s">
        <v>11006</v>
      </c>
      <c r="B99" s="338" t="s">
        <v>10917</v>
      </c>
      <c r="C99" s="321">
        <v>0</v>
      </c>
      <c r="D99" s="323">
        <v>44397</v>
      </c>
      <c r="E99" s="3058" t="s">
        <v>8170</v>
      </c>
      <c r="F99" s="830" t="s">
        <v>9005</v>
      </c>
      <c r="G99" s="5356">
        <v>1.0956269999999999</v>
      </c>
      <c r="H99" s="2273" t="s">
        <v>9107</v>
      </c>
      <c r="I99" s="339" t="s">
        <v>9080</v>
      </c>
      <c r="J99" s="2399" t="s">
        <v>4306</v>
      </c>
      <c r="K99" s="340">
        <v>45127</v>
      </c>
      <c r="L99" s="339" t="s">
        <v>9050</v>
      </c>
      <c r="M99" s="322" t="s">
        <v>9051</v>
      </c>
      <c r="N99" s="339" t="s">
        <v>9052</v>
      </c>
      <c r="O99" s="322" t="s">
        <v>9051</v>
      </c>
      <c r="P99" s="345" t="s">
        <v>9056</v>
      </c>
      <c r="Q99" s="6094" t="s">
        <v>8556</v>
      </c>
      <c r="R99" s="322" t="s">
        <v>5350</v>
      </c>
      <c r="S99" s="346"/>
      <c r="T99" s="347"/>
      <c r="U99" s="326"/>
      <c r="V99" s="348"/>
      <c r="W99" s="347"/>
      <c r="X99" s="326"/>
      <c r="Y99" s="348"/>
      <c r="Z99" s="347"/>
      <c r="AA99" s="326"/>
      <c r="AB99" s="348"/>
      <c r="AC99" s="820"/>
      <c r="AD99" s="821"/>
      <c r="AE99" s="822"/>
      <c r="AF99" s="820"/>
      <c r="AG99" s="821"/>
      <c r="AH99" s="822"/>
      <c r="AI99" s="482">
        <v>6533</v>
      </c>
      <c r="AJ99" s="326">
        <v>0</v>
      </c>
      <c r="AK99" s="3917">
        <v>0</v>
      </c>
      <c r="AL99" s="349">
        <f t="shared" si="35"/>
        <v>6533</v>
      </c>
      <c r="AM99" s="2002"/>
      <c r="AN99" s="3357"/>
      <c r="AO99" s="695"/>
      <c r="AP99" s="3362" t="str">
        <f t="shared" si="38"/>
        <v>Planning Reg 2023-2024</v>
      </c>
      <c r="AQ99" s="3555">
        <f t="shared" si="38"/>
        <v>1.1576249999999999</v>
      </c>
      <c r="AR99" s="333"/>
      <c r="AS99" s="330"/>
      <c r="AT99" s="330"/>
      <c r="AU99" s="849"/>
      <c r="AV99" s="849"/>
      <c r="AW99" s="3156">
        <f t="shared" si="36"/>
        <v>6903</v>
      </c>
      <c r="AX99" s="3140"/>
    </row>
    <row r="100" spans="1:50" ht="76.5">
      <c r="A100" s="2418" t="s">
        <v>11006</v>
      </c>
      <c r="B100" s="338" t="s">
        <v>8294</v>
      </c>
      <c r="C100" s="321">
        <v>0</v>
      </c>
      <c r="D100" s="323">
        <v>44420</v>
      </c>
      <c r="E100" s="3058" t="s">
        <v>8170</v>
      </c>
      <c r="F100" s="830" t="s">
        <v>9005</v>
      </c>
      <c r="G100" s="5356">
        <v>1.0956269999999999</v>
      </c>
      <c r="H100" s="2273" t="s">
        <v>9106</v>
      </c>
      <c r="I100" s="339" t="s">
        <v>9086</v>
      </c>
      <c r="J100" s="2399" t="s">
        <v>4306</v>
      </c>
      <c r="K100" s="340">
        <v>45150</v>
      </c>
      <c r="L100" s="339" t="s">
        <v>9087</v>
      </c>
      <c r="M100" s="322" t="s">
        <v>9088</v>
      </c>
      <c r="N100" s="339" t="s">
        <v>9090</v>
      </c>
      <c r="O100" s="332" t="s">
        <v>9091</v>
      </c>
      <c r="P100" s="345"/>
      <c r="Q100" s="6094" t="s">
        <v>9047</v>
      </c>
      <c r="R100" s="322" t="s">
        <v>9092</v>
      </c>
      <c r="S100" s="346"/>
      <c r="T100" s="347"/>
      <c r="U100" s="326"/>
      <c r="V100" s="348"/>
      <c r="W100" s="347"/>
      <c r="X100" s="326"/>
      <c r="Y100" s="348"/>
      <c r="Z100" s="347"/>
      <c r="AA100" s="326"/>
      <c r="AB100" s="348"/>
      <c r="AC100" s="820"/>
      <c r="AD100" s="821"/>
      <c r="AE100" s="822"/>
      <c r="AF100" s="820"/>
      <c r="AG100" s="821"/>
      <c r="AH100" s="822"/>
      <c r="AI100" s="482">
        <v>6533</v>
      </c>
      <c r="AJ100" s="326">
        <v>0</v>
      </c>
      <c r="AK100" s="3917">
        <v>0</v>
      </c>
      <c r="AL100" s="349">
        <f t="shared" si="35"/>
        <v>6533</v>
      </c>
      <c r="AM100" s="2002"/>
      <c r="AN100" s="3357"/>
      <c r="AO100" s="695"/>
      <c r="AP100" s="3362" t="str">
        <f t="shared" si="38"/>
        <v>Planning Reg 2023-2024</v>
      </c>
      <c r="AQ100" s="3555">
        <f t="shared" si="38"/>
        <v>1.1576249999999999</v>
      </c>
      <c r="AR100" s="333"/>
      <c r="AS100" s="330"/>
      <c r="AT100" s="330"/>
      <c r="AU100" s="849"/>
      <c r="AV100" s="849"/>
      <c r="AW100" s="3156">
        <f t="shared" si="36"/>
        <v>6903</v>
      </c>
      <c r="AX100" s="3140"/>
    </row>
    <row r="101" spans="1:50" ht="51">
      <c r="A101" s="2418" t="s">
        <v>11006</v>
      </c>
      <c r="B101" s="338" t="s">
        <v>9152</v>
      </c>
      <c r="C101" s="321">
        <v>0</v>
      </c>
      <c r="D101" s="323">
        <v>44433</v>
      </c>
      <c r="E101" s="3058" t="s">
        <v>9156</v>
      </c>
      <c r="F101" s="830" t="s">
        <v>9005</v>
      </c>
      <c r="G101" s="5356">
        <v>1.0956269999999999</v>
      </c>
      <c r="H101" s="332" t="s">
        <v>9144</v>
      </c>
      <c r="I101" s="339" t="s">
        <v>1433</v>
      </c>
      <c r="J101" s="322" t="s">
        <v>1434</v>
      </c>
      <c r="K101" s="340">
        <v>46619</v>
      </c>
      <c r="L101" s="339" t="s">
        <v>89</v>
      </c>
      <c r="M101" s="322" t="s">
        <v>5165</v>
      </c>
      <c r="N101" s="339" t="s">
        <v>4228</v>
      </c>
      <c r="O101" s="332" t="s">
        <v>5764</v>
      </c>
      <c r="P101" s="345"/>
      <c r="Q101" s="322" t="s">
        <v>9151</v>
      </c>
      <c r="R101" s="322" t="s">
        <v>8105</v>
      </c>
      <c r="S101" s="1577" t="s">
        <v>11032</v>
      </c>
      <c r="T101" s="347"/>
      <c r="U101" s="326"/>
      <c r="V101" s="348"/>
      <c r="W101" s="347"/>
      <c r="X101" s="326"/>
      <c r="Y101" s="348"/>
      <c r="Z101" s="347"/>
      <c r="AA101" s="326"/>
      <c r="AB101" s="348"/>
      <c r="AC101" s="820"/>
      <c r="AD101" s="821"/>
      <c r="AE101" s="822"/>
      <c r="AF101" s="820"/>
      <c r="AG101" s="821"/>
      <c r="AH101" s="822"/>
      <c r="AI101" s="482">
        <v>26691</v>
      </c>
      <c r="AJ101" s="326">
        <v>13346</v>
      </c>
      <c r="AK101" s="3917">
        <v>0</v>
      </c>
      <c r="AL101" s="349">
        <f t="shared" si="35"/>
        <v>13345</v>
      </c>
      <c r="AM101" s="2002"/>
      <c r="AN101" s="3357"/>
      <c r="AO101" s="695"/>
      <c r="AP101" s="3362" t="str">
        <f t="shared" si="38"/>
        <v>Planning Reg 2023-2024</v>
      </c>
      <c r="AQ101" s="3555">
        <f t="shared" si="38"/>
        <v>1.1576249999999999</v>
      </c>
      <c r="AR101" s="333"/>
      <c r="AS101" s="330"/>
      <c r="AT101" s="330"/>
      <c r="AU101" s="849"/>
      <c r="AV101" s="849"/>
      <c r="AW101" s="3156">
        <f t="shared" si="36"/>
        <v>14100</v>
      </c>
      <c r="AX101" s="3140"/>
    </row>
    <row r="102" spans="1:50" ht="51">
      <c r="A102" s="2418" t="s">
        <v>11006</v>
      </c>
      <c r="B102" s="1569" t="s">
        <v>8792</v>
      </c>
      <c r="C102" s="1570">
        <v>0</v>
      </c>
      <c r="D102" s="1571">
        <v>44434</v>
      </c>
      <c r="E102" s="4221" t="s">
        <v>8170</v>
      </c>
      <c r="F102" s="4838" t="s">
        <v>9005</v>
      </c>
      <c r="G102" s="5771">
        <v>1.0956269999999999</v>
      </c>
      <c r="H102" s="1573" t="s">
        <v>9157</v>
      </c>
      <c r="I102" s="1574" t="s">
        <v>1433</v>
      </c>
      <c r="J102" s="3208" t="s">
        <v>1434</v>
      </c>
      <c r="K102" s="4222" t="s">
        <v>7664</v>
      </c>
      <c r="L102" s="1574" t="s">
        <v>5451</v>
      </c>
      <c r="M102" s="3208" t="s">
        <v>5452</v>
      </c>
      <c r="N102" s="1574" t="s">
        <v>5453</v>
      </c>
      <c r="O102" s="3208" t="s">
        <v>5452</v>
      </c>
      <c r="P102" s="4220"/>
      <c r="Q102" s="3208" t="s">
        <v>9158</v>
      </c>
      <c r="R102" s="3208" t="s">
        <v>9159</v>
      </c>
      <c r="S102" s="1577" t="s">
        <v>3476</v>
      </c>
      <c r="T102" s="4858"/>
      <c r="U102" s="1593"/>
      <c r="V102" s="4859"/>
      <c r="W102" s="4858"/>
      <c r="X102" s="1593"/>
      <c r="Y102" s="4859"/>
      <c r="Z102" s="4858"/>
      <c r="AA102" s="1593"/>
      <c r="AB102" s="4859"/>
      <c r="AC102" s="4858"/>
      <c r="AD102" s="1593"/>
      <c r="AE102" s="4859"/>
      <c r="AF102" s="4858"/>
      <c r="AG102" s="1593"/>
      <c r="AH102" s="4859"/>
      <c r="AI102" s="4860">
        <f>192308-41085</f>
        <v>151223</v>
      </c>
      <c r="AJ102" s="1593">
        <v>151223</v>
      </c>
      <c r="AK102" s="4861">
        <v>0</v>
      </c>
      <c r="AL102" s="4862">
        <f t="shared" si="35"/>
        <v>0</v>
      </c>
      <c r="AM102" s="4863"/>
      <c r="AN102" s="4864"/>
      <c r="AO102" s="4865"/>
      <c r="AP102" s="4873" t="str">
        <f t="shared" si="38"/>
        <v>Planning Reg 2023-2024</v>
      </c>
      <c r="AQ102" s="4874">
        <f t="shared" si="38"/>
        <v>1.1576249999999999</v>
      </c>
      <c r="AR102" s="4866"/>
      <c r="AS102" s="4867"/>
      <c r="AT102" s="4867"/>
      <c r="AU102" s="4867"/>
      <c r="AV102" s="4867"/>
      <c r="AW102" s="4868">
        <f t="shared" si="36"/>
        <v>0</v>
      </c>
      <c r="AX102" s="3140"/>
    </row>
    <row r="103" spans="1:50" ht="51">
      <c r="A103" s="5967" t="s">
        <v>11013</v>
      </c>
      <c r="B103" s="5436" t="s">
        <v>9213</v>
      </c>
      <c r="C103" s="3783">
        <v>0</v>
      </c>
      <c r="D103" s="3784">
        <v>43647</v>
      </c>
      <c r="E103" s="3785" t="s">
        <v>6386</v>
      </c>
      <c r="F103" s="5268" t="s">
        <v>6949</v>
      </c>
      <c r="G103" s="5269">
        <v>114.1</v>
      </c>
      <c r="H103" s="3786" t="s">
        <v>6948</v>
      </c>
      <c r="I103" s="339" t="s">
        <v>1433</v>
      </c>
      <c r="J103" s="322" t="s">
        <v>1434</v>
      </c>
      <c r="K103" s="340">
        <v>44744</v>
      </c>
      <c r="L103" s="3705" t="s">
        <v>6950</v>
      </c>
      <c r="M103" s="3706" t="s">
        <v>6951</v>
      </c>
      <c r="N103" s="3787" t="s">
        <v>6952</v>
      </c>
      <c r="O103" s="3786" t="s">
        <v>6953</v>
      </c>
      <c r="P103" s="5435" t="s">
        <v>6954</v>
      </c>
      <c r="Q103" s="3706" t="s">
        <v>6959</v>
      </c>
      <c r="R103" s="3706" t="s">
        <v>6955</v>
      </c>
      <c r="S103" s="3776"/>
      <c r="T103" s="3710"/>
      <c r="U103" s="3711"/>
      <c r="V103" s="3712"/>
      <c r="W103" s="3710"/>
      <c r="X103" s="3711"/>
      <c r="Y103" s="3712"/>
      <c r="Z103" s="3710"/>
      <c r="AA103" s="3711"/>
      <c r="AB103" s="3712"/>
      <c r="AC103" s="3777"/>
      <c r="AD103" s="3778"/>
      <c r="AE103" s="3779"/>
      <c r="AF103" s="3777"/>
      <c r="AG103" s="3778"/>
      <c r="AH103" s="3779"/>
      <c r="AI103" s="3713">
        <v>52984</v>
      </c>
      <c r="AJ103" s="326">
        <v>0</v>
      </c>
      <c r="AK103" s="3917">
        <v>0</v>
      </c>
      <c r="AL103" s="349">
        <f t="shared" si="35"/>
        <v>52984</v>
      </c>
      <c r="AM103" s="3715"/>
      <c r="AN103" s="3716"/>
      <c r="AO103" s="3717"/>
      <c r="AP103" s="3781" t="s">
        <v>6956</v>
      </c>
      <c r="AQ103" s="3782"/>
      <c r="AR103" s="333"/>
      <c r="AS103" s="330"/>
      <c r="AT103" s="330"/>
      <c r="AU103" s="849"/>
      <c r="AV103" s="849"/>
      <c r="AW103" s="3156">
        <f t="shared" si="36"/>
        <v>0</v>
      </c>
      <c r="AX103" s="3780"/>
    </row>
    <row r="104" spans="1:50" ht="89.25">
      <c r="A104" s="2418" t="s">
        <v>11006</v>
      </c>
      <c r="B104" s="3307" t="s">
        <v>9214</v>
      </c>
      <c r="C104" s="3308">
        <v>0</v>
      </c>
      <c r="D104" s="3309">
        <v>44447</v>
      </c>
      <c r="E104" s="4756" t="s">
        <v>9156</v>
      </c>
      <c r="F104" s="4839" t="s">
        <v>9005</v>
      </c>
      <c r="G104" s="5388">
        <v>1.0956269999999999</v>
      </c>
      <c r="H104" s="3305" t="s">
        <v>9199</v>
      </c>
      <c r="I104" s="339" t="s">
        <v>1433</v>
      </c>
      <c r="J104" s="322" t="s">
        <v>1434</v>
      </c>
      <c r="K104" s="340">
        <v>46555</v>
      </c>
      <c r="L104" s="339" t="s">
        <v>9200</v>
      </c>
      <c r="M104" s="322" t="s">
        <v>9201</v>
      </c>
      <c r="N104" s="3306" t="s">
        <v>6952</v>
      </c>
      <c r="O104" s="3305" t="s">
        <v>9202</v>
      </c>
      <c r="P104" s="3803" t="s">
        <v>9206</v>
      </c>
      <c r="Q104" s="322" t="s">
        <v>9210</v>
      </c>
      <c r="R104" s="322" t="s">
        <v>9203</v>
      </c>
      <c r="S104" s="346"/>
      <c r="T104" s="347"/>
      <c r="U104" s="326"/>
      <c r="V104" s="348"/>
      <c r="W104" s="347"/>
      <c r="X104" s="326"/>
      <c r="Y104" s="348"/>
      <c r="Z104" s="347"/>
      <c r="AA104" s="326"/>
      <c r="AB104" s="348"/>
      <c r="AC104" s="820"/>
      <c r="AD104" s="821"/>
      <c r="AE104" s="822"/>
      <c r="AF104" s="820"/>
      <c r="AG104" s="821"/>
      <c r="AH104" s="822"/>
      <c r="AI104" s="482">
        <v>28905</v>
      </c>
      <c r="AJ104" s="326">
        <v>0</v>
      </c>
      <c r="AK104" s="3917">
        <v>0</v>
      </c>
      <c r="AL104" s="349">
        <f t="shared" si="35"/>
        <v>28905</v>
      </c>
      <c r="AM104" s="2002"/>
      <c r="AN104" s="3357"/>
      <c r="AO104" s="695"/>
      <c r="AP104" s="3362" t="str">
        <f t="shared" ref="AP104:AQ123" si="39">AP$2</f>
        <v>Planning Reg 2023-2024</v>
      </c>
      <c r="AQ104" s="3555">
        <f t="shared" si="39"/>
        <v>1.1576249999999999</v>
      </c>
      <c r="AR104" s="333"/>
      <c r="AS104" s="330"/>
      <c r="AT104" s="330"/>
      <c r="AU104" s="849"/>
      <c r="AV104" s="849"/>
      <c r="AW104" s="3156">
        <f t="shared" si="36"/>
        <v>30541</v>
      </c>
      <c r="AX104" s="3140"/>
    </row>
    <row r="105" spans="1:50" ht="76.5">
      <c r="A105" s="2418" t="s">
        <v>11006</v>
      </c>
      <c r="B105" s="338" t="s">
        <v>8794</v>
      </c>
      <c r="C105" s="321">
        <v>0</v>
      </c>
      <c r="D105" s="323">
        <v>44462</v>
      </c>
      <c r="E105" s="3058" t="s">
        <v>9156</v>
      </c>
      <c r="F105" s="830" t="s">
        <v>9005</v>
      </c>
      <c r="G105" s="5356">
        <v>1.0956269999999999</v>
      </c>
      <c r="H105" s="2273" t="s">
        <v>9278</v>
      </c>
      <c r="I105" s="339" t="s">
        <v>9190</v>
      </c>
      <c r="J105" s="2399" t="s">
        <v>4306</v>
      </c>
      <c r="K105" s="340">
        <v>45923</v>
      </c>
      <c r="L105" s="339" t="s">
        <v>9279</v>
      </c>
      <c r="M105" s="322" t="s">
        <v>9280</v>
      </c>
      <c r="N105" s="339" t="s">
        <v>9281</v>
      </c>
      <c r="O105" s="332" t="s">
        <v>9282</v>
      </c>
      <c r="P105" s="345"/>
      <c r="Q105" s="6094" t="s">
        <v>9047</v>
      </c>
      <c r="R105" s="322" t="s">
        <v>129</v>
      </c>
      <c r="S105" s="346"/>
      <c r="T105" s="347"/>
      <c r="U105" s="326"/>
      <c r="V105" s="348"/>
      <c r="W105" s="347"/>
      <c r="X105" s="326"/>
      <c r="Y105" s="348"/>
      <c r="Z105" s="347"/>
      <c r="AA105" s="326"/>
      <c r="AB105" s="348"/>
      <c r="AC105" s="820"/>
      <c r="AD105" s="821"/>
      <c r="AE105" s="822"/>
      <c r="AF105" s="820"/>
      <c r="AG105" s="821"/>
      <c r="AH105" s="822"/>
      <c r="AI105" s="482">
        <v>5567</v>
      </c>
      <c r="AJ105" s="326">
        <v>0</v>
      </c>
      <c r="AK105" s="3917">
        <v>0</v>
      </c>
      <c r="AL105" s="349">
        <f t="shared" si="35"/>
        <v>5567</v>
      </c>
      <c r="AM105" s="2002"/>
      <c r="AN105" s="3357"/>
      <c r="AO105" s="695"/>
      <c r="AP105" s="3362" t="str">
        <f t="shared" si="39"/>
        <v>Planning Reg 2023-2024</v>
      </c>
      <c r="AQ105" s="3555">
        <f t="shared" si="39"/>
        <v>1.1576249999999999</v>
      </c>
      <c r="AR105" s="333"/>
      <c r="AS105" s="330"/>
      <c r="AT105" s="330"/>
      <c r="AU105" s="849"/>
      <c r="AV105" s="849"/>
      <c r="AW105" s="3156">
        <f t="shared" si="36"/>
        <v>5882</v>
      </c>
      <c r="AX105" s="3140"/>
    </row>
    <row r="106" spans="1:50" ht="51">
      <c r="A106" s="2418" t="s">
        <v>11006</v>
      </c>
      <c r="B106" s="338" t="s">
        <v>11016</v>
      </c>
      <c r="C106" s="321">
        <v>0</v>
      </c>
      <c r="D106" s="323">
        <v>44482</v>
      </c>
      <c r="E106" s="3058" t="s">
        <v>9156</v>
      </c>
      <c r="F106" s="830" t="s">
        <v>9005</v>
      </c>
      <c r="G106" s="5356">
        <v>1.0956269999999999</v>
      </c>
      <c r="H106" s="332" t="s">
        <v>9302</v>
      </c>
      <c r="I106" s="339" t="s">
        <v>1433</v>
      </c>
      <c r="J106" s="322" t="s">
        <v>1434</v>
      </c>
      <c r="K106" s="340">
        <v>46667</v>
      </c>
      <c r="L106" s="339" t="s">
        <v>9303</v>
      </c>
      <c r="M106" s="322" t="s">
        <v>9304</v>
      </c>
      <c r="N106" s="339" t="s">
        <v>9305</v>
      </c>
      <c r="O106" s="332" t="s">
        <v>9306</v>
      </c>
      <c r="P106" s="345"/>
      <c r="Q106" s="322" t="s">
        <v>9322</v>
      </c>
      <c r="R106" s="322" t="s">
        <v>959</v>
      </c>
      <c r="S106" s="346"/>
      <c r="T106" s="347"/>
      <c r="U106" s="326"/>
      <c r="V106" s="348"/>
      <c r="W106" s="347"/>
      <c r="X106" s="326"/>
      <c r="Y106" s="348"/>
      <c r="Z106" s="347"/>
      <c r="AA106" s="326"/>
      <c r="AB106" s="348"/>
      <c r="AC106" s="820"/>
      <c r="AD106" s="821"/>
      <c r="AE106" s="822"/>
      <c r="AF106" s="820"/>
      <c r="AG106" s="821"/>
      <c r="AH106" s="822"/>
      <c r="AI106" s="482">
        <v>47331</v>
      </c>
      <c r="AJ106" s="326">
        <v>0</v>
      </c>
      <c r="AK106" s="3917">
        <v>0</v>
      </c>
      <c r="AL106" s="349">
        <f t="shared" si="35"/>
        <v>47331</v>
      </c>
      <c r="AM106" s="2002"/>
      <c r="AN106" s="3357"/>
      <c r="AO106" s="695"/>
      <c r="AP106" s="3362" t="str">
        <f t="shared" si="39"/>
        <v>Planning Reg 2023-2024</v>
      </c>
      <c r="AQ106" s="3555">
        <f t="shared" si="39"/>
        <v>1.1576249999999999</v>
      </c>
      <c r="AR106" s="333"/>
      <c r="AS106" s="330"/>
      <c r="AT106" s="330"/>
      <c r="AU106" s="849"/>
      <c r="AV106" s="849"/>
      <c r="AW106" s="3156">
        <f t="shared" si="36"/>
        <v>50009</v>
      </c>
      <c r="AX106" s="3140"/>
    </row>
    <row r="107" spans="1:50" ht="51">
      <c r="A107" s="2418" t="s">
        <v>11006</v>
      </c>
      <c r="B107" s="338" t="s">
        <v>8796</v>
      </c>
      <c r="C107" s="321">
        <v>0</v>
      </c>
      <c r="D107" s="323">
        <v>44482</v>
      </c>
      <c r="E107" s="3058" t="s">
        <v>9156</v>
      </c>
      <c r="F107" s="830" t="s">
        <v>9005</v>
      </c>
      <c r="G107" s="5356">
        <v>1.0956269999999999</v>
      </c>
      <c r="H107" s="332" t="s">
        <v>9320</v>
      </c>
      <c r="I107" s="339" t="s">
        <v>1433</v>
      </c>
      <c r="J107" s="322" t="s">
        <v>1434</v>
      </c>
      <c r="K107" s="340">
        <v>46306</v>
      </c>
      <c r="L107" s="339" t="s">
        <v>220</v>
      </c>
      <c r="M107" s="322" t="s">
        <v>6628</v>
      </c>
      <c r="N107" s="339" t="s">
        <v>9319</v>
      </c>
      <c r="O107" s="332" t="s">
        <v>9321</v>
      </c>
      <c r="P107" s="345" t="s">
        <v>9325</v>
      </c>
      <c r="Q107" s="322" t="s">
        <v>9324</v>
      </c>
      <c r="R107" s="322" t="s">
        <v>9323</v>
      </c>
      <c r="S107" s="346"/>
      <c r="T107" s="347"/>
      <c r="U107" s="326"/>
      <c r="V107" s="348"/>
      <c r="W107" s="347"/>
      <c r="X107" s="326"/>
      <c r="Y107" s="348"/>
      <c r="Z107" s="347"/>
      <c r="AA107" s="326"/>
      <c r="AB107" s="348"/>
      <c r="AC107" s="820"/>
      <c r="AD107" s="821"/>
      <c r="AE107" s="822"/>
      <c r="AF107" s="820"/>
      <c r="AG107" s="821"/>
      <c r="AH107" s="822"/>
      <c r="AI107" s="482">
        <v>4629</v>
      </c>
      <c r="AJ107" s="326">
        <v>0</v>
      </c>
      <c r="AK107" s="3917">
        <v>0</v>
      </c>
      <c r="AL107" s="349">
        <f t="shared" si="35"/>
        <v>4629</v>
      </c>
      <c r="AM107" s="2002"/>
      <c r="AN107" s="3357"/>
      <c r="AO107" s="695"/>
      <c r="AP107" s="3362" t="str">
        <f t="shared" si="39"/>
        <v>Planning Reg 2023-2024</v>
      </c>
      <c r="AQ107" s="3555">
        <f t="shared" si="39"/>
        <v>1.1576249999999999</v>
      </c>
      <c r="AR107" s="333"/>
      <c r="AS107" s="330"/>
      <c r="AT107" s="330"/>
      <c r="AU107" s="849"/>
      <c r="AV107" s="849"/>
      <c r="AW107" s="3156">
        <f t="shared" si="36"/>
        <v>4891</v>
      </c>
      <c r="AX107" s="3140"/>
    </row>
    <row r="108" spans="1:50" ht="51">
      <c r="A108" s="2418" t="s">
        <v>11006</v>
      </c>
      <c r="B108" s="338" t="s">
        <v>8797</v>
      </c>
      <c r="C108" s="321">
        <v>0</v>
      </c>
      <c r="D108" s="323">
        <v>44498</v>
      </c>
      <c r="E108" s="3058" t="s">
        <v>9156</v>
      </c>
      <c r="F108" s="830" t="s">
        <v>9005</v>
      </c>
      <c r="G108" s="5356">
        <v>1.0956269999999999</v>
      </c>
      <c r="H108" s="332" t="s">
        <v>9359</v>
      </c>
      <c r="I108" s="339" t="s">
        <v>5753</v>
      </c>
      <c r="J108" s="322" t="s">
        <v>2712</v>
      </c>
      <c r="K108" s="340">
        <v>45957</v>
      </c>
      <c r="L108" s="339" t="s">
        <v>9354</v>
      </c>
      <c r="M108" s="322" t="s">
        <v>9355</v>
      </c>
      <c r="N108" s="339" t="s">
        <v>9357</v>
      </c>
      <c r="O108" s="332" t="s">
        <v>9356</v>
      </c>
      <c r="P108" s="345"/>
      <c r="Q108" s="322" t="s">
        <v>9358</v>
      </c>
      <c r="R108" s="322" t="s">
        <v>8778</v>
      </c>
      <c r="S108" s="346"/>
      <c r="T108" s="347"/>
      <c r="U108" s="326"/>
      <c r="V108" s="348"/>
      <c r="W108" s="347"/>
      <c r="X108" s="326"/>
      <c r="Y108" s="348"/>
      <c r="Z108" s="347"/>
      <c r="AA108" s="326"/>
      <c r="AB108" s="348"/>
      <c r="AC108" s="820"/>
      <c r="AD108" s="821"/>
      <c r="AE108" s="822"/>
      <c r="AF108" s="820"/>
      <c r="AG108" s="821"/>
      <c r="AH108" s="822"/>
      <c r="AI108" s="482">
        <v>125459</v>
      </c>
      <c r="AJ108" s="326">
        <v>0</v>
      </c>
      <c r="AK108" s="3917">
        <v>0</v>
      </c>
      <c r="AL108" s="349">
        <f t="shared" si="35"/>
        <v>125459</v>
      </c>
      <c r="AM108" s="2002"/>
      <c r="AN108" s="3357"/>
      <c r="AO108" s="695"/>
      <c r="AP108" s="3362" t="str">
        <f t="shared" si="39"/>
        <v>Planning Reg 2023-2024</v>
      </c>
      <c r="AQ108" s="3555">
        <f t="shared" si="39"/>
        <v>1.1576249999999999</v>
      </c>
      <c r="AR108" s="333"/>
      <c r="AS108" s="330"/>
      <c r="AT108" s="330"/>
      <c r="AU108" s="849"/>
      <c r="AV108" s="849"/>
      <c r="AW108" s="3156">
        <f t="shared" si="36"/>
        <v>132558</v>
      </c>
      <c r="AX108" s="3140"/>
    </row>
    <row r="109" spans="1:50" ht="63.75">
      <c r="A109" s="2418" t="s">
        <v>11006</v>
      </c>
      <c r="B109" s="3259" t="s">
        <v>8798</v>
      </c>
      <c r="C109" s="6585">
        <v>1</v>
      </c>
      <c r="D109" s="6586" t="s">
        <v>12529</v>
      </c>
      <c r="E109" s="6587" t="s">
        <v>12530</v>
      </c>
      <c r="F109" s="6588" t="s">
        <v>12531</v>
      </c>
      <c r="G109" s="6590">
        <v>1.1576249999999999</v>
      </c>
      <c r="H109" s="6589" t="s">
        <v>12532</v>
      </c>
      <c r="I109" s="339" t="s">
        <v>1433</v>
      </c>
      <c r="J109" s="322" t="s">
        <v>1434</v>
      </c>
      <c r="K109" s="340">
        <v>46701</v>
      </c>
      <c r="L109" s="339" t="s">
        <v>9394</v>
      </c>
      <c r="M109" s="322" t="s">
        <v>9304</v>
      </c>
      <c r="N109" s="339" t="s">
        <v>9395</v>
      </c>
      <c r="O109" s="332" t="s">
        <v>9396</v>
      </c>
      <c r="P109" s="345"/>
      <c r="Q109" s="322" t="s">
        <v>9397</v>
      </c>
      <c r="R109" s="322" t="s">
        <v>9398</v>
      </c>
      <c r="S109" s="346"/>
      <c r="T109" s="347"/>
      <c r="U109" s="326"/>
      <c r="V109" s="348"/>
      <c r="W109" s="347"/>
      <c r="X109" s="326"/>
      <c r="Y109" s="348"/>
      <c r="Z109" s="347"/>
      <c r="AA109" s="326"/>
      <c r="AB109" s="348"/>
      <c r="AC109" s="820"/>
      <c r="AD109" s="821"/>
      <c r="AE109" s="822"/>
      <c r="AF109" s="820"/>
      <c r="AG109" s="821"/>
      <c r="AH109" s="822"/>
      <c r="AI109" s="482">
        <v>138915</v>
      </c>
      <c r="AJ109" s="326">
        <v>0</v>
      </c>
      <c r="AK109" s="3917">
        <v>0</v>
      </c>
      <c r="AL109" s="349">
        <f t="shared" si="35"/>
        <v>138915</v>
      </c>
      <c r="AM109" s="2002"/>
      <c r="AN109" s="3357"/>
      <c r="AO109" s="695"/>
      <c r="AP109" s="3362" t="str">
        <f t="shared" si="39"/>
        <v>Planning Reg 2023-2024</v>
      </c>
      <c r="AQ109" s="3555">
        <f t="shared" si="39"/>
        <v>1.1576249999999999</v>
      </c>
      <c r="AR109" s="333"/>
      <c r="AS109" s="330"/>
      <c r="AT109" s="330"/>
      <c r="AU109" s="849"/>
      <c r="AV109" s="849"/>
      <c r="AW109" s="3156">
        <f t="shared" si="36"/>
        <v>138915</v>
      </c>
      <c r="AX109" s="3140"/>
    </row>
    <row r="110" spans="1:50" ht="76.5">
      <c r="A110" s="2418" t="s">
        <v>11006</v>
      </c>
      <c r="B110" s="338" t="s">
        <v>8799</v>
      </c>
      <c r="C110" s="321">
        <v>0</v>
      </c>
      <c r="D110" s="323">
        <v>44517</v>
      </c>
      <c r="E110" s="3058" t="s">
        <v>9156</v>
      </c>
      <c r="F110" s="830" t="s">
        <v>9005</v>
      </c>
      <c r="G110" s="5356">
        <v>1.0956269999999999</v>
      </c>
      <c r="H110" s="2273" t="s">
        <v>9419</v>
      </c>
      <c r="I110" s="339" t="s">
        <v>9448</v>
      </c>
      <c r="J110" s="2399" t="s">
        <v>4306</v>
      </c>
      <c r="K110" s="340">
        <v>45247</v>
      </c>
      <c r="L110" s="339" t="s">
        <v>9427</v>
      </c>
      <c r="M110" s="322" t="s">
        <v>9428</v>
      </c>
      <c r="N110" s="339" t="s">
        <v>9429</v>
      </c>
      <c r="O110" s="332" t="s">
        <v>9430</v>
      </c>
      <c r="P110" s="345"/>
      <c r="Q110" s="6094" t="s">
        <v>9047</v>
      </c>
      <c r="R110" s="322" t="s">
        <v>945</v>
      </c>
      <c r="S110" s="346"/>
      <c r="T110" s="347"/>
      <c r="U110" s="326"/>
      <c r="V110" s="348"/>
      <c r="W110" s="347"/>
      <c r="X110" s="326"/>
      <c r="Y110" s="348"/>
      <c r="Z110" s="347"/>
      <c r="AA110" s="326"/>
      <c r="AB110" s="348"/>
      <c r="AC110" s="820"/>
      <c r="AD110" s="821"/>
      <c r="AE110" s="822"/>
      <c r="AF110" s="820"/>
      <c r="AG110" s="821"/>
      <c r="AH110" s="822"/>
      <c r="AI110" s="482">
        <v>6534</v>
      </c>
      <c r="AJ110" s="326">
        <v>0</v>
      </c>
      <c r="AK110" s="3917">
        <v>0</v>
      </c>
      <c r="AL110" s="349">
        <f t="shared" si="35"/>
        <v>6534</v>
      </c>
      <c r="AM110" s="2002"/>
      <c r="AN110" s="3357"/>
      <c r="AO110" s="695"/>
      <c r="AP110" s="3362" t="str">
        <f t="shared" si="39"/>
        <v>Planning Reg 2023-2024</v>
      </c>
      <c r="AQ110" s="3555">
        <f t="shared" si="39"/>
        <v>1.1576249999999999</v>
      </c>
      <c r="AR110" s="333"/>
      <c r="AS110" s="330"/>
      <c r="AT110" s="330"/>
      <c r="AU110" s="849"/>
      <c r="AV110" s="849"/>
      <c r="AW110" s="3156">
        <f t="shared" si="36"/>
        <v>6904</v>
      </c>
      <c r="AX110" s="3140"/>
    </row>
    <row r="111" spans="1:50" ht="114.75">
      <c r="A111" s="2418" t="s">
        <v>11006</v>
      </c>
      <c r="B111" s="338" t="s">
        <v>8801</v>
      </c>
      <c r="C111" s="321">
        <v>0</v>
      </c>
      <c r="D111" s="323">
        <v>44532</v>
      </c>
      <c r="E111" s="3058" t="s">
        <v>9156</v>
      </c>
      <c r="F111" s="830" t="s">
        <v>9005</v>
      </c>
      <c r="G111" s="5356">
        <v>1.0956269999999999</v>
      </c>
      <c r="H111" s="332" t="s">
        <v>9466</v>
      </c>
      <c r="I111" s="339" t="s">
        <v>1433</v>
      </c>
      <c r="J111" s="322" t="s">
        <v>1434</v>
      </c>
      <c r="K111" s="340">
        <v>46716</v>
      </c>
      <c r="L111" s="339" t="s">
        <v>9467</v>
      </c>
      <c r="M111" s="322" t="s">
        <v>6628</v>
      </c>
      <c r="N111" s="339" t="s">
        <v>9468</v>
      </c>
      <c r="O111" s="332" t="s">
        <v>9469</v>
      </c>
      <c r="P111" s="345"/>
      <c r="Q111" s="322" t="s">
        <v>9470</v>
      </c>
      <c r="R111" s="322" t="s">
        <v>9471</v>
      </c>
      <c r="S111" s="346"/>
      <c r="T111" s="347"/>
      <c r="U111" s="326"/>
      <c r="V111" s="348"/>
      <c r="W111" s="347"/>
      <c r="X111" s="326"/>
      <c r="Y111" s="348"/>
      <c r="Z111" s="347"/>
      <c r="AA111" s="326"/>
      <c r="AB111" s="348"/>
      <c r="AC111" s="820"/>
      <c r="AD111" s="821"/>
      <c r="AE111" s="822"/>
      <c r="AF111" s="820"/>
      <c r="AG111" s="821"/>
      <c r="AH111" s="822"/>
      <c r="AI111" s="482">
        <v>6173</v>
      </c>
      <c r="AJ111" s="326">
        <v>0</v>
      </c>
      <c r="AK111" s="3917">
        <v>0</v>
      </c>
      <c r="AL111" s="349">
        <f t="shared" si="35"/>
        <v>6173</v>
      </c>
      <c r="AM111" s="2002"/>
      <c r="AN111" s="3357"/>
      <c r="AO111" s="695"/>
      <c r="AP111" s="3362" t="str">
        <f t="shared" si="39"/>
        <v>Planning Reg 2023-2024</v>
      </c>
      <c r="AQ111" s="3555">
        <f t="shared" si="39"/>
        <v>1.1576249999999999</v>
      </c>
      <c r="AR111" s="333"/>
      <c r="AS111" s="330"/>
      <c r="AT111" s="330"/>
      <c r="AU111" s="849"/>
      <c r="AV111" s="849"/>
      <c r="AW111" s="3156">
        <f t="shared" si="36"/>
        <v>6522</v>
      </c>
      <c r="AX111" s="3140"/>
    </row>
    <row r="112" spans="1:50" ht="76.5">
      <c r="A112" s="2418" t="s">
        <v>11006</v>
      </c>
      <c r="B112" s="338" t="s">
        <v>12469</v>
      </c>
      <c r="C112" s="321">
        <v>0</v>
      </c>
      <c r="D112" s="323">
        <v>44539</v>
      </c>
      <c r="E112" s="3058" t="s">
        <v>9156</v>
      </c>
      <c r="F112" s="830" t="s">
        <v>9005</v>
      </c>
      <c r="G112" s="5356">
        <v>1.0956269999999999</v>
      </c>
      <c r="H112" s="2273" t="s">
        <v>9544</v>
      </c>
      <c r="I112" s="339" t="s">
        <v>9494</v>
      </c>
      <c r="J112" s="2399" t="s">
        <v>4306</v>
      </c>
      <c r="K112" s="340">
        <v>45269</v>
      </c>
      <c r="L112" s="339" t="s">
        <v>9489</v>
      </c>
      <c r="M112" s="322" t="s">
        <v>9490</v>
      </c>
      <c r="N112" s="339" t="s">
        <v>9491</v>
      </c>
      <c r="O112" s="332" t="s">
        <v>9492</v>
      </c>
      <c r="P112" s="345"/>
      <c r="Q112" s="6094" t="s">
        <v>9047</v>
      </c>
      <c r="R112" s="322" t="s">
        <v>945</v>
      </c>
      <c r="S112" s="346"/>
      <c r="T112" s="347"/>
      <c r="U112" s="326"/>
      <c r="V112" s="348"/>
      <c r="W112" s="347"/>
      <c r="X112" s="326"/>
      <c r="Y112" s="348"/>
      <c r="Z112" s="347"/>
      <c r="AA112" s="326"/>
      <c r="AB112" s="348"/>
      <c r="AC112" s="820"/>
      <c r="AD112" s="821"/>
      <c r="AE112" s="822"/>
      <c r="AF112" s="820"/>
      <c r="AG112" s="821"/>
      <c r="AH112" s="822"/>
      <c r="AI112" s="482">
        <v>6534</v>
      </c>
      <c r="AJ112" s="326">
        <v>0</v>
      </c>
      <c r="AK112" s="3917">
        <v>0</v>
      </c>
      <c r="AL112" s="349">
        <f t="shared" si="35"/>
        <v>6534</v>
      </c>
      <c r="AM112" s="2002"/>
      <c r="AN112" s="3357"/>
      <c r="AO112" s="695"/>
      <c r="AP112" s="3362" t="str">
        <f t="shared" si="39"/>
        <v>Planning Reg 2023-2024</v>
      </c>
      <c r="AQ112" s="3555">
        <f t="shared" si="39"/>
        <v>1.1576249999999999</v>
      </c>
      <c r="AR112" s="333"/>
      <c r="AS112" s="330"/>
      <c r="AT112" s="330"/>
      <c r="AU112" s="849"/>
      <c r="AV112" s="849"/>
      <c r="AW112" s="3156">
        <f t="shared" si="36"/>
        <v>6904</v>
      </c>
      <c r="AX112" s="3140"/>
    </row>
    <row r="113" spans="1:50" ht="102">
      <c r="A113" s="2418" t="s">
        <v>11006</v>
      </c>
      <c r="B113" s="338" t="s">
        <v>12468</v>
      </c>
      <c r="C113" s="695">
        <v>1</v>
      </c>
      <c r="D113" s="323" t="s">
        <v>12094</v>
      </c>
      <c r="E113" s="3058" t="s">
        <v>12095</v>
      </c>
      <c r="F113" s="830" t="s">
        <v>12096</v>
      </c>
      <c r="G113" s="5356">
        <v>1.1576249999999999</v>
      </c>
      <c r="H113" s="332" t="s">
        <v>12098</v>
      </c>
      <c r="I113" s="339" t="s">
        <v>9190</v>
      </c>
      <c r="J113" s="2399" t="s">
        <v>4306</v>
      </c>
      <c r="K113" s="340">
        <v>46011</v>
      </c>
      <c r="L113" s="339" t="s">
        <v>9511</v>
      </c>
      <c r="M113" s="322" t="s">
        <v>9512</v>
      </c>
      <c r="N113" s="339" t="s">
        <v>9513</v>
      </c>
      <c r="O113" s="332" t="s">
        <v>9514</v>
      </c>
      <c r="P113" s="345" t="s">
        <v>12097</v>
      </c>
      <c r="Q113" s="6094" t="s">
        <v>9047</v>
      </c>
      <c r="R113" s="322" t="s">
        <v>945</v>
      </c>
      <c r="S113" s="346"/>
      <c r="T113" s="347"/>
      <c r="U113" s="326"/>
      <c r="V113" s="348"/>
      <c r="W113" s="347"/>
      <c r="X113" s="326"/>
      <c r="Y113" s="348"/>
      <c r="Z113" s="347"/>
      <c r="AA113" s="326"/>
      <c r="AB113" s="348"/>
      <c r="AC113" s="347"/>
      <c r="AD113" s="326"/>
      <c r="AE113" s="348"/>
      <c r="AF113" s="347"/>
      <c r="AG113" s="326"/>
      <c r="AH113" s="348"/>
      <c r="AI113" s="482">
        <v>5881</v>
      </c>
      <c r="AJ113" s="326">
        <v>0</v>
      </c>
      <c r="AK113" s="3917">
        <v>0</v>
      </c>
      <c r="AL113" s="349">
        <f t="shared" si="35"/>
        <v>5881</v>
      </c>
      <c r="AM113" s="2002"/>
      <c r="AN113" s="3357"/>
      <c r="AO113" s="695"/>
      <c r="AP113" s="3362" t="str">
        <f t="shared" si="39"/>
        <v>Planning Reg 2023-2024</v>
      </c>
      <c r="AQ113" s="3555">
        <f t="shared" si="39"/>
        <v>1.1576249999999999</v>
      </c>
      <c r="AR113" s="333"/>
      <c r="AS113" s="330"/>
      <c r="AT113" s="330"/>
      <c r="AU113" s="330"/>
      <c r="AV113" s="330"/>
      <c r="AW113" s="3156">
        <f t="shared" si="36"/>
        <v>5881</v>
      </c>
      <c r="AX113" s="3140"/>
    </row>
    <row r="114" spans="1:50" ht="76.5">
      <c r="A114" s="2418" t="s">
        <v>11006</v>
      </c>
      <c r="B114" s="338" t="s">
        <v>12435</v>
      </c>
      <c r="C114" s="321">
        <v>0</v>
      </c>
      <c r="D114" s="323">
        <v>44550</v>
      </c>
      <c r="E114" s="3058" t="s">
        <v>9156</v>
      </c>
      <c r="F114" s="830" t="s">
        <v>9005</v>
      </c>
      <c r="G114" s="5356">
        <v>1.0956269999999999</v>
      </c>
      <c r="H114" s="2273" t="s">
        <v>9559</v>
      </c>
      <c r="I114" s="339" t="s">
        <v>9190</v>
      </c>
      <c r="J114" s="2399" t="s">
        <v>4306</v>
      </c>
      <c r="K114" s="340">
        <v>46011</v>
      </c>
      <c r="L114" s="339" t="s">
        <v>9515</v>
      </c>
      <c r="M114" s="322" t="s">
        <v>8425</v>
      </c>
      <c r="N114" s="339" t="s">
        <v>9516</v>
      </c>
      <c r="O114" s="332" t="s">
        <v>9517</v>
      </c>
      <c r="P114" s="345"/>
      <c r="Q114" s="6094" t="s">
        <v>9047</v>
      </c>
      <c r="R114" s="322" t="s">
        <v>945</v>
      </c>
      <c r="S114" s="346"/>
      <c r="T114" s="347"/>
      <c r="U114" s="326"/>
      <c r="V114" s="348"/>
      <c r="W114" s="347"/>
      <c r="X114" s="326"/>
      <c r="Y114" s="348"/>
      <c r="Z114" s="347"/>
      <c r="AA114" s="326"/>
      <c r="AB114" s="348"/>
      <c r="AC114" s="820"/>
      <c r="AD114" s="821"/>
      <c r="AE114" s="822"/>
      <c r="AF114" s="820"/>
      <c r="AG114" s="821"/>
      <c r="AH114" s="822"/>
      <c r="AI114" s="482">
        <v>5567</v>
      </c>
      <c r="AJ114" s="326">
        <v>0</v>
      </c>
      <c r="AK114" s="3917">
        <v>0</v>
      </c>
      <c r="AL114" s="349">
        <f t="shared" si="35"/>
        <v>5567</v>
      </c>
      <c r="AM114" s="2002"/>
      <c r="AN114" s="3357"/>
      <c r="AO114" s="695"/>
      <c r="AP114" s="3362" t="str">
        <f t="shared" si="39"/>
        <v>Planning Reg 2023-2024</v>
      </c>
      <c r="AQ114" s="3555">
        <f t="shared" si="39"/>
        <v>1.1576249999999999</v>
      </c>
      <c r="AR114" s="333"/>
      <c r="AS114" s="330"/>
      <c r="AT114" s="330"/>
      <c r="AU114" s="849"/>
      <c r="AV114" s="849"/>
      <c r="AW114" s="3156">
        <f t="shared" si="36"/>
        <v>5882</v>
      </c>
      <c r="AX114" s="3140"/>
    </row>
    <row r="115" spans="1:50" ht="51">
      <c r="A115" s="2418" t="s">
        <v>11006</v>
      </c>
      <c r="B115" s="338" t="s">
        <v>12434</v>
      </c>
      <c r="C115" s="321">
        <v>0</v>
      </c>
      <c r="D115" s="323">
        <v>44552</v>
      </c>
      <c r="E115" s="3058" t="s">
        <v>9156</v>
      </c>
      <c r="F115" s="830" t="s">
        <v>9005</v>
      </c>
      <c r="G115" s="5356">
        <v>1.0956269999999999</v>
      </c>
      <c r="H115" s="332" t="s">
        <v>9557</v>
      </c>
      <c r="I115" s="339" t="s">
        <v>1433</v>
      </c>
      <c r="J115" s="322" t="s">
        <v>1434</v>
      </c>
      <c r="K115" s="340">
        <v>46737</v>
      </c>
      <c r="L115" s="339" t="s">
        <v>9525</v>
      </c>
      <c r="M115" s="322" t="s">
        <v>9526</v>
      </c>
      <c r="N115" s="339" t="s">
        <v>9528</v>
      </c>
      <c r="O115" s="332" t="s">
        <v>9527</v>
      </c>
      <c r="P115" s="345"/>
      <c r="Q115" s="322" t="s">
        <v>9529</v>
      </c>
      <c r="R115" s="322" t="s">
        <v>9530</v>
      </c>
      <c r="S115" s="346"/>
      <c r="T115" s="347"/>
      <c r="U115" s="326"/>
      <c r="V115" s="348"/>
      <c r="W115" s="347"/>
      <c r="X115" s="326"/>
      <c r="Y115" s="348"/>
      <c r="Z115" s="347"/>
      <c r="AA115" s="326"/>
      <c r="AB115" s="348"/>
      <c r="AC115" s="820"/>
      <c r="AD115" s="821"/>
      <c r="AE115" s="822"/>
      <c r="AF115" s="820"/>
      <c r="AG115" s="821"/>
      <c r="AH115" s="822"/>
      <c r="AI115" s="482">
        <v>838</v>
      </c>
      <c r="AJ115" s="326">
        <v>0</v>
      </c>
      <c r="AK115" s="3917">
        <v>0</v>
      </c>
      <c r="AL115" s="349">
        <f t="shared" si="35"/>
        <v>838</v>
      </c>
      <c r="AM115" s="2002"/>
      <c r="AN115" s="3357"/>
      <c r="AO115" s="695"/>
      <c r="AP115" s="3362" t="str">
        <f t="shared" si="39"/>
        <v>Planning Reg 2023-2024</v>
      </c>
      <c r="AQ115" s="3555">
        <f t="shared" si="39"/>
        <v>1.1576249999999999</v>
      </c>
      <c r="AR115" s="333"/>
      <c r="AS115" s="330"/>
      <c r="AT115" s="330"/>
      <c r="AU115" s="849"/>
      <c r="AV115" s="849"/>
      <c r="AW115" s="3156">
        <f t="shared" si="36"/>
        <v>885</v>
      </c>
      <c r="AX115" s="3140"/>
    </row>
    <row r="116" spans="1:50" ht="51">
      <c r="A116" s="2418" t="s">
        <v>11006</v>
      </c>
      <c r="B116" s="338" t="s">
        <v>8803</v>
      </c>
      <c r="C116" s="321">
        <v>0</v>
      </c>
      <c r="D116" s="323">
        <v>44552</v>
      </c>
      <c r="E116" s="3058" t="s">
        <v>9156</v>
      </c>
      <c r="F116" s="830" t="s">
        <v>9005</v>
      </c>
      <c r="G116" s="5356">
        <v>1.0956269999999999</v>
      </c>
      <c r="H116" s="332" t="s">
        <v>9558</v>
      </c>
      <c r="I116" s="339" t="s">
        <v>1433</v>
      </c>
      <c r="J116" s="322" t="s">
        <v>1434</v>
      </c>
      <c r="K116" s="340">
        <v>46737</v>
      </c>
      <c r="L116" s="339" t="s">
        <v>9532</v>
      </c>
      <c r="M116" s="322" t="s">
        <v>9533</v>
      </c>
      <c r="N116" s="339" t="s">
        <v>9535</v>
      </c>
      <c r="O116" s="332" t="s">
        <v>9534</v>
      </c>
      <c r="P116" s="345"/>
      <c r="Q116" s="6094" t="s">
        <v>9047</v>
      </c>
      <c r="R116" s="322" t="s">
        <v>945</v>
      </c>
      <c r="S116" s="346"/>
      <c r="T116" s="347"/>
      <c r="U116" s="326"/>
      <c r="V116" s="348"/>
      <c r="W116" s="347"/>
      <c r="X116" s="326"/>
      <c r="Y116" s="348"/>
      <c r="Z116" s="347"/>
      <c r="AA116" s="326"/>
      <c r="AB116" s="348"/>
      <c r="AC116" s="820"/>
      <c r="AD116" s="821"/>
      <c r="AE116" s="822"/>
      <c r="AF116" s="820"/>
      <c r="AG116" s="821"/>
      <c r="AH116" s="822"/>
      <c r="AI116" s="482">
        <v>5567</v>
      </c>
      <c r="AJ116" s="326">
        <v>0</v>
      </c>
      <c r="AK116" s="3917">
        <v>0</v>
      </c>
      <c r="AL116" s="349">
        <f t="shared" si="35"/>
        <v>5567</v>
      </c>
      <c r="AM116" s="2002"/>
      <c r="AN116" s="3357"/>
      <c r="AO116" s="695"/>
      <c r="AP116" s="3362" t="str">
        <f t="shared" si="39"/>
        <v>Planning Reg 2023-2024</v>
      </c>
      <c r="AQ116" s="3555">
        <f t="shared" si="39"/>
        <v>1.1576249999999999</v>
      </c>
      <c r="AR116" s="333"/>
      <c r="AS116" s="330"/>
      <c r="AT116" s="330"/>
      <c r="AU116" s="849"/>
      <c r="AV116" s="849"/>
      <c r="AW116" s="3156">
        <f t="shared" si="36"/>
        <v>5882</v>
      </c>
      <c r="AX116" s="3140"/>
    </row>
    <row r="117" spans="1:50" ht="76.5">
      <c r="A117" s="2418" t="s">
        <v>11006</v>
      </c>
      <c r="B117" s="338" t="s">
        <v>11018</v>
      </c>
      <c r="C117" s="321">
        <v>0</v>
      </c>
      <c r="D117" s="323">
        <v>44572</v>
      </c>
      <c r="E117" s="3058" t="s">
        <v>9156</v>
      </c>
      <c r="F117" s="830" t="s">
        <v>9005</v>
      </c>
      <c r="G117" s="5356">
        <v>1.0956269999999999</v>
      </c>
      <c r="H117" s="332" t="s">
        <v>9556</v>
      </c>
      <c r="I117" s="339" t="s">
        <v>9560</v>
      </c>
      <c r="J117" s="2399" t="s">
        <v>4306</v>
      </c>
      <c r="K117" s="340">
        <v>46032</v>
      </c>
      <c r="L117" s="339" t="s">
        <v>9561</v>
      </c>
      <c r="M117" s="322" t="s">
        <v>9562</v>
      </c>
      <c r="N117" s="339" t="s">
        <v>9563</v>
      </c>
      <c r="O117" s="332" t="s">
        <v>9564</v>
      </c>
      <c r="P117" s="345"/>
      <c r="Q117" s="6094" t="s">
        <v>9047</v>
      </c>
      <c r="R117" s="322" t="s">
        <v>945</v>
      </c>
      <c r="S117" s="346"/>
      <c r="T117" s="347"/>
      <c r="U117" s="326"/>
      <c r="V117" s="348"/>
      <c r="W117" s="347"/>
      <c r="X117" s="326"/>
      <c r="Y117" s="348"/>
      <c r="Z117" s="347"/>
      <c r="AA117" s="326"/>
      <c r="AB117" s="348"/>
      <c r="AC117" s="820"/>
      <c r="AD117" s="821"/>
      <c r="AE117" s="822"/>
      <c r="AF117" s="820"/>
      <c r="AG117" s="821"/>
      <c r="AH117" s="822"/>
      <c r="AI117" s="482">
        <v>5567</v>
      </c>
      <c r="AJ117" s="326">
        <v>0</v>
      </c>
      <c r="AK117" s="3917">
        <v>0</v>
      </c>
      <c r="AL117" s="349">
        <f t="shared" si="35"/>
        <v>5567</v>
      </c>
      <c r="AM117" s="2002"/>
      <c r="AN117" s="3357"/>
      <c r="AO117" s="695"/>
      <c r="AP117" s="3362" t="str">
        <f t="shared" si="39"/>
        <v>Planning Reg 2023-2024</v>
      </c>
      <c r="AQ117" s="3555">
        <f t="shared" si="39"/>
        <v>1.1576249999999999</v>
      </c>
      <c r="AR117" s="333"/>
      <c r="AS117" s="330"/>
      <c r="AT117" s="330"/>
      <c r="AU117" s="849"/>
      <c r="AV117" s="849"/>
      <c r="AW117" s="3156">
        <f t="shared" si="36"/>
        <v>5882</v>
      </c>
      <c r="AX117" s="3140"/>
    </row>
    <row r="118" spans="1:50" ht="51">
      <c r="A118" s="2418" t="s">
        <v>11006</v>
      </c>
      <c r="B118" s="338" t="s">
        <v>12433</v>
      </c>
      <c r="C118" s="321">
        <v>0</v>
      </c>
      <c r="D118" s="323">
        <v>44574</v>
      </c>
      <c r="E118" s="3058" t="s">
        <v>9156</v>
      </c>
      <c r="F118" s="830" t="s">
        <v>9005</v>
      </c>
      <c r="G118" s="5356">
        <v>1.0956269999999999</v>
      </c>
      <c r="H118" s="332" t="s">
        <v>9571</v>
      </c>
      <c r="I118" s="339" t="s">
        <v>1433</v>
      </c>
      <c r="J118" s="322" t="s">
        <v>1434</v>
      </c>
      <c r="K118" s="340">
        <v>46763</v>
      </c>
      <c r="L118" s="339" t="s">
        <v>9572</v>
      </c>
      <c r="M118" s="322" t="s">
        <v>3046</v>
      </c>
      <c r="N118" s="339" t="s">
        <v>9573</v>
      </c>
      <c r="O118" s="332" t="s">
        <v>9574</v>
      </c>
      <c r="P118" s="345"/>
      <c r="Q118" s="322" t="s">
        <v>9575</v>
      </c>
      <c r="R118" s="322" t="s">
        <v>9441</v>
      </c>
      <c r="S118" s="346"/>
      <c r="T118" s="347"/>
      <c r="U118" s="326"/>
      <c r="V118" s="348"/>
      <c r="W118" s="347"/>
      <c r="X118" s="326"/>
      <c r="Y118" s="348"/>
      <c r="Z118" s="347"/>
      <c r="AA118" s="326"/>
      <c r="AB118" s="348"/>
      <c r="AC118" s="820"/>
      <c r="AD118" s="821"/>
      <c r="AE118" s="822"/>
      <c r="AF118" s="820"/>
      <c r="AG118" s="821"/>
      <c r="AH118" s="822"/>
      <c r="AI118" s="482">
        <v>11201</v>
      </c>
      <c r="AJ118" s="326">
        <v>0</v>
      </c>
      <c r="AK118" s="3917">
        <v>0</v>
      </c>
      <c r="AL118" s="349">
        <f t="shared" si="35"/>
        <v>11201</v>
      </c>
      <c r="AM118" s="2002"/>
      <c r="AN118" s="3357"/>
      <c r="AO118" s="695"/>
      <c r="AP118" s="3362" t="str">
        <f t="shared" si="39"/>
        <v>Planning Reg 2023-2024</v>
      </c>
      <c r="AQ118" s="3555">
        <f t="shared" si="39"/>
        <v>1.1576249999999999</v>
      </c>
      <c r="AR118" s="333"/>
      <c r="AS118" s="330"/>
      <c r="AT118" s="330"/>
      <c r="AU118" s="849"/>
      <c r="AV118" s="849"/>
      <c r="AW118" s="3156">
        <f t="shared" si="36"/>
        <v>11835</v>
      </c>
      <c r="AX118" s="3140"/>
    </row>
    <row r="119" spans="1:50" ht="76.5">
      <c r="A119" s="2418" t="s">
        <v>11006</v>
      </c>
      <c r="B119" s="338" t="s">
        <v>12432</v>
      </c>
      <c r="C119" s="321">
        <v>0</v>
      </c>
      <c r="D119" s="323">
        <v>44580</v>
      </c>
      <c r="E119" s="3058" t="s">
        <v>9156</v>
      </c>
      <c r="F119" s="830" t="s">
        <v>9005</v>
      </c>
      <c r="G119" s="5356">
        <v>1.0956269999999999</v>
      </c>
      <c r="H119" s="2273" t="s">
        <v>9671</v>
      </c>
      <c r="I119" s="339" t="s">
        <v>9560</v>
      </c>
      <c r="J119" s="2399" t="s">
        <v>4306</v>
      </c>
      <c r="K119" s="340">
        <v>45305</v>
      </c>
      <c r="L119" s="339" t="s">
        <v>9579</v>
      </c>
      <c r="M119" s="322" t="s">
        <v>9580</v>
      </c>
      <c r="N119" s="339" t="s">
        <v>9581</v>
      </c>
      <c r="O119" s="332" t="s">
        <v>9582</v>
      </c>
      <c r="P119" s="345"/>
      <c r="Q119" s="6094" t="s">
        <v>9047</v>
      </c>
      <c r="R119" s="322" t="s">
        <v>945</v>
      </c>
      <c r="S119" s="346"/>
      <c r="T119" s="347"/>
      <c r="U119" s="326"/>
      <c r="V119" s="348"/>
      <c r="W119" s="347"/>
      <c r="X119" s="326"/>
      <c r="Y119" s="348"/>
      <c r="Z119" s="347"/>
      <c r="AA119" s="326"/>
      <c r="AB119" s="348"/>
      <c r="AC119" s="820"/>
      <c r="AD119" s="821"/>
      <c r="AE119" s="822"/>
      <c r="AF119" s="820"/>
      <c r="AG119" s="821"/>
      <c r="AH119" s="822"/>
      <c r="AI119" s="482">
        <v>5567</v>
      </c>
      <c r="AJ119" s="326">
        <v>0</v>
      </c>
      <c r="AK119" s="3917">
        <v>0</v>
      </c>
      <c r="AL119" s="349">
        <f t="shared" si="35"/>
        <v>5567</v>
      </c>
      <c r="AM119" s="2002"/>
      <c r="AN119" s="3357"/>
      <c r="AO119" s="695"/>
      <c r="AP119" s="3362" t="str">
        <f t="shared" si="39"/>
        <v>Planning Reg 2023-2024</v>
      </c>
      <c r="AQ119" s="3555">
        <f t="shared" si="39"/>
        <v>1.1576249999999999</v>
      </c>
      <c r="AR119" s="333"/>
      <c r="AS119" s="330"/>
      <c r="AT119" s="330"/>
      <c r="AU119" s="849"/>
      <c r="AV119" s="849"/>
      <c r="AW119" s="3156">
        <f t="shared" si="36"/>
        <v>5882</v>
      </c>
      <c r="AX119" s="3140"/>
    </row>
    <row r="120" spans="1:50" ht="76.5">
      <c r="A120" s="2418" t="s">
        <v>11006</v>
      </c>
      <c r="B120" s="338" t="s">
        <v>9245</v>
      </c>
      <c r="C120" s="321">
        <v>0</v>
      </c>
      <c r="D120" s="323">
        <v>44601</v>
      </c>
      <c r="E120" s="3058" t="s">
        <v>9156</v>
      </c>
      <c r="F120" s="830" t="s">
        <v>9005</v>
      </c>
      <c r="G120" s="5356">
        <v>1.0956269999999999</v>
      </c>
      <c r="H120" s="2273" t="s">
        <v>9631</v>
      </c>
      <c r="I120" s="339" t="s">
        <v>9630</v>
      </c>
      <c r="J120" s="2399" t="s">
        <v>4306</v>
      </c>
      <c r="K120" s="340">
        <v>45311</v>
      </c>
      <c r="L120" s="339" t="s">
        <v>9632</v>
      </c>
      <c r="M120" s="322" t="s">
        <v>9633</v>
      </c>
      <c r="N120" s="339" t="s">
        <v>9634</v>
      </c>
      <c r="O120" s="332" t="s">
        <v>9633</v>
      </c>
      <c r="P120" s="345"/>
      <c r="Q120" s="6094" t="s">
        <v>9047</v>
      </c>
      <c r="R120" s="322" t="s">
        <v>945</v>
      </c>
      <c r="S120" s="346"/>
      <c r="T120" s="347"/>
      <c r="U120" s="326"/>
      <c r="V120" s="348"/>
      <c r="W120" s="347"/>
      <c r="X120" s="326"/>
      <c r="Y120" s="348"/>
      <c r="Z120" s="347"/>
      <c r="AA120" s="326"/>
      <c r="AB120" s="348"/>
      <c r="AC120" s="820"/>
      <c r="AD120" s="821"/>
      <c r="AE120" s="822"/>
      <c r="AF120" s="820"/>
      <c r="AG120" s="821"/>
      <c r="AH120" s="822"/>
      <c r="AI120" s="482">
        <v>6534</v>
      </c>
      <c r="AJ120" s="326">
        <v>0</v>
      </c>
      <c r="AK120" s="3917">
        <v>0</v>
      </c>
      <c r="AL120" s="349">
        <f t="shared" si="35"/>
        <v>6534</v>
      </c>
      <c r="AM120" s="2002"/>
      <c r="AN120" s="3357"/>
      <c r="AO120" s="695"/>
      <c r="AP120" s="3362" t="str">
        <f t="shared" si="39"/>
        <v>Planning Reg 2023-2024</v>
      </c>
      <c r="AQ120" s="3555">
        <f t="shared" si="39"/>
        <v>1.1576249999999999</v>
      </c>
      <c r="AR120" s="333"/>
      <c r="AS120" s="330"/>
      <c r="AT120" s="330"/>
      <c r="AU120" s="849"/>
      <c r="AV120" s="849"/>
      <c r="AW120" s="3156">
        <f t="shared" si="36"/>
        <v>6904</v>
      </c>
      <c r="AX120" s="3140"/>
    </row>
    <row r="121" spans="1:50" ht="51">
      <c r="A121" s="2418" t="s">
        <v>11006</v>
      </c>
      <c r="B121" s="338" t="s">
        <v>12467</v>
      </c>
      <c r="C121" s="321">
        <v>0</v>
      </c>
      <c r="D121" s="323">
        <v>44606</v>
      </c>
      <c r="E121" s="3058" t="s">
        <v>9156</v>
      </c>
      <c r="F121" s="830" t="s">
        <v>9005</v>
      </c>
      <c r="G121" s="5356">
        <v>1.0956269999999999</v>
      </c>
      <c r="H121" s="332" t="s">
        <v>9669</v>
      </c>
      <c r="I121" s="339" t="s">
        <v>1433</v>
      </c>
      <c r="J121" s="322" t="s">
        <v>1434</v>
      </c>
      <c r="K121" s="340">
        <v>46794</v>
      </c>
      <c r="L121" s="339" t="s">
        <v>9638</v>
      </c>
      <c r="M121" s="322" t="s">
        <v>6628</v>
      </c>
      <c r="N121" s="339" t="s">
        <v>9639</v>
      </c>
      <c r="O121" s="332" t="s">
        <v>9654</v>
      </c>
      <c r="P121" s="345" t="s">
        <v>11536</v>
      </c>
      <c r="Q121" s="322" t="s">
        <v>11538</v>
      </c>
      <c r="R121" s="322" t="s">
        <v>7830</v>
      </c>
      <c r="S121" s="346"/>
      <c r="T121" s="347"/>
      <c r="U121" s="326"/>
      <c r="V121" s="348"/>
      <c r="W121" s="347"/>
      <c r="X121" s="326"/>
      <c r="Y121" s="348"/>
      <c r="Z121" s="347"/>
      <c r="AA121" s="326"/>
      <c r="AB121" s="348"/>
      <c r="AC121" s="820"/>
      <c r="AD121" s="821"/>
      <c r="AE121" s="822"/>
      <c r="AF121" s="820"/>
      <c r="AG121" s="821"/>
      <c r="AH121" s="822"/>
      <c r="AI121" s="482">
        <f>16802</f>
        <v>16802</v>
      </c>
      <c r="AJ121" s="326">
        <v>0</v>
      </c>
      <c r="AK121" s="3917">
        <v>0</v>
      </c>
      <c r="AL121" s="349">
        <f t="shared" si="35"/>
        <v>16802</v>
      </c>
      <c r="AM121" s="2002"/>
      <c r="AN121" s="3357"/>
      <c r="AO121" s="695"/>
      <c r="AP121" s="3362" t="str">
        <f t="shared" si="39"/>
        <v>Planning Reg 2023-2024</v>
      </c>
      <c r="AQ121" s="3555">
        <f t="shared" si="39"/>
        <v>1.1576249999999999</v>
      </c>
      <c r="AR121" s="333"/>
      <c r="AS121" s="330"/>
      <c r="AT121" s="330"/>
      <c r="AU121" s="849"/>
      <c r="AV121" s="849"/>
      <c r="AW121" s="3156">
        <f t="shared" si="36"/>
        <v>17753</v>
      </c>
      <c r="AX121" s="3140"/>
    </row>
    <row r="122" spans="1:50" ht="51">
      <c r="A122" s="2418" t="s">
        <v>11006</v>
      </c>
      <c r="B122" s="338" t="s">
        <v>9246</v>
      </c>
      <c r="C122" s="321">
        <v>0</v>
      </c>
      <c r="D122" s="323">
        <v>44616</v>
      </c>
      <c r="E122" s="3058" t="s">
        <v>9156</v>
      </c>
      <c r="F122" s="830" t="s">
        <v>9005</v>
      </c>
      <c r="G122" s="5356">
        <v>1.0956269999999999</v>
      </c>
      <c r="H122" s="332" t="s">
        <v>9651</v>
      </c>
      <c r="I122" s="339" t="s">
        <v>1433</v>
      </c>
      <c r="J122" s="322" t="s">
        <v>1434</v>
      </c>
      <c r="K122" s="340">
        <v>46804</v>
      </c>
      <c r="L122" s="339" t="s">
        <v>9652</v>
      </c>
      <c r="M122" s="322" t="s">
        <v>9580</v>
      </c>
      <c r="N122" s="339" t="s">
        <v>9653</v>
      </c>
      <c r="O122" s="332" t="s">
        <v>9655</v>
      </c>
      <c r="P122" s="345"/>
      <c r="Q122" s="322" t="s">
        <v>9657</v>
      </c>
      <c r="R122" s="322" t="s">
        <v>129</v>
      </c>
      <c r="S122" s="346" t="s">
        <v>9656</v>
      </c>
      <c r="T122" s="347"/>
      <c r="U122" s="326"/>
      <c r="V122" s="348"/>
      <c r="W122" s="347"/>
      <c r="X122" s="326"/>
      <c r="Y122" s="348"/>
      <c r="Z122" s="347"/>
      <c r="AA122" s="326"/>
      <c r="AB122" s="348"/>
      <c r="AC122" s="820"/>
      <c r="AD122" s="821"/>
      <c r="AE122" s="822"/>
      <c r="AF122" s="820"/>
      <c r="AG122" s="821"/>
      <c r="AH122" s="822"/>
      <c r="AI122" s="482">
        <v>18406</v>
      </c>
      <c r="AJ122" s="326">
        <v>0</v>
      </c>
      <c r="AK122" s="3917">
        <v>3812</v>
      </c>
      <c r="AL122" s="349">
        <f t="shared" si="35"/>
        <v>14594</v>
      </c>
      <c r="AM122" s="2002"/>
      <c r="AN122" s="3357"/>
      <c r="AO122" s="695"/>
      <c r="AP122" s="3362" t="str">
        <f t="shared" si="39"/>
        <v>Planning Reg 2023-2024</v>
      </c>
      <c r="AQ122" s="3555">
        <f t="shared" si="39"/>
        <v>1.1576249999999999</v>
      </c>
      <c r="AR122" s="333"/>
      <c r="AS122" s="330"/>
      <c r="AT122" s="330"/>
      <c r="AU122" s="849"/>
      <c r="AV122" s="849"/>
      <c r="AW122" s="3156">
        <f t="shared" si="36"/>
        <v>15420</v>
      </c>
      <c r="AX122" s="3140"/>
    </row>
    <row r="123" spans="1:50" ht="76.5">
      <c r="A123" s="2418" t="s">
        <v>11006</v>
      </c>
      <c r="B123" s="338" t="s">
        <v>12466</v>
      </c>
      <c r="C123" s="321">
        <v>0</v>
      </c>
      <c r="D123" s="323">
        <v>44616</v>
      </c>
      <c r="E123" s="3058" t="s">
        <v>9156</v>
      </c>
      <c r="F123" s="830" t="s">
        <v>9005</v>
      </c>
      <c r="G123" s="5356">
        <v>1.0956269999999999</v>
      </c>
      <c r="H123" s="332" t="s">
        <v>9658</v>
      </c>
      <c r="I123" s="339" t="s">
        <v>1433</v>
      </c>
      <c r="J123" s="322" t="s">
        <v>1434</v>
      </c>
      <c r="K123" s="340">
        <v>46804</v>
      </c>
      <c r="L123" s="339" t="s">
        <v>9659</v>
      </c>
      <c r="M123" s="322" t="s">
        <v>9660</v>
      </c>
      <c r="N123" s="339" t="s">
        <v>9661</v>
      </c>
      <c r="O123" s="332" t="s">
        <v>9662</v>
      </c>
      <c r="P123" s="345" t="s">
        <v>9664</v>
      </c>
      <c r="Q123" s="322" t="s">
        <v>9663</v>
      </c>
      <c r="R123" s="322" t="s">
        <v>7830</v>
      </c>
      <c r="S123" s="346"/>
      <c r="T123" s="347"/>
      <c r="U123" s="326"/>
      <c r="V123" s="348"/>
      <c r="W123" s="347"/>
      <c r="X123" s="326"/>
      <c r="Y123" s="348"/>
      <c r="Z123" s="347"/>
      <c r="AA123" s="326"/>
      <c r="AB123" s="348"/>
      <c r="AC123" s="820"/>
      <c r="AD123" s="821"/>
      <c r="AE123" s="822"/>
      <c r="AF123" s="820"/>
      <c r="AG123" s="821"/>
      <c r="AH123" s="822"/>
      <c r="AI123" s="482">
        <v>15681</v>
      </c>
      <c r="AJ123" s="326">
        <v>0</v>
      </c>
      <c r="AK123" s="3917">
        <v>0</v>
      </c>
      <c r="AL123" s="349">
        <f t="shared" si="35"/>
        <v>15681</v>
      </c>
      <c r="AM123" s="2002"/>
      <c r="AN123" s="3357"/>
      <c r="AO123" s="695"/>
      <c r="AP123" s="3362" t="str">
        <f t="shared" si="39"/>
        <v>Planning Reg 2023-2024</v>
      </c>
      <c r="AQ123" s="3555">
        <f t="shared" si="39"/>
        <v>1.1576249999999999</v>
      </c>
      <c r="AR123" s="333"/>
      <c r="AS123" s="330"/>
      <c r="AT123" s="330"/>
      <c r="AU123" s="849"/>
      <c r="AV123" s="849"/>
      <c r="AW123" s="3156">
        <f t="shared" si="36"/>
        <v>16568</v>
      </c>
      <c r="AX123" s="3140"/>
    </row>
    <row r="124" spans="1:50" ht="51">
      <c r="A124" s="2418" t="s">
        <v>11006</v>
      </c>
      <c r="B124" s="1569" t="s">
        <v>12465</v>
      </c>
      <c r="C124" s="1570">
        <v>0</v>
      </c>
      <c r="D124" s="1571">
        <v>44617</v>
      </c>
      <c r="E124" s="4221" t="s">
        <v>9156</v>
      </c>
      <c r="F124" s="4838" t="s">
        <v>9005</v>
      </c>
      <c r="G124" s="5771">
        <v>1.0956269999999999</v>
      </c>
      <c r="H124" s="1573" t="s">
        <v>9665</v>
      </c>
      <c r="I124" s="1574" t="s">
        <v>1433</v>
      </c>
      <c r="J124" s="3208" t="s">
        <v>1434</v>
      </c>
      <c r="K124" s="4222" t="s">
        <v>9666</v>
      </c>
      <c r="L124" s="1574" t="s">
        <v>6036</v>
      </c>
      <c r="M124" s="3208" t="s">
        <v>1957</v>
      </c>
      <c r="N124" s="1574" t="s">
        <v>1476</v>
      </c>
      <c r="O124" s="1573" t="s">
        <v>12419</v>
      </c>
      <c r="P124" s="4220"/>
      <c r="Q124" s="3208" t="s">
        <v>9667</v>
      </c>
      <c r="R124" s="3208" t="s">
        <v>9668</v>
      </c>
      <c r="S124" s="1577" t="s">
        <v>3476</v>
      </c>
      <c r="T124" s="4858"/>
      <c r="U124" s="1593"/>
      <c r="V124" s="4859"/>
      <c r="W124" s="4858"/>
      <c r="X124" s="1593"/>
      <c r="Y124" s="4859"/>
      <c r="Z124" s="4858"/>
      <c r="AA124" s="1593"/>
      <c r="AB124" s="4859"/>
      <c r="AC124" s="4858"/>
      <c r="AD124" s="1593"/>
      <c r="AE124" s="4859"/>
      <c r="AF124" s="4858"/>
      <c r="AG124" s="1593"/>
      <c r="AH124" s="4859"/>
      <c r="AI124" s="4860">
        <v>77396</v>
      </c>
      <c r="AJ124" s="1593">
        <v>77396</v>
      </c>
      <c r="AK124" s="4861">
        <v>0</v>
      </c>
      <c r="AL124" s="4862">
        <f t="shared" si="35"/>
        <v>0</v>
      </c>
      <c r="AM124" s="4863"/>
      <c r="AN124" s="4864"/>
      <c r="AO124" s="4865"/>
      <c r="AP124" s="4873" t="str">
        <f t="shared" ref="AP124:AQ143" si="40">AP$2</f>
        <v>Planning Reg 2023-2024</v>
      </c>
      <c r="AQ124" s="4874">
        <f t="shared" si="40"/>
        <v>1.1576249999999999</v>
      </c>
      <c r="AR124" s="4866"/>
      <c r="AS124" s="4867"/>
      <c r="AT124" s="4867"/>
      <c r="AU124" s="4867"/>
      <c r="AV124" s="4867"/>
      <c r="AW124" s="4868">
        <f t="shared" si="36"/>
        <v>0</v>
      </c>
      <c r="AX124" s="3140"/>
    </row>
    <row r="125" spans="1:50" ht="51">
      <c r="A125" s="2418" t="s">
        <v>11006</v>
      </c>
      <c r="B125" s="338" t="s">
        <v>9249</v>
      </c>
      <c r="C125" s="321">
        <v>0</v>
      </c>
      <c r="D125" s="323">
        <v>44634</v>
      </c>
      <c r="E125" s="3058" t="s">
        <v>9156</v>
      </c>
      <c r="F125" s="830" t="s">
        <v>9005</v>
      </c>
      <c r="G125" s="5356">
        <v>1.0956269999999999</v>
      </c>
      <c r="H125" s="332" t="s">
        <v>9717</v>
      </c>
      <c r="I125" s="339" t="s">
        <v>1433</v>
      </c>
      <c r="J125" s="322" t="s">
        <v>1434</v>
      </c>
      <c r="K125" s="340">
        <v>46822</v>
      </c>
      <c r="L125" s="339" t="s">
        <v>9718</v>
      </c>
      <c r="M125" s="322" t="s">
        <v>6628</v>
      </c>
      <c r="N125" s="339" t="s">
        <v>9720</v>
      </c>
      <c r="O125" s="332" t="s">
        <v>9719</v>
      </c>
      <c r="P125" s="345"/>
      <c r="Q125" s="322" t="s">
        <v>9657</v>
      </c>
      <c r="R125" s="322" t="s">
        <v>351</v>
      </c>
      <c r="S125" s="346"/>
      <c r="T125" s="347"/>
      <c r="U125" s="326"/>
      <c r="V125" s="348"/>
      <c r="W125" s="347"/>
      <c r="X125" s="326"/>
      <c r="Y125" s="348"/>
      <c r="Z125" s="347"/>
      <c r="AA125" s="326"/>
      <c r="AB125" s="348"/>
      <c r="AC125" s="820"/>
      <c r="AD125" s="821"/>
      <c r="AE125" s="822"/>
      <c r="AF125" s="820"/>
      <c r="AG125" s="821"/>
      <c r="AH125" s="822"/>
      <c r="AI125" s="482">
        <v>18406</v>
      </c>
      <c r="AJ125" s="326">
        <v>0</v>
      </c>
      <c r="AK125" s="3917">
        <v>0</v>
      </c>
      <c r="AL125" s="349">
        <f t="shared" si="35"/>
        <v>18406</v>
      </c>
      <c r="AM125" s="2002"/>
      <c r="AN125" s="3357"/>
      <c r="AO125" s="695"/>
      <c r="AP125" s="3362" t="str">
        <f t="shared" si="40"/>
        <v>Planning Reg 2023-2024</v>
      </c>
      <c r="AQ125" s="3555">
        <f t="shared" si="40"/>
        <v>1.1576249999999999</v>
      </c>
      <c r="AR125" s="333"/>
      <c r="AS125" s="330"/>
      <c r="AT125" s="330"/>
      <c r="AU125" s="849"/>
      <c r="AV125" s="849"/>
      <c r="AW125" s="3156">
        <f t="shared" si="36"/>
        <v>19448</v>
      </c>
      <c r="AX125" s="3140"/>
    </row>
    <row r="126" spans="1:50" ht="76.5">
      <c r="A126" s="2418" t="s">
        <v>11006</v>
      </c>
      <c r="B126" s="338" t="s">
        <v>12058</v>
      </c>
      <c r="C126" s="321">
        <v>0</v>
      </c>
      <c r="D126" s="323">
        <v>44637</v>
      </c>
      <c r="E126" s="3058" t="s">
        <v>9156</v>
      </c>
      <c r="F126" s="830" t="s">
        <v>9005</v>
      </c>
      <c r="G126" s="5356">
        <v>1.0956269999999999</v>
      </c>
      <c r="H126" s="2273" t="s">
        <v>9738</v>
      </c>
      <c r="I126" s="339" t="s">
        <v>9739</v>
      </c>
      <c r="J126" s="2399" t="s">
        <v>4306</v>
      </c>
      <c r="K126" s="340">
        <v>45368</v>
      </c>
      <c r="L126" s="339" t="s">
        <v>9740</v>
      </c>
      <c r="M126" s="322" t="s">
        <v>9282</v>
      </c>
      <c r="N126" s="339" t="s">
        <v>9281</v>
      </c>
      <c r="O126" s="322" t="s">
        <v>9282</v>
      </c>
      <c r="P126" s="345"/>
      <c r="Q126" s="322" t="s">
        <v>9741</v>
      </c>
      <c r="R126" s="322" t="s">
        <v>7830</v>
      </c>
      <c r="S126" s="346"/>
      <c r="T126" s="347"/>
      <c r="U126" s="326"/>
      <c r="V126" s="348"/>
      <c r="W126" s="347"/>
      <c r="X126" s="326"/>
      <c r="Y126" s="348"/>
      <c r="Z126" s="347"/>
      <c r="AA126" s="326"/>
      <c r="AB126" s="348"/>
      <c r="AC126" s="820"/>
      <c r="AD126" s="821"/>
      <c r="AE126" s="822"/>
      <c r="AF126" s="820"/>
      <c r="AG126" s="821"/>
      <c r="AH126" s="822"/>
      <c r="AI126" s="482">
        <v>6573</v>
      </c>
      <c r="AJ126" s="326">
        <v>0</v>
      </c>
      <c r="AK126" s="3917">
        <v>0</v>
      </c>
      <c r="AL126" s="349">
        <f t="shared" si="35"/>
        <v>6573</v>
      </c>
      <c r="AM126" s="2002"/>
      <c r="AN126" s="3357"/>
      <c r="AO126" s="695"/>
      <c r="AP126" s="3362" t="str">
        <f t="shared" si="40"/>
        <v>Planning Reg 2023-2024</v>
      </c>
      <c r="AQ126" s="3555">
        <f t="shared" si="40"/>
        <v>1.1576249999999999</v>
      </c>
      <c r="AR126" s="333"/>
      <c r="AS126" s="330"/>
      <c r="AT126" s="330"/>
      <c r="AU126" s="849"/>
      <c r="AV126" s="849"/>
      <c r="AW126" s="3156">
        <f t="shared" si="36"/>
        <v>6945</v>
      </c>
      <c r="AX126" s="3140"/>
    </row>
    <row r="127" spans="1:50" ht="51">
      <c r="A127" s="2418" t="s">
        <v>11006</v>
      </c>
      <c r="B127" s="338" t="s">
        <v>9250</v>
      </c>
      <c r="C127" s="321">
        <v>0</v>
      </c>
      <c r="D127" s="323">
        <v>44637</v>
      </c>
      <c r="E127" s="3058" t="s">
        <v>9156</v>
      </c>
      <c r="F127" s="830" t="s">
        <v>9005</v>
      </c>
      <c r="G127" s="5356">
        <v>1.0956269999999999</v>
      </c>
      <c r="H127" s="332" t="s">
        <v>9742</v>
      </c>
      <c r="I127" s="339" t="s">
        <v>1433</v>
      </c>
      <c r="J127" s="322" t="s">
        <v>1434</v>
      </c>
      <c r="K127" s="340">
        <v>46827</v>
      </c>
      <c r="L127" s="339" t="s">
        <v>9743</v>
      </c>
      <c r="M127" s="322" t="s">
        <v>8102</v>
      </c>
      <c r="N127" s="339" t="s">
        <v>9744</v>
      </c>
      <c r="O127" s="332" t="s">
        <v>9745</v>
      </c>
      <c r="P127" s="345"/>
      <c r="Q127" s="322" t="s">
        <v>9746</v>
      </c>
      <c r="R127" s="322" t="s">
        <v>351</v>
      </c>
      <c r="S127" s="346"/>
      <c r="T127" s="347"/>
      <c r="U127" s="326"/>
      <c r="V127" s="348"/>
      <c r="W127" s="347"/>
      <c r="X127" s="326"/>
      <c r="Y127" s="348"/>
      <c r="Z127" s="347"/>
      <c r="AA127" s="326"/>
      <c r="AB127" s="348"/>
      <c r="AC127" s="820"/>
      <c r="AD127" s="821"/>
      <c r="AE127" s="822"/>
      <c r="AF127" s="820"/>
      <c r="AG127" s="821"/>
      <c r="AH127" s="822"/>
      <c r="AI127" s="482">
        <v>7888</v>
      </c>
      <c r="AJ127" s="326">
        <v>0</v>
      </c>
      <c r="AK127" s="3917">
        <v>0</v>
      </c>
      <c r="AL127" s="349">
        <f t="shared" si="35"/>
        <v>7888</v>
      </c>
      <c r="AM127" s="2002"/>
      <c r="AN127" s="3357"/>
      <c r="AO127" s="695"/>
      <c r="AP127" s="3362" t="str">
        <f t="shared" si="40"/>
        <v>Planning Reg 2023-2024</v>
      </c>
      <c r="AQ127" s="3555">
        <f t="shared" si="40"/>
        <v>1.1576249999999999</v>
      </c>
      <c r="AR127" s="333"/>
      <c r="AS127" s="330"/>
      <c r="AT127" s="330"/>
      <c r="AU127" s="849"/>
      <c r="AV127" s="849"/>
      <c r="AW127" s="3156">
        <f t="shared" si="36"/>
        <v>8334</v>
      </c>
      <c r="AX127" s="3140"/>
    </row>
    <row r="128" spans="1:50" ht="89.25">
      <c r="A128" s="2418" t="s">
        <v>11006</v>
      </c>
      <c r="B128" s="338" t="s">
        <v>11019</v>
      </c>
      <c r="C128" s="321">
        <v>0</v>
      </c>
      <c r="D128" s="323">
        <v>44650</v>
      </c>
      <c r="E128" s="3058" t="s">
        <v>9156</v>
      </c>
      <c r="F128" s="830" t="s">
        <v>9005</v>
      </c>
      <c r="G128" s="5356">
        <v>1.0956269999999999</v>
      </c>
      <c r="H128" s="2273" t="s">
        <v>9791</v>
      </c>
      <c r="I128" s="339" t="s">
        <v>9794</v>
      </c>
      <c r="J128" s="2399" t="s">
        <v>4306</v>
      </c>
      <c r="K128" s="340">
        <v>45381</v>
      </c>
      <c r="L128" s="339" t="s">
        <v>9797</v>
      </c>
      <c r="M128" s="322" t="s">
        <v>9798</v>
      </c>
      <c r="N128" s="339" t="s">
        <v>9799</v>
      </c>
      <c r="O128" s="332" t="s">
        <v>9800</v>
      </c>
      <c r="P128" s="345"/>
      <c r="Q128" s="6094" t="s">
        <v>9047</v>
      </c>
      <c r="R128" s="322" t="s">
        <v>945</v>
      </c>
      <c r="S128" s="346"/>
      <c r="T128" s="347"/>
      <c r="U128" s="326"/>
      <c r="V128" s="348"/>
      <c r="W128" s="347"/>
      <c r="X128" s="326"/>
      <c r="Y128" s="348"/>
      <c r="Z128" s="347"/>
      <c r="AA128" s="326"/>
      <c r="AB128" s="348"/>
      <c r="AC128" s="820"/>
      <c r="AD128" s="821"/>
      <c r="AE128" s="822"/>
      <c r="AF128" s="820"/>
      <c r="AG128" s="821"/>
      <c r="AH128" s="822"/>
      <c r="AI128" s="482">
        <v>5567</v>
      </c>
      <c r="AJ128" s="326">
        <v>0</v>
      </c>
      <c r="AK128" s="3917">
        <v>0</v>
      </c>
      <c r="AL128" s="349">
        <f t="shared" si="35"/>
        <v>5567</v>
      </c>
      <c r="AM128" s="2002"/>
      <c r="AN128" s="3357"/>
      <c r="AO128" s="695"/>
      <c r="AP128" s="3362" t="str">
        <f t="shared" si="40"/>
        <v>Planning Reg 2023-2024</v>
      </c>
      <c r="AQ128" s="3555">
        <f t="shared" si="40"/>
        <v>1.1576249999999999</v>
      </c>
      <c r="AR128" s="333"/>
      <c r="AS128" s="330"/>
      <c r="AT128" s="330"/>
      <c r="AU128" s="849"/>
      <c r="AV128" s="849"/>
      <c r="AW128" s="3156">
        <f t="shared" si="36"/>
        <v>5882</v>
      </c>
      <c r="AX128" s="3140"/>
    </row>
    <row r="129" spans="1:50" ht="51">
      <c r="A129" s="2418" t="s">
        <v>11006</v>
      </c>
      <c r="B129" s="5788" t="s">
        <v>9256</v>
      </c>
      <c r="C129" s="321">
        <v>0</v>
      </c>
      <c r="D129" s="323">
        <v>44672</v>
      </c>
      <c r="E129" s="3058" t="s">
        <v>9156</v>
      </c>
      <c r="F129" s="830" t="s">
        <v>9005</v>
      </c>
      <c r="G129" s="5356">
        <v>1.0956269999999999</v>
      </c>
      <c r="H129" s="332" t="s">
        <v>9861</v>
      </c>
      <c r="I129" s="339" t="s">
        <v>1433</v>
      </c>
      <c r="J129" s="322" t="s">
        <v>1434</v>
      </c>
      <c r="K129" s="340" t="s">
        <v>4905</v>
      </c>
      <c r="L129" s="339" t="s">
        <v>9862</v>
      </c>
      <c r="M129" s="322" t="s">
        <v>8102</v>
      </c>
      <c r="N129" s="339" t="s">
        <v>9863</v>
      </c>
      <c r="O129" s="332" t="s">
        <v>9864</v>
      </c>
      <c r="P129" s="345"/>
      <c r="Q129" s="322" t="s">
        <v>9865</v>
      </c>
      <c r="R129" s="322" t="s">
        <v>9866</v>
      </c>
      <c r="S129" s="346"/>
      <c r="T129" s="347"/>
      <c r="U129" s="326"/>
      <c r="V129" s="348"/>
      <c r="W129" s="347"/>
      <c r="X129" s="326"/>
      <c r="Y129" s="348"/>
      <c r="Z129" s="347"/>
      <c r="AA129" s="326"/>
      <c r="AB129" s="348"/>
      <c r="AC129" s="347"/>
      <c r="AD129" s="326"/>
      <c r="AE129" s="348"/>
      <c r="AF129" s="347"/>
      <c r="AG129" s="326"/>
      <c r="AH129" s="348"/>
      <c r="AI129" s="482">
        <v>3195</v>
      </c>
      <c r="AJ129" s="326">
        <v>0</v>
      </c>
      <c r="AK129" s="3917">
        <v>0</v>
      </c>
      <c r="AL129" s="349">
        <f t="shared" si="35"/>
        <v>3195</v>
      </c>
      <c r="AM129" s="2002"/>
      <c r="AN129" s="3357"/>
      <c r="AO129" s="695"/>
      <c r="AP129" s="3362" t="str">
        <f t="shared" si="40"/>
        <v>Planning Reg 2023-2024</v>
      </c>
      <c r="AQ129" s="3555">
        <f t="shared" si="40"/>
        <v>1.1576249999999999</v>
      </c>
      <c r="AR129" s="333"/>
      <c r="AS129" s="330"/>
      <c r="AT129" s="330"/>
      <c r="AU129" s="330"/>
      <c r="AV129" s="330"/>
      <c r="AW129" s="3156">
        <f t="shared" si="36"/>
        <v>3376</v>
      </c>
      <c r="AX129" s="3140"/>
    </row>
    <row r="130" spans="1:50" ht="51">
      <c r="A130" s="2418" t="s">
        <v>11006</v>
      </c>
      <c r="B130" s="338" t="s">
        <v>9257</v>
      </c>
      <c r="C130" s="321">
        <v>0</v>
      </c>
      <c r="D130" s="323">
        <v>44677</v>
      </c>
      <c r="E130" s="3058" t="s">
        <v>9156</v>
      </c>
      <c r="F130" s="830" t="s">
        <v>9005</v>
      </c>
      <c r="G130" s="5356">
        <v>1.0956269999999999</v>
      </c>
      <c r="H130" s="332" t="s">
        <v>9867</v>
      </c>
      <c r="I130" s="339" t="s">
        <v>1433</v>
      </c>
      <c r="J130" s="322" t="s">
        <v>1434</v>
      </c>
      <c r="K130" s="340">
        <v>46863</v>
      </c>
      <c r="L130" s="339" t="s">
        <v>9868</v>
      </c>
      <c r="M130" s="322" t="s">
        <v>9869</v>
      </c>
      <c r="N130" s="339" t="s">
        <v>9871</v>
      </c>
      <c r="O130" s="332" t="s">
        <v>9870</v>
      </c>
      <c r="P130" s="345"/>
      <c r="Q130" s="322" t="s">
        <v>9872</v>
      </c>
      <c r="R130" s="322" t="s">
        <v>581</v>
      </c>
      <c r="S130" s="346"/>
      <c r="T130" s="347"/>
      <c r="U130" s="326"/>
      <c r="V130" s="348"/>
      <c r="W130" s="347"/>
      <c r="X130" s="326"/>
      <c r="Y130" s="348"/>
      <c r="Z130" s="347"/>
      <c r="AA130" s="326"/>
      <c r="AB130" s="348"/>
      <c r="AC130" s="820"/>
      <c r="AD130" s="821"/>
      <c r="AE130" s="822"/>
      <c r="AF130" s="820"/>
      <c r="AG130" s="821"/>
      <c r="AH130" s="822"/>
      <c r="AI130" s="482">
        <v>52590</v>
      </c>
      <c r="AJ130" s="326">
        <v>0</v>
      </c>
      <c r="AK130" s="3917">
        <v>0</v>
      </c>
      <c r="AL130" s="349">
        <f t="shared" si="35"/>
        <v>52590</v>
      </c>
      <c r="AM130" s="2002"/>
      <c r="AN130" s="3357"/>
      <c r="AO130" s="695"/>
      <c r="AP130" s="3362" t="str">
        <f t="shared" si="40"/>
        <v>Planning Reg 2023-2024</v>
      </c>
      <c r="AQ130" s="3555">
        <f t="shared" si="40"/>
        <v>1.1576249999999999</v>
      </c>
      <c r="AR130" s="333"/>
      <c r="AS130" s="330"/>
      <c r="AT130" s="330"/>
      <c r="AU130" s="849"/>
      <c r="AV130" s="849"/>
      <c r="AW130" s="3156">
        <f t="shared" si="36"/>
        <v>55566</v>
      </c>
      <c r="AX130" s="3140"/>
    </row>
    <row r="131" spans="1:50" ht="76.5">
      <c r="A131" s="2418" t="s">
        <v>11006</v>
      </c>
      <c r="B131" s="338" t="s">
        <v>9258</v>
      </c>
      <c r="C131" s="321">
        <v>0</v>
      </c>
      <c r="D131" s="323">
        <v>44677</v>
      </c>
      <c r="E131" s="3058" t="s">
        <v>9156</v>
      </c>
      <c r="F131" s="830" t="s">
        <v>9005</v>
      </c>
      <c r="G131" s="5356">
        <v>1.0956269999999999</v>
      </c>
      <c r="H131" s="2273" t="s">
        <v>9879</v>
      </c>
      <c r="I131" s="339" t="s">
        <v>9883</v>
      </c>
      <c r="J131" s="2399" t="s">
        <v>4306</v>
      </c>
      <c r="K131" s="340">
        <v>45360</v>
      </c>
      <c r="L131" s="339" t="s">
        <v>9880</v>
      </c>
      <c r="M131" s="322" t="s">
        <v>9881</v>
      </c>
      <c r="N131" s="339" t="s">
        <v>9882</v>
      </c>
      <c r="O131" s="332" t="s">
        <v>6271</v>
      </c>
      <c r="P131" s="345" t="s">
        <v>9878</v>
      </c>
      <c r="Q131" s="6094" t="s">
        <v>9071</v>
      </c>
      <c r="R131" s="322" t="s">
        <v>581</v>
      </c>
      <c r="S131" s="346"/>
      <c r="T131" s="347"/>
      <c r="U131" s="326"/>
      <c r="V131" s="348"/>
      <c r="W131" s="347"/>
      <c r="X131" s="326"/>
      <c r="Y131" s="348"/>
      <c r="Z131" s="347"/>
      <c r="AA131" s="326"/>
      <c r="AB131" s="348"/>
      <c r="AC131" s="820"/>
      <c r="AD131" s="821"/>
      <c r="AE131" s="822"/>
      <c r="AF131" s="820"/>
      <c r="AG131" s="821"/>
      <c r="AH131" s="822"/>
      <c r="AI131" s="482">
        <v>6534</v>
      </c>
      <c r="AJ131" s="326">
        <v>0</v>
      </c>
      <c r="AK131" s="3917">
        <v>0</v>
      </c>
      <c r="AL131" s="349">
        <f t="shared" ref="AL131:AL194" si="41">AI131-AJ131-AK131</f>
        <v>6534</v>
      </c>
      <c r="AM131" s="2002"/>
      <c r="AN131" s="3357"/>
      <c r="AO131" s="695"/>
      <c r="AP131" s="3362" t="str">
        <f t="shared" si="40"/>
        <v>Planning Reg 2023-2024</v>
      </c>
      <c r="AQ131" s="3555">
        <f t="shared" si="40"/>
        <v>1.1576249999999999</v>
      </c>
      <c r="AR131" s="333"/>
      <c r="AS131" s="330"/>
      <c r="AT131" s="330"/>
      <c r="AU131" s="849"/>
      <c r="AV131" s="849"/>
      <c r="AW131" s="3156">
        <f t="shared" ref="AW131:AW194" si="42">ROUND(AL131*AQ131/G131,0)</f>
        <v>6904</v>
      </c>
      <c r="AX131" s="3140"/>
    </row>
    <row r="132" spans="1:50" ht="132" customHeight="1">
      <c r="A132" s="2418" t="s">
        <v>11006</v>
      </c>
      <c r="B132" s="338" t="s">
        <v>12136</v>
      </c>
      <c r="C132" s="695">
        <v>1</v>
      </c>
      <c r="D132" s="323" t="s">
        <v>9930</v>
      </c>
      <c r="E132" s="3058" t="s">
        <v>9156</v>
      </c>
      <c r="F132" s="830" t="s">
        <v>9005</v>
      </c>
      <c r="G132" s="5356">
        <v>1.0956269999999999</v>
      </c>
      <c r="H132" s="2273" t="s">
        <v>9897</v>
      </c>
      <c r="I132" s="339" t="s">
        <v>9896</v>
      </c>
      <c r="J132" s="2399" t="s">
        <v>9929</v>
      </c>
      <c r="K132" s="340">
        <v>45409</v>
      </c>
      <c r="L132" s="339" t="s">
        <v>9892</v>
      </c>
      <c r="M132" s="322" t="s">
        <v>9893</v>
      </c>
      <c r="N132" s="339" t="s">
        <v>9895</v>
      </c>
      <c r="O132" s="332" t="s">
        <v>9894</v>
      </c>
      <c r="P132" s="345" t="s">
        <v>9931</v>
      </c>
      <c r="Q132" s="6094" t="s">
        <v>9071</v>
      </c>
      <c r="R132" s="322" t="s">
        <v>581</v>
      </c>
      <c r="S132" s="346"/>
      <c r="T132" s="347"/>
      <c r="U132" s="326"/>
      <c r="V132" s="348"/>
      <c r="W132" s="347"/>
      <c r="X132" s="326"/>
      <c r="Y132" s="348"/>
      <c r="Z132" s="347"/>
      <c r="AA132" s="326"/>
      <c r="AB132" s="348"/>
      <c r="AC132" s="820"/>
      <c r="AD132" s="821"/>
      <c r="AE132" s="822"/>
      <c r="AF132" s="820"/>
      <c r="AG132" s="821"/>
      <c r="AH132" s="822"/>
      <c r="AI132" s="482">
        <v>5567</v>
      </c>
      <c r="AJ132" s="326">
        <v>0</v>
      </c>
      <c r="AK132" s="3917">
        <v>0</v>
      </c>
      <c r="AL132" s="349">
        <f t="shared" si="41"/>
        <v>5567</v>
      </c>
      <c r="AM132" s="2002"/>
      <c r="AN132" s="3357"/>
      <c r="AO132" s="695"/>
      <c r="AP132" s="3362" t="str">
        <f t="shared" si="40"/>
        <v>Planning Reg 2023-2024</v>
      </c>
      <c r="AQ132" s="3555">
        <f t="shared" si="40"/>
        <v>1.1576249999999999</v>
      </c>
      <c r="AR132" s="333"/>
      <c r="AS132" s="330"/>
      <c r="AT132" s="330"/>
      <c r="AU132" s="849"/>
      <c r="AV132" s="849"/>
      <c r="AW132" s="3156">
        <f t="shared" si="42"/>
        <v>5882</v>
      </c>
      <c r="AX132" s="3140"/>
    </row>
    <row r="133" spans="1:50" ht="76.5">
      <c r="A133" s="2418" t="s">
        <v>11006</v>
      </c>
      <c r="B133" s="338" t="s">
        <v>12464</v>
      </c>
      <c r="C133" s="321">
        <v>0</v>
      </c>
      <c r="D133" s="323">
        <v>44687</v>
      </c>
      <c r="E133" s="3058" t="s">
        <v>9156</v>
      </c>
      <c r="F133" s="830" t="s">
        <v>9005</v>
      </c>
      <c r="G133" s="5356">
        <v>1.0956269999999999</v>
      </c>
      <c r="H133" s="332" t="s">
        <v>10470</v>
      </c>
      <c r="I133" s="339" t="s">
        <v>9560</v>
      </c>
      <c r="J133" s="2399" t="s">
        <v>4306</v>
      </c>
      <c r="K133" s="340">
        <v>45409</v>
      </c>
      <c r="L133" s="339" t="s">
        <v>4790</v>
      </c>
      <c r="M133" s="322" t="s">
        <v>9905</v>
      </c>
      <c r="N133" s="339" t="s">
        <v>9912</v>
      </c>
      <c r="O133" s="332" t="s">
        <v>9906</v>
      </c>
      <c r="P133" s="345"/>
      <c r="Q133" s="6094" t="s">
        <v>9071</v>
      </c>
      <c r="R133" s="322" t="s">
        <v>581</v>
      </c>
      <c r="S133" s="346"/>
      <c r="T133" s="347"/>
      <c r="U133" s="326"/>
      <c r="V133" s="348"/>
      <c r="W133" s="347"/>
      <c r="X133" s="326"/>
      <c r="Y133" s="348"/>
      <c r="Z133" s="347"/>
      <c r="AA133" s="326"/>
      <c r="AB133" s="348"/>
      <c r="AC133" s="820"/>
      <c r="AD133" s="821"/>
      <c r="AE133" s="822"/>
      <c r="AF133" s="820"/>
      <c r="AG133" s="821"/>
      <c r="AH133" s="822"/>
      <c r="AI133" s="482">
        <v>5567</v>
      </c>
      <c r="AJ133" s="326">
        <v>0</v>
      </c>
      <c r="AK133" s="3917">
        <v>0</v>
      </c>
      <c r="AL133" s="349">
        <f t="shared" si="41"/>
        <v>5567</v>
      </c>
      <c r="AM133" s="2002"/>
      <c r="AN133" s="3357"/>
      <c r="AO133" s="695"/>
      <c r="AP133" s="3362" t="str">
        <f t="shared" si="40"/>
        <v>Planning Reg 2023-2024</v>
      </c>
      <c r="AQ133" s="3555">
        <f t="shared" si="40"/>
        <v>1.1576249999999999</v>
      </c>
      <c r="AR133" s="333"/>
      <c r="AS133" s="330"/>
      <c r="AT133" s="330"/>
      <c r="AU133" s="849"/>
      <c r="AV133" s="849"/>
      <c r="AW133" s="3156">
        <f t="shared" si="42"/>
        <v>5882</v>
      </c>
      <c r="AX133" s="3140"/>
    </row>
    <row r="134" spans="1:50" ht="51">
      <c r="A134" s="2418" t="s">
        <v>11006</v>
      </c>
      <c r="B134" s="338" t="s">
        <v>9707</v>
      </c>
      <c r="C134" s="321">
        <v>0</v>
      </c>
      <c r="D134" s="323">
        <v>44694</v>
      </c>
      <c r="E134" s="3058" t="s">
        <v>9156</v>
      </c>
      <c r="F134" s="830" t="s">
        <v>9005</v>
      </c>
      <c r="G134" s="5356">
        <v>1.0956269999999999</v>
      </c>
      <c r="H134" s="332" t="s">
        <v>9916</v>
      </c>
      <c r="I134" s="339" t="s">
        <v>5753</v>
      </c>
      <c r="J134" s="322" t="s">
        <v>2712</v>
      </c>
      <c r="K134" s="340">
        <v>46154</v>
      </c>
      <c r="L134" s="339" t="s">
        <v>9917</v>
      </c>
      <c r="M134" s="322" t="s">
        <v>9918</v>
      </c>
      <c r="N134" s="339" t="s">
        <v>9919</v>
      </c>
      <c r="O134" s="332" t="s">
        <v>9920</v>
      </c>
      <c r="P134" s="345"/>
      <c r="Q134" s="322" t="s">
        <v>9921</v>
      </c>
      <c r="R134" s="322" t="s">
        <v>8326</v>
      </c>
      <c r="S134" s="346"/>
      <c r="T134" s="347"/>
      <c r="U134" s="326"/>
      <c r="V134" s="348"/>
      <c r="W134" s="347"/>
      <c r="X134" s="326"/>
      <c r="Y134" s="348"/>
      <c r="Z134" s="347"/>
      <c r="AA134" s="326"/>
      <c r="AB134" s="348"/>
      <c r="AC134" s="820"/>
      <c r="AD134" s="821"/>
      <c r="AE134" s="822"/>
      <c r="AF134" s="820"/>
      <c r="AG134" s="821"/>
      <c r="AH134" s="822"/>
      <c r="AI134" s="482">
        <v>31365</v>
      </c>
      <c r="AJ134" s="326">
        <v>0</v>
      </c>
      <c r="AK134" s="3917">
        <v>0</v>
      </c>
      <c r="AL134" s="349">
        <f t="shared" si="41"/>
        <v>31365</v>
      </c>
      <c r="AM134" s="2002"/>
      <c r="AN134" s="3357"/>
      <c r="AO134" s="695"/>
      <c r="AP134" s="3362" t="str">
        <f t="shared" si="40"/>
        <v>Planning Reg 2023-2024</v>
      </c>
      <c r="AQ134" s="3555">
        <f t="shared" si="40"/>
        <v>1.1576249999999999</v>
      </c>
      <c r="AR134" s="333"/>
      <c r="AS134" s="330"/>
      <c r="AT134" s="330"/>
      <c r="AU134" s="849"/>
      <c r="AV134" s="849"/>
      <c r="AW134" s="3156">
        <f t="shared" si="42"/>
        <v>33140</v>
      </c>
      <c r="AX134" s="3140"/>
    </row>
    <row r="135" spans="1:50" ht="51">
      <c r="A135" s="2418" t="s">
        <v>11030</v>
      </c>
      <c r="B135" s="338" t="s">
        <v>9708</v>
      </c>
      <c r="C135" s="321">
        <v>0</v>
      </c>
      <c r="D135" s="323">
        <v>44698</v>
      </c>
      <c r="E135" s="3058" t="s">
        <v>9156</v>
      </c>
      <c r="F135" s="830" t="s">
        <v>9005</v>
      </c>
      <c r="G135" s="5356">
        <v>1.0956269999999999</v>
      </c>
      <c r="H135" s="332" t="s">
        <v>9927</v>
      </c>
      <c r="I135" s="339" t="s">
        <v>5753</v>
      </c>
      <c r="J135" s="322" t="s">
        <v>2712</v>
      </c>
      <c r="K135" s="340">
        <v>46158</v>
      </c>
      <c r="L135" s="339" t="s">
        <v>9923</v>
      </c>
      <c r="M135" s="322" t="s">
        <v>9924</v>
      </c>
      <c r="N135" s="339" t="s">
        <v>9926</v>
      </c>
      <c r="O135" s="332" t="s">
        <v>9925</v>
      </c>
      <c r="P135" s="345"/>
      <c r="Q135" s="322" t="s">
        <v>8325</v>
      </c>
      <c r="R135" s="322" t="s">
        <v>8326</v>
      </c>
      <c r="S135" s="346"/>
      <c r="T135" s="347"/>
      <c r="U135" s="326"/>
      <c r="V135" s="348"/>
      <c r="W135" s="347"/>
      <c r="X135" s="326"/>
      <c r="Y135" s="348"/>
      <c r="Z135" s="347"/>
      <c r="AA135" s="326"/>
      <c r="AB135" s="348"/>
      <c r="AC135" s="820"/>
      <c r="AD135" s="821"/>
      <c r="AE135" s="822"/>
      <c r="AF135" s="820"/>
      <c r="AG135" s="821"/>
      <c r="AH135" s="822"/>
      <c r="AI135" s="482">
        <v>15682</v>
      </c>
      <c r="AJ135" s="326">
        <v>0</v>
      </c>
      <c r="AK135" s="3917">
        <v>0</v>
      </c>
      <c r="AL135" s="349">
        <f t="shared" si="41"/>
        <v>15682</v>
      </c>
      <c r="AM135" s="2002"/>
      <c r="AN135" s="3357"/>
      <c r="AO135" s="695"/>
      <c r="AP135" s="3362" t="str">
        <f t="shared" si="40"/>
        <v>Planning Reg 2023-2024</v>
      </c>
      <c r="AQ135" s="3555">
        <f t="shared" si="40"/>
        <v>1.1576249999999999</v>
      </c>
      <c r="AR135" s="333"/>
      <c r="AS135" s="330"/>
      <c r="AT135" s="330"/>
      <c r="AU135" s="849"/>
      <c r="AV135" s="849"/>
      <c r="AW135" s="3156">
        <f t="shared" si="42"/>
        <v>16569</v>
      </c>
      <c r="AX135" s="3140"/>
    </row>
    <row r="136" spans="1:50" ht="51">
      <c r="A136" s="2418" t="s">
        <v>11030</v>
      </c>
      <c r="B136" s="338" t="s">
        <v>9709</v>
      </c>
      <c r="C136" s="321">
        <v>0</v>
      </c>
      <c r="D136" s="323">
        <v>44704</v>
      </c>
      <c r="E136" s="3058" t="s">
        <v>9156</v>
      </c>
      <c r="F136" s="830" t="s">
        <v>9005</v>
      </c>
      <c r="G136" s="5356">
        <v>1.0956269999999999</v>
      </c>
      <c r="H136" s="332" t="s">
        <v>9942</v>
      </c>
      <c r="I136" s="339" t="s">
        <v>1433</v>
      </c>
      <c r="J136" s="322" t="s">
        <v>1434</v>
      </c>
      <c r="K136" s="341" t="s">
        <v>5777</v>
      </c>
      <c r="L136" s="339" t="s">
        <v>9943</v>
      </c>
      <c r="M136" s="322" t="s">
        <v>9944</v>
      </c>
      <c r="N136" s="339" t="s">
        <v>9946</v>
      </c>
      <c r="O136" s="332" t="s">
        <v>9945</v>
      </c>
      <c r="P136" s="345" t="s">
        <v>10068</v>
      </c>
      <c r="Q136" s="322" t="s">
        <v>9947</v>
      </c>
      <c r="R136" s="322" t="s">
        <v>9948</v>
      </c>
      <c r="S136" s="346" t="s">
        <v>9949</v>
      </c>
      <c r="T136" s="347"/>
      <c r="U136" s="326"/>
      <c r="V136" s="348"/>
      <c r="W136" s="347"/>
      <c r="X136" s="326"/>
      <c r="Y136" s="348"/>
      <c r="Z136" s="347"/>
      <c r="AA136" s="326"/>
      <c r="AB136" s="348"/>
      <c r="AC136" s="820"/>
      <c r="AD136" s="821"/>
      <c r="AE136" s="822"/>
      <c r="AF136" s="820"/>
      <c r="AG136" s="821"/>
      <c r="AH136" s="822"/>
      <c r="AI136" s="482">
        <v>3052</v>
      </c>
      <c r="AJ136" s="326">
        <v>0</v>
      </c>
      <c r="AK136" s="3917">
        <v>3052</v>
      </c>
      <c r="AL136" s="349">
        <f t="shared" si="41"/>
        <v>0</v>
      </c>
      <c r="AM136" s="2002"/>
      <c r="AN136" s="3357"/>
      <c r="AO136" s="695"/>
      <c r="AP136" s="3362" t="str">
        <f t="shared" si="40"/>
        <v>Planning Reg 2023-2024</v>
      </c>
      <c r="AQ136" s="3555">
        <f t="shared" si="40"/>
        <v>1.1576249999999999</v>
      </c>
      <c r="AR136" s="333"/>
      <c r="AS136" s="330"/>
      <c r="AT136" s="330"/>
      <c r="AU136" s="849"/>
      <c r="AV136" s="849"/>
      <c r="AW136" s="3156">
        <f t="shared" si="42"/>
        <v>0</v>
      </c>
      <c r="AX136" s="3140"/>
    </row>
    <row r="137" spans="1:50" ht="51">
      <c r="A137" s="2418" t="s">
        <v>11030</v>
      </c>
      <c r="B137" s="338" t="s">
        <v>12463</v>
      </c>
      <c r="C137" s="321">
        <v>0</v>
      </c>
      <c r="D137" s="323">
        <v>44721</v>
      </c>
      <c r="E137" s="3058" t="s">
        <v>9156</v>
      </c>
      <c r="F137" s="830" t="s">
        <v>9005</v>
      </c>
      <c r="G137" s="5356">
        <v>1.0956269999999999</v>
      </c>
      <c r="H137" s="332" t="s">
        <v>9991</v>
      </c>
      <c r="I137" s="339" t="s">
        <v>1433</v>
      </c>
      <c r="J137" s="322" t="s">
        <v>1434</v>
      </c>
      <c r="K137" s="340">
        <v>46910</v>
      </c>
      <c r="L137" s="339" t="s">
        <v>9992</v>
      </c>
      <c r="M137" s="322" t="s">
        <v>8102</v>
      </c>
      <c r="N137" s="339" t="s">
        <v>9994</v>
      </c>
      <c r="O137" s="332" t="s">
        <v>9993</v>
      </c>
      <c r="P137" s="345"/>
      <c r="Q137" s="322" t="s">
        <v>9995</v>
      </c>
      <c r="R137" s="322" t="s">
        <v>945</v>
      </c>
      <c r="S137" s="346"/>
      <c r="T137" s="347"/>
      <c r="U137" s="326"/>
      <c r="V137" s="348"/>
      <c r="W137" s="347"/>
      <c r="X137" s="326"/>
      <c r="Y137" s="348"/>
      <c r="Z137" s="347"/>
      <c r="AA137" s="326"/>
      <c r="AB137" s="348"/>
      <c r="AC137" s="820"/>
      <c r="AD137" s="821"/>
      <c r="AE137" s="822"/>
      <c r="AF137" s="820"/>
      <c r="AG137" s="821"/>
      <c r="AH137" s="822"/>
      <c r="AI137" s="482">
        <v>18406</v>
      </c>
      <c r="AJ137" s="326">
        <v>0</v>
      </c>
      <c r="AK137" s="3917">
        <v>0</v>
      </c>
      <c r="AL137" s="349">
        <f t="shared" si="41"/>
        <v>18406</v>
      </c>
      <c r="AM137" s="2002"/>
      <c r="AN137" s="3357"/>
      <c r="AO137" s="695"/>
      <c r="AP137" s="3362" t="str">
        <f t="shared" si="40"/>
        <v>Planning Reg 2023-2024</v>
      </c>
      <c r="AQ137" s="3555">
        <f t="shared" si="40"/>
        <v>1.1576249999999999</v>
      </c>
      <c r="AR137" s="333"/>
      <c r="AS137" s="330"/>
      <c r="AT137" s="330"/>
      <c r="AU137" s="849"/>
      <c r="AV137" s="849"/>
      <c r="AW137" s="3156">
        <f t="shared" si="42"/>
        <v>19448</v>
      </c>
      <c r="AX137" s="3140"/>
    </row>
    <row r="138" spans="1:50" ht="51">
      <c r="A138" s="2418" t="s">
        <v>11030</v>
      </c>
      <c r="B138" s="338" t="s">
        <v>12431</v>
      </c>
      <c r="C138" s="321">
        <v>0</v>
      </c>
      <c r="D138" s="323">
        <v>44721</v>
      </c>
      <c r="E138" s="3058" t="s">
        <v>9156</v>
      </c>
      <c r="F138" s="830" t="s">
        <v>9005</v>
      </c>
      <c r="G138" s="5356">
        <v>1.0956269999999999</v>
      </c>
      <c r="H138" s="332" t="s">
        <v>9998</v>
      </c>
      <c r="I138" s="339" t="s">
        <v>1433</v>
      </c>
      <c r="J138" s="322" t="s">
        <v>1434</v>
      </c>
      <c r="K138" s="340">
        <v>46910</v>
      </c>
      <c r="L138" s="339" t="s">
        <v>9992</v>
      </c>
      <c r="M138" s="322" t="s">
        <v>8102</v>
      </c>
      <c r="N138" s="339" t="s">
        <v>9997</v>
      </c>
      <c r="O138" s="332" t="s">
        <v>9996</v>
      </c>
      <c r="P138" s="345"/>
      <c r="Q138" s="322" t="s">
        <v>9995</v>
      </c>
      <c r="R138" s="322" t="s">
        <v>945</v>
      </c>
      <c r="S138" s="346"/>
      <c r="T138" s="347"/>
      <c r="U138" s="326"/>
      <c r="V138" s="348"/>
      <c r="W138" s="347"/>
      <c r="X138" s="326"/>
      <c r="Y138" s="348"/>
      <c r="Z138" s="347"/>
      <c r="AA138" s="326"/>
      <c r="AB138" s="348"/>
      <c r="AC138" s="820"/>
      <c r="AD138" s="821"/>
      <c r="AE138" s="822"/>
      <c r="AF138" s="820"/>
      <c r="AG138" s="821"/>
      <c r="AH138" s="822"/>
      <c r="AI138" s="482">
        <v>18406</v>
      </c>
      <c r="AJ138" s="326">
        <v>0</v>
      </c>
      <c r="AK138" s="3917">
        <v>0</v>
      </c>
      <c r="AL138" s="349">
        <f t="shared" si="41"/>
        <v>18406</v>
      </c>
      <c r="AM138" s="2002"/>
      <c r="AN138" s="3357"/>
      <c r="AO138" s="695"/>
      <c r="AP138" s="3362" t="str">
        <f t="shared" si="40"/>
        <v>Planning Reg 2023-2024</v>
      </c>
      <c r="AQ138" s="3555">
        <f t="shared" si="40"/>
        <v>1.1576249999999999</v>
      </c>
      <c r="AR138" s="333"/>
      <c r="AS138" s="330"/>
      <c r="AT138" s="330"/>
      <c r="AU138" s="849"/>
      <c r="AV138" s="849"/>
      <c r="AW138" s="3156">
        <f t="shared" si="42"/>
        <v>19448</v>
      </c>
      <c r="AX138" s="3140"/>
    </row>
    <row r="139" spans="1:50" ht="51">
      <c r="A139" s="2418" t="s">
        <v>11030</v>
      </c>
      <c r="B139" s="338" t="s">
        <v>9773</v>
      </c>
      <c r="C139" s="321">
        <v>0</v>
      </c>
      <c r="D139" s="323">
        <v>44733</v>
      </c>
      <c r="E139" s="3058" t="s">
        <v>9156</v>
      </c>
      <c r="F139" s="830" t="s">
        <v>9005</v>
      </c>
      <c r="G139" s="5356">
        <v>1.0956269999999999</v>
      </c>
      <c r="H139" s="332" t="s">
        <v>10047</v>
      </c>
      <c r="I139" s="339" t="s">
        <v>1433</v>
      </c>
      <c r="J139" s="322" t="s">
        <v>1434</v>
      </c>
      <c r="K139" s="340">
        <v>46918</v>
      </c>
      <c r="L139" s="339" t="s">
        <v>10048</v>
      </c>
      <c r="M139" s="322" t="s">
        <v>9594</v>
      </c>
      <c r="N139" s="339" t="s">
        <v>10050</v>
      </c>
      <c r="O139" s="332" t="s">
        <v>10049</v>
      </c>
      <c r="P139" s="345"/>
      <c r="Q139" s="322" t="s">
        <v>10051</v>
      </c>
      <c r="R139" s="322" t="s">
        <v>945</v>
      </c>
      <c r="S139" s="346"/>
      <c r="T139" s="347"/>
      <c r="U139" s="326"/>
      <c r="V139" s="348"/>
      <c r="W139" s="347"/>
      <c r="X139" s="326"/>
      <c r="Y139" s="348"/>
      <c r="Z139" s="347"/>
      <c r="AA139" s="326"/>
      <c r="AB139" s="348"/>
      <c r="AC139" s="820"/>
      <c r="AD139" s="821"/>
      <c r="AE139" s="822"/>
      <c r="AF139" s="820"/>
      <c r="AG139" s="821"/>
      <c r="AH139" s="822"/>
      <c r="AI139" s="482">
        <v>36813</v>
      </c>
      <c r="AJ139" s="326">
        <v>0</v>
      </c>
      <c r="AK139" s="3917">
        <v>0</v>
      </c>
      <c r="AL139" s="349">
        <f t="shared" si="41"/>
        <v>36813</v>
      </c>
      <c r="AM139" s="2002"/>
      <c r="AN139" s="3357"/>
      <c r="AO139" s="695"/>
      <c r="AP139" s="3362" t="str">
        <f t="shared" si="40"/>
        <v>Planning Reg 2023-2024</v>
      </c>
      <c r="AQ139" s="3555">
        <f t="shared" si="40"/>
        <v>1.1576249999999999</v>
      </c>
      <c r="AR139" s="333"/>
      <c r="AS139" s="330"/>
      <c r="AT139" s="330"/>
      <c r="AU139" s="849"/>
      <c r="AV139" s="849"/>
      <c r="AW139" s="3156">
        <f t="shared" si="42"/>
        <v>38896</v>
      </c>
      <c r="AX139" s="3140"/>
    </row>
    <row r="140" spans="1:50" ht="76.5">
      <c r="A140" s="2418" t="s">
        <v>11030</v>
      </c>
      <c r="B140" s="338" t="s">
        <v>12462</v>
      </c>
      <c r="C140" s="695">
        <v>1</v>
      </c>
      <c r="D140" s="323" t="s">
        <v>10398</v>
      </c>
      <c r="E140" s="3058" t="s">
        <v>9156</v>
      </c>
      <c r="F140" s="830" t="s">
        <v>10388</v>
      </c>
      <c r="G140" s="5457">
        <v>1.1100000000000001</v>
      </c>
      <c r="H140" s="332" t="s">
        <v>10397</v>
      </c>
      <c r="I140" s="339" t="s">
        <v>1433</v>
      </c>
      <c r="J140" s="322" t="s">
        <v>1434</v>
      </c>
      <c r="K140" s="340">
        <v>46920</v>
      </c>
      <c r="L140" s="339" t="s">
        <v>9943</v>
      </c>
      <c r="M140" s="322" t="s">
        <v>9944</v>
      </c>
      <c r="N140" s="339" t="s">
        <v>9946</v>
      </c>
      <c r="O140" s="332" t="s">
        <v>10053</v>
      </c>
      <c r="P140" s="345"/>
      <c r="Q140" s="322" t="s">
        <v>10386</v>
      </c>
      <c r="R140" s="322" t="s">
        <v>10052</v>
      </c>
      <c r="S140" s="346" t="s">
        <v>10387</v>
      </c>
      <c r="T140" s="347"/>
      <c r="U140" s="326"/>
      <c r="V140" s="348"/>
      <c r="W140" s="347"/>
      <c r="X140" s="326"/>
      <c r="Y140" s="348"/>
      <c r="Z140" s="347"/>
      <c r="AA140" s="326"/>
      <c r="AB140" s="348"/>
      <c r="AC140" s="820"/>
      <c r="AD140" s="821"/>
      <c r="AE140" s="822"/>
      <c r="AF140" s="820"/>
      <c r="AG140" s="821"/>
      <c r="AH140" s="822"/>
      <c r="AI140" s="5750">
        <v>1173442</v>
      </c>
      <c r="AJ140" s="326">
        <v>0</v>
      </c>
      <c r="AK140" s="3917">
        <v>1173442</v>
      </c>
      <c r="AL140" s="349">
        <f t="shared" si="41"/>
        <v>0</v>
      </c>
      <c r="AM140" s="2002"/>
      <c r="AN140" s="3357"/>
      <c r="AO140" s="695"/>
      <c r="AP140" s="3362" t="str">
        <f t="shared" si="40"/>
        <v>Planning Reg 2023-2024</v>
      </c>
      <c r="AQ140" s="3555">
        <f t="shared" si="40"/>
        <v>1.1576249999999999</v>
      </c>
      <c r="AR140" s="333"/>
      <c r="AS140" s="330"/>
      <c r="AT140" s="330"/>
      <c r="AU140" s="849"/>
      <c r="AV140" s="849"/>
      <c r="AW140" s="3156">
        <f t="shared" si="42"/>
        <v>0</v>
      </c>
      <c r="AX140" s="3140"/>
    </row>
    <row r="141" spans="1:50" ht="51">
      <c r="A141" s="2418" t="s">
        <v>11030</v>
      </c>
      <c r="B141" s="338" t="s">
        <v>12461</v>
      </c>
      <c r="C141" s="321">
        <v>0</v>
      </c>
      <c r="D141" s="323">
        <v>44736</v>
      </c>
      <c r="E141" s="3058" t="s">
        <v>9156</v>
      </c>
      <c r="F141" s="830" t="s">
        <v>9005</v>
      </c>
      <c r="G141" s="5356">
        <v>1.0956269999999999</v>
      </c>
      <c r="H141" s="332" t="s">
        <v>10074</v>
      </c>
      <c r="I141" s="339" t="s">
        <v>1433</v>
      </c>
      <c r="J141" s="322" t="s">
        <v>1434</v>
      </c>
      <c r="K141" s="340">
        <v>46921</v>
      </c>
      <c r="L141" s="339" t="s">
        <v>10075</v>
      </c>
      <c r="M141" s="322" t="s">
        <v>1957</v>
      </c>
      <c r="N141" s="339" t="s">
        <v>10076</v>
      </c>
      <c r="O141" s="332" t="s">
        <v>10077</v>
      </c>
      <c r="P141" s="345"/>
      <c r="Q141" s="322" t="s">
        <v>9597</v>
      </c>
      <c r="R141" s="322" t="s">
        <v>10078</v>
      </c>
      <c r="S141" s="346" t="s">
        <v>10079</v>
      </c>
      <c r="T141" s="347"/>
      <c r="U141" s="326"/>
      <c r="V141" s="348"/>
      <c r="W141" s="347"/>
      <c r="X141" s="326"/>
      <c r="Y141" s="348"/>
      <c r="Z141" s="347"/>
      <c r="AA141" s="326"/>
      <c r="AB141" s="348"/>
      <c r="AC141" s="820"/>
      <c r="AD141" s="821"/>
      <c r="AE141" s="822"/>
      <c r="AF141" s="820"/>
      <c r="AG141" s="821"/>
      <c r="AH141" s="822"/>
      <c r="AI141" s="482">
        <v>3228</v>
      </c>
      <c r="AJ141" s="326">
        <v>0</v>
      </c>
      <c r="AK141" s="3917">
        <v>2217</v>
      </c>
      <c r="AL141" s="349">
        <f t="shared" si="41"/>
        <v>1011</v>
      </c>
      <c r="AM141" s="2002"/>
      <c r="AN141" s="3357"/>
      <c r="AO141" s="695"/>
      <c r="AP141" s="3362" t="str">
        <f t="shared" si="40"/>
        <v>Planning Reg 2023-2024</v>
      </c>
      <c r="AQ141" s="3555">
        <f t="shared" si="40"/>
        <v>1.1576249999999999</v>
      </c>
      <c r="AR141" s="333"/>
      <c r="AS141" s="330"/>
      <c r="AT141" s="330"/>
      <c r="AU141" s="849"/>
      <c r="AV141" s="849"/>
      <c r="AW141" s="3156">
        <f t="shared" si="42"/>
        <v>1068</v>
      </c>
      <c r="AX141" s="3140"/>
    </row>
    <row r="142" spans="1:50" ht="76.5">
      <c r="A142" s="2418" t="s">
        <v>11030</v>
      </c>
      <c r="B142" s="338" t="s">
        <v>12437</v>
      </c>
      <c r="C142" s="321">
        <v>0</v>
      </c>
      <c r="D142" s="323">
        <v>44741</v>
      </c>
      <c r="E142" s="3058" t="s">
        <v>9156</v>
      </c>
      <c r="F142" s="830" t="s">
        <v>9005</v>
      </c>
      <c r="G142" s="5356">
        <v>1.0956269999999999</v>
      </c>
      <c r="H142" s="2273" t="s">
        <v>10140</v>
      </c>
      <c r="I142" s="339" t="s">
        <v>10086</v>
      </c>
      <c r="J142" s="2399" t="s">
        <v>4306</v>
      </c>
      <c r="K142" s="340">
        <v>45472</v>
      </c>
      <c r="L142" s="339" t="s">
        <v>786</v>
      </c>
      <c r="M142" s="322" t="s">
        <v>10090</v>
      </c>
      <c r="N142" s="339" t="s">
        <v>10091</v>
      </c>
      <c r="O142" s="332" t="s">
        <v>10092</v>
      </c>
      <c r="P142" s="345" t="s">
        <v>10096</v>
      </c>
      <c r="Q142" s="6094" t="s">
        <v>9071</v>
      </c>
      <c r="R142" s="322" t="s">
        <v>581</v>
      </c>
      <c r="S142" s="346"/>
      <c r="T142" s="347"/>
      <c r="U142" s="326"/>
      <c r="V142" s="348"/>
      <c r="W142" s="347"/>
      <c r="X142" s="326"/>
      <c r="Y142" s="348"/>
      <c r="Z142" s="347"/>
      <c r="AA142" s="326"/>
      <c r="AB142" s="348"/>
      <c r="AC142" s="820"/>
      <c r="AD142" s="821"/>
      <c r="AE142" s="822"/>
      <c r="AF142" s="820"/>
      <c r="AG142" s="821"/>
      <c r="AH142" s="822"/>
      <c r="AI142" s="482">
        <v>5567</v>
      </c>
      <c r="AJ142" s="326">
        <v>0</v>
      </c>
      <c r="AK142" s="3917">
        <v>0</v>
      </c>
      <c r="AL142" s="349">
        <f t="shared" si="41"/>
        <v>5567</v>
      </c>
      <c r="AM142" s="2002"/>
      <c r="AN142" s="3357"/>
      <c r="AO142" s="695"/>
      <c r="AP142" s="3362" t="str">
        <f t="shared" si="40"/>
        <v>Planning Reg 2023-2024</v>
      </c>
      <c r="AQ142" s="3555">
        <f t="shared" si="40"/>
        <v>1.1576249999999999</v>
      </c>
      <c r="AR142" s="333"/>
      <c r="AS142" s="330"/>
      <c r="AT142" s="330"/>
      <c r="AU142" s="849"/>
      <c r="AV142" s="849"/>
      <c r="AW142" s="3156">
        <f t="shared" si="42"/>
        <v>5882</v>
      </c>
      <c r="AX142" s="3140"/>
    </row>
    <row r="143" spans="1:50" ht="76.5">
      <c r="A143" s="2418" t="s">
        <v>11030</v>
      </c>
      <c r="B143" s="338" t="s">
        <v>9776</v>
      </c>
      <c r="C143" s="321">
        <v>0</v>
      </c>
      <c r="D143" s="323">
        <v>44753</v>
      </c>
      <c r="E143" s="3058" t="s">
        <v>9156</v>
      </c>
      <c r="F143" s="830" t="s">
        <v>10101</v>
      </c>
      <c r="G143" s="5356">
        <v>1.1100000000000001</v>
      </c>
      <c r="H143" s="2273" t="s">
        <v>10109</v>
      </c>
      <c r="I143" s="339" t="s">
        <v>10111</v>
      </c>
      <c r="J143" s="2399" t="s">
        <v>4306</v>
      </c>
      <c r="K143" s="340">
        <v>45484</v>
      </c>
      <c r="L143" s="339" t="s">
        <v>10114</v>
      </c>
      <c r="M143" s="322" t="s">
        <v>10115</v>
      </c>
      <c r="N143" s="339" t="s">
        <v>10116</v>
      </c>
      <c r="O143" s="322" t="s">
        <v>10115</v>
      </c>
      <c r="P143" s="345"/>
      <c r="Q143" s="6094" t="s">
        <v>9071</v>
      </c>
      <c r="R143" s="322" t="s">
        <v>581</v>
      </c>
      <c r="S143" s="346"/>
      <c r="T143" s="347"/>
      <c r="U143" s="326"/>
      <c r="V143" s="348"/>
      <c r="W143" s="347"/>
      <c r="X143" s="326"/>
      <c r="Y143" s="348"/>
      <c r="Z143" s="347"/>
      <c r="AA143" s="326"/>
      <c r="AB143" s="348"/>
      <c r="AC143" s="820"/>
      <c r="AD143" s="821"/>
      <c r="AE143" s="822"/>
      <c r="AF143" s="820"/>
      <c r="AG143" s="821"/>
      <c r="AH143" s="822"/>
      <c r="AI143" s="482">
        <v>5640</v>
      </c>
      <c r="AJ143" s="326">
        <v>0</v>
      </c>
      <c r="AK143" s="3917">
        <v>0</v>
      </c>
      <c r="AL143" s="349">
        <f t="shared" si="41"/>
        <v>5640</v>
      </c>
      <c r="AM143" s="2002"/>
      <c r="AN143" s="3357"/>
      <c r="AO143" s="695"/>
      <c r="AP143" s="3362" t="str">
        <f t="shared" si="40"/>
        <v>Planning Reg 2023-2024</v>
      </c>
      <c r="AQ143" s="3555">
        <f t="shared" si="40"/>
        <v>1.1576249999999999</v>
      </c>
      <c r="AR143" s="333"/>
      <c r="AS143" s="330"/>
      <c r="AT143" s="330"/>
      <c r="AU143" s="849"/>
      <c r="AV143" s="849"/>
      <c r="AW143" s="3156">
        <f t="shared" si="42"/>
        <v>5882</v>
      </c>
      <c r="AX143" s="3140"/>
    </row>
    <row r="144" spans="1:50" ht="76.5">
      <c r="A144" s="2418" t="s">
        <v>11030</v>
      </c>
      <c r="B144" s="338" t="s">
        <v>9777</v>
      </c>
      <c r="C144" s="321">
        <v>0</v>
      </c>
      <c r="D144" s="323">
        <v>44753</v>
      </c>
      <c r="E144" s="3058" t="s">
        <v>9156</v>
      </c>
      <c r="F144" s="830" t="s">
        <v>10101</v>
      </c>
      <c r="G144" s="5356">
        <v>1.1100000000000001</v>
      </c>
      <c r="H144" s="2273" t="s">
        <v>10359</v>
      </c>
      <c r="I144" s="339" t="s">
        <v>10112</v>
      </c>
      <c r="J144" s="2399" t="s">
        <v>4306</v>
      </c>
      <c r="K144" s="340">
        <v>45484</v>
      </c>
      <c r="L144" s="339" t="s">
        <v>10117</v>
      </c>
      <c r="M144" s="322" t="s">
        <v>10118</v>
      </c>
      <c r="N144" s="339" t="s">
        <v>10119</v>
      </c>
      <c r="O144" s="322" t="s">
        <v>10118</v>
      </c>
      <c r="P144" s="345" t="s">
        <v>10959</v>
      </c>
      <c r="Q144" s="6094" t="s">
        <v>9071</v>
      </c>
      <c r="R144" s="322" t="s">
        <v>581</v>
      </c>
      <c r="S144" s="346"/>
      <c r="T144" s="347"/>
      <c r="U144" s="326"/>
      <c r="V144" s="348"/>
      <c r="W144" s="347"/>
      <c r="X144" s="326"/>
      <c r="Y144" s="348"/>
      <c r="Z144" s="347"/>
      <c r="AA144" s="326"/>
      <c r="AB144" s="348"/>
      <c r="AC144" s="820"/>
      <c r="AD144" s="821"/>
      <c r="AE144" s="822"/>
      <c r="AF144" s="820"/>
      <c r="AG144" s="821"/>
      <c r="AH144" s="822"/>
      <c r="AI144" s="482">
        <v>6620</v>
      </c>
      <c r="AJ144" s="326">
        <v>0</v>
      </c>
      <c r="AK144" s="3917">
        <v>0</v>
      </c>
      <c r="AL144" s="349">
        <f t="shared" si="41"/>
        <v>6620</v>
      </c>
      <c r="AM144" s="2002"/>
      <c r="AN144" s="3357"/>
      <c r="AO144" s="695"/>
      <c r="AP144" s="3362" t="str">
        <f t="shared" ref="AP144:AQ163" si="43">AP$2</f>
        <v>Planning Reg 2023-2024</v>
      </c>
      <c r="AQ144" s="3555">
        <f t="shared" si="43"/>
        <v>1.1576249999999999</v>
      </c>
      <c r="AR144" s="333"/>
      <c r="AS144" s="330"/>
      <c r="AT144" s="330"/>
      <c r="AU144" s="849"/>
      <c r="AV144" s="849"/>
      <c r="AW144" s="3156">
        <f t="shared" si="42"/>
        <v>6904</v>
      </c>
      <c r="AX144" s="3140"/>
    </row>
    <row r="145" spans="1:50" ht="51">
      <c r="A145" s="2418" t="s">
        <v>11030</v>
      </c>
      <c r="B145" s="338" t="s">
        <v>9779</v>
      </c>
      <c r="C145" s="321">
        <v>0</v>
      </c>
      <c r="D145" s="323">
        <v>44753</v>
      </c>
      <c r="E145" s="3058" t="s">
        <v>9156</v>
      </c>
      <c r="F145" s="830" t="s">
        <v>10101</v>
      </c>
      <c r="G145" s="5356">
        <v>1.1100000000000001</v>
      </c>
      <c r="H145" s="332" t="s">
        <v>10126</v>
      </c>
      <c r="I145" s="339" t="s">
        <v>1433</v>
      </c>
      <c r="J145" s="322" t="s">
        <v>1434</v>
      </c>
      <c r="K145" s="340">
        <v>46938</v>
      </c>
      <c r="L145" s="339" t="s">
        <v>10127</v>
      </c>
      <c r="M145" s="322" t="s">
        <v>9580</v>
      </c>
      <c r="N145" s="339" t="s">
        <v>10129</v>
      </c>
      <c r="O145" s="332" t="s">
        <v>10128</v>
      </c>
      <c r="P145" s="345"/>
      <c r="Q145" s="322" t="s">
        <v>10130</v>
      </c>
      <c r="R145" s="322" t="s">
        <v>10131</v>
      </c>
      <c r="S145" s="346"/>
      <c r="T145" s="347"/>
      <c r="U145" s="326"/>
      <c r="V145" s="348"/>
      <c r="W145" s="347"/>
      <c r="X145" s="326"/>
      <c r="Y145" s="348"/>
      <c r="Z145" s="347"/>
      <c r="AA145" s="326"/>
      <c r="AB145" s="348"/>
      <c r="AC145" s="820"/>
      <c r="AD145" s="821"/>
      <c r="AE145" s="822"/>
      <c r="AF145" s="820"/>
      <c r="AG145" s="821"/>
      <c r="AH145" s="822"/>
      <c r="AI145" s="482">
        <v>73875</v>
      </c>
      <c r="AJ145" s="326">
        <v>0</v>
      </c>
      <c r="AK145" s="3917">
        <v>0</v>
      </c>
      <c r="AL145" s="349">
        <f t="shared" si="41"/>
        <v>73875</v>
      </c>
      <c r="AM145" s="2002"/>
      <c r="AN145" s="3357"/>
      <c r="AO145" s="695"/>
      <c r="AP145" s="3362" t="str">
        <f t="shared" si="43"/>
        <v>Planning Reg 2023-2024</v>
      </c>
      <c r="AQ145" s="3555">
        <f t="shared" si="43"/>
        <v>1.1576249999999999</v>
      </c>
      <c r="AR145" s="333"/>
      <c r="AS145" s="330"/>
      <c r="AT145" s="330"/>
      <c r="AU145" s="849"/>
      <c r="AV145" s="849"/>
      <c r="AW145" s="3156">
        <f t="shared" si="42"/>
        <v>77045</v>
      </c>
      <c r="AX145" s="3140"/>
    </row>
    <row r="146" spans="1:50" ht="51">
      <c r="A146" s="6541" t="s">
        <v>11030</v>
      </c>
      <c r="B146" s="5788" t="s">
        <v>10778</v>
      </c>
      <c r="C146" s="6542">
        <v>0</v>
      </c>
      <c r="D146" s="6543">
        <v>44760</v>
      </c>
      <c r="E146" s="6544" t="s">
        <v>9156</v>
      </c>
      <c r="F146" s="6559" t="s">
        <v>10101</v>
      </c>
      <c r="G146" s="6560">
        <v>1.1100000000000001</v>
      </c>
      <c r="H146" s="5440" t="s">
        <v>10147</v>
      </c>
      <c r="I146" s="339" t="s">
        <v>5753</v>
      </c>
      <c r="J146" s="322" t="s">
        <v>2712</v>
      </c>
      <c r="K146" s="340">
        <v>46217</v>
      </c>
      <c r="L146" s="339" t="s">
        <v>10148</v>
      </c>
      <c r="M146" s="322" t="s">
        <v>10149</v>
      </c>
      <c r="N146" s="339" t="s">
        <v>10151</v>
      </c>
      <c r="O146" s="332" t="s">
        <v>10150</v>
      </c>
      <c r="P146" s="345"/>
      <c r="Q146" s="322" t="s">
        <v>10152</v>
      </c>
      <c r="R146" s="322" t="s">
        <v>10153</v>
      </c>
      <c r="S146" s="346"/>
      <c r="T146" s="347"/>
      <c r="U146" s="326"/>
      <c r="V146" s="348"/>
      <c r="W146" s="347"/>
      <c r="X146" s="326"/>
      <c r="Y146" s="348"/>
      <c r="Z146" s="347"/>
      <c r="AA146" s="326"/>
      <c r="AB146" s="348"/>
      <c r="AC146" s="820"/>
      <c r="AD146" s="821"/>
      <c r="AE146" s="822"/>
      <c r="AF146" s="820"/>
      <c r="AG146" s="821"/>
      <c r="AH146" s="822"/>
      <c r="AI146" s="482">
        <v>74592</v>
      </c>
      <c r="AJ146" s="326">
        <v>0</v>
      </c>
      <c r="AK146" s="3917">
        <v>0</v>
      </c>
      <c r="AL146" s="349">
        <f t="shared" si="41"/>
        <v>74592</v>
      </c>
      <c r="AM146" s="2002"/>
      <c r="AN146" s="3357"/>
      <c r="AO146" s="695"/>
      <c r="AP146" s="3362" t="str">
        <f t="shared" si="43"/>
        <v>Planning Reg 2023-2024</v>
      </c>
      <c r="AQ146" s="3555">
        <f t="shared" si="43"/>
        <v>1.1576249999999999</v>
      </c>
      <c r="AR146" s="333"/>
      <c r="AS146" s="330"/>
      <c r="AT146" s="330"/>
      <c r="AU146" s="849"/>
      <c r="AV146" s="849"/>
      <c r="AW146" s="3156">
        <f t="shared" si="42"/>
        <v>77792</v>
      </c>
      <c r="AX146" s="3140"/>
    </row>
    <row r="147" spans="1:50" ht="51">
      <c r="A147" s="6541" t="s">
        <v>11030</v>
      </c>
      <c r="B147" s="5788" t="s">
        <v>9782</v>
      </c>
      <c r="C147" s="6542">
        <v>0</v>
      </c>
      <c r="D147" s="6543">
        <v>44764</v>
      </c>
      <c r="E147" s="6544" t="s">
        <v>9156</v>
      </c>
      <c r="F147" s="6559" t="s">
        <v>10101</v>
      </c>
      <c r="G147" s="6560">
        <v>1.1100000000000001</v>
      </c>
      <c r="H147" s="5440" t="s">
        <v>10168</v>
      </c>
      <c r="I147" s="339" t="s">
        <v>1433</v>
      </c>
      <c r="J147" s="322" t="s">
        <v>1434</v>
      </c>
      <c r="K147" s="340">
        <v>46955</v>
      </c>
      <c r="L147" s="339" t="s">
        <v>10169</v>
      </c>
      <c r="M147" s="322" t="s">
        <v>10170</v>
      </c>
      <c r="N147" s="339" t="s">
        <v>10172</v>
      </c>
      <c r="O147" s="332" t="s">
        <v>10171</v>
      </c>
      <c r="P147" s="345"/>
      <c r="Q147" s="322" t="s">
        <v>10173</v>
      </c>
      <c r="R147" s="322" t="s">
        <v>10174</v>
      </c>
      <c r="S147" s="346"/>
      <c r="T147" s="347"/>
      <c r="U147" s="326"/>
      <c r="V147" s="348"/>
      <c r="W147" s="347"/>
      <c r="X147" s="326"/>
      <c r="Y147" s="348"/>
      <c r="Z147" s="347"/>
      <c r="AA147" s="326"/>
      <c r="AB147" s="348"/>
      <c r="AC147" s="820"/>
      <c r="AD147" s="821"/>
      <c r="AE147" s="822"/>
      <c r="AF147" s="820"/>
      <c r="AG147" s="821"/>
      <c r="AH147" s="822"/>
      <c r="AI147" s="482">
        <v>106560</v>
      </c>
      <c r="AJ147" s="326">
        <v>0</v>
      </c>
      <c r="AK147" s="3917">
        <v>0</v>
      </c>
      <c r="AL147" s="349">
        <f t="shared" si="41"/>
        <v>106560</v>
      </c>
      <c r="AM147" s="2002"/>
      <c r="AN147" s="3357"/>
      <c r="AO147" s="695"/>
      <c r="AP147" s="3362" t="str">
        <f t="shared" si="43"/>
        <v>Planning Reg 2023-2024</v>
      </c>
      <c r="AQ147" s="3555">
        <f t="shared" si="43"/>
        <v>1.1576249999999999</v>
      </c>
      <c r="AR147" s="333"/>
      <c r="AS147" s="330"/>
      <c r="AT147" s="330"/>
      <c r="AU147" s="849"/>
      <c r="AV147" s="849"/>
      <c r="AW147" s="3156">
        <f t="shared" si="42"/>
        <v>111132</v>
      </c>
      <c r="AX147" s="3140"/>
    </row>
    <row r="148" spans="1:50" ht="76.5">
      <c r="A148" s="2418" t="s">
        <v>11030</v>
      </c>
      <c r="B148" s="338" t="s">
        <v>12013</v>
      </c>
      <c r="C148" s="321">
        <v>0</v>
      </c>
      <c r="D148" s="323">
        <v>44783</v>
      </c>
      <c r="E148" s="3058" t="s">
        <v>9156</v>
      </c>
      <c r="F148" s="830" t="s">
        <v>10101</v>
      </c>
      <c r="G148" s="5356">
        <v>1.1100000000000001</v>
      </c>
      <c r="H148" s="332" t="s">
        <v>10205</v>
      </c>
      <c r="I148" s="339" t="s">
        <v>9560</v>
      </c>
      <c r="J148" s="2399" t="s">
        <v>4306</v>
      </c>
      <c r="K148" s="340">
        <v>45512</v>
      </c>
      <c r="L148" s="339" t="s">
        <v>10206</v>
      </c>
      <c r="M148" s="322" t="s">
        <v>9803</v>
      </c>
      <c r="N148" s="339" t="s">
        <v>10207</v>
      </c>
      <c r="O148" s="332" t="s">
        <v>10208</v>
      </c>
      <c r="P148" s="345"/>
      <c r="Q148" s="322" t="s">
        <v>10210</v>
      </c>
      <c r="R148" s="322" t="s">
        <v>10209</v>
      </c>
      <c r="S148" s="346"/>
      <c r="T148" s="347"/>
      <c r="U148" s="326"/>
      <c r="V148" s="348"/>
      <c r="W148" s="347"/>
      <c r="X148" s="326"/>
      <c r="Y148" s="348"/>
      <c r="Z148" s="347"/>
      <c r="AA148" s="326"/>
      <c r="AB148" s="348"/>
      <c r="AC148" s="820"/>
      <c r="AD148" s="821"/>
      <c r="AE148" s="822"/>
      <c r="AF148" s="820"/>
      <c r="AG148" s="821"/>
      <c r="AH148" s="822"/>
      <c r="AI148" s="482">
        <v>5328</v>
      </c>
      <c r="AJ148" s="326">
        <v>0</v>
      </c>
      <c r="AK148" s="3917">
        <v>0</v>
      </c>
      <c r="AL148" s="349">
        <f t="shared" si="41"/>
        <v>5328</v>
      </c>
      <c r="AM148" s="2002"/>
      <c r="AN148" s="3357"/>
      <c r="AO148" s="695"/>
      <c r="AP148" s="3362" t="str">
        <f t="shared" si="43"/>
        <v>Planning Reg 2023-2024</v>
      </c>
      <c r="AQ148" s="3555">
        <f t="shared" si="43"/>
        <v>1.1576249999999999</v>
      </c>
      <c r="AR148" s="333"/>
      <c r="AS148" s="330"/>
      <c r="AT148" s="330"/>
      <c r="AU148" s="849"/>
      <c r="AV148" s="849"/>
      <c r="AW148" s="3156">
        <f t="shared" si="42"/>
        <v>5557</v>
      </c>
      <c r="AX148" s="3140"/>
    </row>
    <row r="149" spans="1:50" ht="76.5">
      <c r="A149" s="2418" t="s">
        <v>11030</v>
      </c>
      <c r="B149" s="338" t="s">
        <v>10029</v>
      </c>
      <c r="C149" s="321">
        <v>0</v>
      </c>
      <c r="D149" s="323">
        <v>44783</v>
      </c>
      <c r="E149" s="3058" t="s">
        <v>9156</v>
      </c>
      <c r="F149" s="830" t="s">
        <v>10101</v>
      </c>
      <c r="G149" s="5356">
        <v>1.1100000000000001</v>
      </c>
      <c r="H149" s="2273" t="s">
        <v>10211</v>
      </c>
      <c r="I149" s="339" t="s">
        <v>10289</v>
      </c>
      <c r="J149" s="2399" t="s">
        <v>4306</v>
      </c>
      <c r="K149" s="340">
        <v>45514</v>
      </c>
      <c r="L149" s="339" t="s">
        <v>9191</v>
      </c>
      <c r="M149" s="322" t="s">
        <v>4592</v>
      </c>
      <c r="N149" s="339" t="s">
        <v>10215</v>
      </c>
      <c r="O149" s="332" t="s">
        <v>10216</v>
      </c>
      <c r="P149" s="345"/>
      <c r="Q149" s="6094" t="s">
        <v>9071</v>
      </c>
      <c r="R149" s="322" t="s">
        <v>536</v>
      </c>
      <c r="S149" s="346"/>
      <c r="T149" s="347"/>
      <c r="U149" s="326"/>
      <c r="V149" s="348"/>
      <c r="W149" s="347"/>
      <c r="X149" s="326"/>
      <c r="Y149" s="348"/>
      <c r="Z149" s="347"/>
      <c r="AA149" s="326"/>
      <c r="AB149" s="348"/>
      <c r="AC149" s="820"/>
      <c r="AD149" s="821"/>
      <c r="AE149" s="822"/>
      <c r="AF149" s="820"/>
      <c r="AG149" s="821"/>
      <c r="AH149" s="822"/>
      <c r="AI149" s="482">
        <v>6620</v>
      </c>
      <c r="AJ149" s="326">
        <v>0</v>
      </c>
      <c r="AK149" s="3917">
        <v>0</v>
      </c>
      <c r="AL149" s="349">
        <f t="shared" si="41"/>
        <v>6620</v>
      </c>
      <c r="AM149" s="2002"/>
      <c r="AN149" s="3357"/>
      <c r="AO149" s="695"/>
      <c r="AP149" s="3362" t="str">
        <f t="shared" si="43"/>
        <v>Planning Reg 2023-2024</v>
      </c>
      <c r="AQ149" s="3555">
        <f t="shared" si="43"/>
        <v>1.1576249999999999</v>
      </c>
      <c r="AR149" s="333"/>
      <c r="AS149" s="330"/>
      <c r="AT149" s="330"/>
      <c r="AU149" s="849"/>
      <c r="AV149" s="849"/>
      <c r="AW149" s="3156">
        <f t="shared" si="42"/>
        <v>6904</v>
      </c>
      <c r="AX149" s="3140"/>
    </row>
    <row r="150" spans="1:50" ht="76.5">
      <c r="A150" s="2418" t="s">
        <v>11030</v>
      </c>
      <c r="B150" s="338" t="s">
        <v>10032</v>
      </c>
      <c r="C150" s="321">
        <v>0</v>
      </c>
      <c r="D150" s="323">
        <v>44783</v>
      </c>
      <c r="E150" s="3058" t="s">
        <v>9156</v>
      </c>
      <c r="F150" s="830" t="s">
        <v>10101</v>
      </c>
      <c r="G150" s="5356">
        <v>1.1100000000000001</v>
      </c>
      <c r="H150" s="2273" t="s">
        <v>10350</v>
      </c>
      <c r="I150" s="339" t="s">
        <v>10293</v>
      </c>
      <c r="J150" s="2399" t="s">
        <v>4306</v>
      </c>
      <c r="K150" s="340">
        <v>45514</v>
      </c>
      <c r="L150" s="339" t="s">
        <v>10226</v>
      </c>
      <c r="M150" s="322" t="s">
        <v>10227</v>
      </c>
      <c r="N150" s="339" t="s">
        <v>10228</v>
      </c>
      <c r="O150" s="332" t="s">
        <v>10229</v>
      </c>
      <c r="P150" s="345"/>
      <c r="Q150" s="6094" t="s">
        <v>9071</v>
      </c>
      <c r="R150" s="322" t="s">
        <v>536</v>
      </c>
      <c r="S150" s="346"/>
      <c r="T150" s="347"/>
      <c r="U150" s="326"/>
      <c r="V150" s="348"/>
      <c r="W150" s="347"/>
      <c r="X150" s="326"/>
      <c r="Y150" s="348"/>
      <c r="Z150" s="347"/>
      <c r="AA150" s="326"/>
      <c r="AB150" s="348"/>
      <c r="AC150" s="820"/>
      <c r="AD150" s="821"/>
      <c r="AE150" s="822"/>
      <c r="AF150" s="820"/>
      <c r="AG150" s="821"/>
      <c r="AH150" s="822"/>
      <c r="AI150" s="482">
        <v>5640</v>
      </c>
      <c r="AJ150" s="326">
        <v>0</v>
      </c>
      <c r="AK150" s="3917">
        <v>0</v>
      </c>
      <c r="AL150" s="349">
        <f t="shared" si="41"/>
        <v>5640</v>
      </c>
      <c r="AM150" s="2002"/>
      <c r="AN150" s="3357"/>
      <c r="AO150" s="695"/>
      <c r="AP150" s="3362" t="str">
        <f t="shared" si="43"/>
        <v>Planning Reg 2023-2024</v>
      </c>
      <c r="AQ150" s="3555">
        <f t="shared" si="43"/>
        <v>1.1576249999999999</v>
      </c>
      <c r="AR150" s="333"/>
      <c r="AS150" s="330"/>
      <c r="AT150" s="330"/>
      <c r="AU150" s="849"/>
      <c r="AV150" s="849"/>
      <c r="AW150" s="3156">
        <f t="shared" si="42"/>
        <v>5882</v>
      </c>
      <c r="AX150" s="3140"/>
    </row>
    <row r="151" spans="1:50" ht="51">
      <c r="A151" s="2418" t="s">
        <v>11030</v>
      </c>
      <c r="B151" s="338" t="s">
        <v>10909</v>
      </c>
      <c r="C151" s="5825">
        <v>0</v>
      </c>
      <c r="D151" s="5826">
        <v>44792</v>
      </c>
      <c r="E151" s="3058" t="s">
        <v>9156</v>
      </c>
      <c r="F151" s="830" t="s">
        <v>10101</v>
      </c>
      <c r="G151" s="5356">
        <v>1.1100000000000001</v>
      </c>
      <c r="H151" s="332" t="s">
        <v>10723</v>
      </c>
      <c r="I151" s="339" t="s">
        <v>5753</v>
      </c>
      <c r="J151" s="322" t="s">
        <v>2712</v>
      </c>
      <c r="K151" s="340">
        <v>46251</v>
      </c>
      <c r="L151" s="5686" t="s">
        <v>10720</v>
      </c>
      <c r="M151" s="5834" t="s">
        <v>9660</v>
      </c>
      <c r="N151" s="5686" t="s">
        <v>10721</v>
      </c>
      <c r="O151" s="5835" t="s">
        <v>10722</v>
      </c>
      <c r="P151" s="5689"/>
      <c r="Q151" s="5827" t="s">
        <v>10718</v>
      </c>
      <c r="R151" s="5827" t="s">
        <v>10719</v>
      </c>
      <c r="S151" s="267"/>
      <c r="T151" s="5691"/>
      <c r="U151" s="5828"/>
      <c r="V151" s="5829"/>
      <c r="W151" s="5691"/>
      <c r="X151" s="5828"/>
      <c r="Y151" s="5829"/>
      <c r="Z151" s="5691"/>
      <c r="AA151" s="5828"/>
      <c r="AB151" s="5829"/>
      <c r="AC151" s="5694"/>
      <c r="AD151" s="5830"/>
      <c r="AE151" s="5831"/>
      <c r="AF151" s="5694"/>
      <c r="AG151" s="5830"/>
      <c r="AH151" s="5831"/>
      <c r="AI151" s="5697">
        <v>37296</v>
      </c>
      <c r="AJ151" s="326">
        <v>0</v>
      </c>
      <c r="AK151" s="3917">
        <v>0</v>
      </c>
      <c r="AL151" s="349">
        <f t="shared" si="41"/>
        <v>37296</v>
      </c>
      <c r="AM151" s="5700"/>
      <c r="AN151" s="5832"/>
      <c r="AO151" s="5833"/>
      <c r="AP151" s="3362" t="str">
        <f t="shared" si="43"/>
        <v>Planning Reg 2023-2024</v>
      </c>
      <c r="AQ151" s="3555">
        <f t="shared" si="43"/>
        <v>1.1576249999999999</v>
      </c>
      <c r="AR151" s="333"/>
      <c r="AS151" s="330"/>
      <c r="AT151" s="330"/>
      <c r="AU151" s="849"/>
      <c r="AV151" s="849"/>
      <c r="AW151" s="3156">
        <f t="shared" si="42"/>
        <v>38896</v>
      </c>
      <c r="AX151" s="5709"/>
    </row>
    <row r="152" spans="1:50" ht="76.5">
      <c r="A152" s="2418" t="s">
        <v>11030</v>
      </c>
      <c r="B152" s="338" t="s">
        <v>10033</v>
      </c>
      <c r="C152" s="321">
        <v>0</v>
      </c>
      <c r="D152" s="323">
        <v>44798</v>
      </c>
      <c r="E152" s="3058" t="s">
        <v>10324</v>
      </c>
      <c r="F152" s="830" t="s">
        <v>10101</v>
      </c>
      <c r="G152" s="5356">
        <v>1.1100000000000001</v>
      </c>
      <c r="H152" s="2273" t="s">
        <v>10354</v>
      </c>
      <c r="I152" s="339" t="s">
        <v>10287</v>
      </c>
      <c r="J152" s="2399" t="s">
        <v>4306</v>
      </c>
      <c r="K152" s="340">
        <v>45529</v>
      </c>
      <c r="L152" s="339" t="s">
        <v>10298</v>
      </c>
      <c r="M152" s="322" t="s">
        <v>10299</v>
      </c>
      <c r="N152" s="339" t="s">
        <v>10300</v>
      </c>
      <c r="O152" s="322" t="s">
        <v>10299</v>
      </c>
      <c r="P152" s="345"/>
      <c r="Q152" s="6094" t="s">
        <v>9071</v>
      </c>
      <c r="R152" s="322" t="s">
        <v>536</v>
      </c>
      <c r="S152" s="346"/>
      <c r="T152" s="347"/>
      <c r="U152" s="326"/>
      <c r="V152" s="348"/>
      <c r="W152" s="347"/>
      <c r="X152" s="326"/>
      <c r="Y152" s="348"/>
      <c r="Z152" s="347"/>
      <c r="AA152" s="326"/>
      <c r="AB152" s="348"/>
      <c r="AC152" s="820"/>
      <c r="AD152" s="821"/>
      <c r="AE152" s="822"/>
      <c r="AF152" s="820"/>
      <c r="AG152" s="821"/>
      <c r="AH152" s="822"/>
      <c r="AI152" s="482">
        <v>6619</v>
      </c>
      <c r="AJ152" s="326">
        <v>0</v>
      </c>
      <c r="AK152" s="3917">
        <v>0</v>
      </c>
      <c r="AL152" s="349">
        <f t="shared" si="41"/>
        <v>6619</v>
      </c>
      <c r="AM152" s="2002"/>
      <c r="AN152" s="3357"/>
      <c r="AO152" s="695"/>
      <c r="AP152" s="3362" t="str">
        <f t="shared" si="43"/>
        <v>Planning Reg 2023-2024</v>
      </c>
      <c r="AQ152" s="3555">
        <f t="shared" si="43"/>
        <v>1.1576249999999999</v>
      </c>
      <c r="AR152" s="333"/>
      <c r="AS152" s="330"/>
      <c r="AT152" s="330"/>
      <c r="AU152" s="849"/>
      <c r="AV152" s="849"/>
      <c r="AW152" s="3156">
        <f t="shared" si="42"/>
        <v>6903</v>
      </c>
      <c r="AX152" s="3140"/>
    </row>
    <row r="153" spans="1:50" ht="140.25">
      <c r="A153" s="2418" t="s">
        <v>11030</v>
      </c>
      <c r="B153" s="338" t="s">
        <v>12438</v>
      </c>
      <c r="C153" s="321">
        <v>0</v>
      </c>
      <c r="D153" s="323">
        <v>44798</v>
      </c>
      <c r="E153" s="3058" t="s">
        <v>10324</v>
      </c>
      <c r="F153" s="830" t="s">
        <v>10101</v>
      </c>
      <c r="G153" s="5356">
        <v>1.1100000000000001</v>
      </c>
      <c r="H153" s="2273" t="s">
        <v>10355</v>
      </c>
      <c r="I153" s="339" t="s">
        <v>10288</v>
      </c>
      <c r="J153" s="2399" t="s">
        <v>10309</v>
      </c>
      <c r="K153" s="340">
        <v>45529</v>
      </c>
      <c r="L153" s="339" t="s">
        <v>10301</v>
      </c>
      <c r="M153" s="322" t="s">
        <v>10302</v>
      </c>
      <c r="N153" s="339" t="s">
        <v>10303</v>
      </c>
      <c r="O153" s="322" t="s">
        <v>10302</v>
      </c>
      <c r="P153" s="345" t="s">
        <v>11662</v>
      </c>
      <c r="Q153" s="6094" t="s">
        <v>10307</v>
      </c>
      <c r="R153" s="322" t="s">
        <v>10308</v>
      </c>
      <c r="S153" s="346"/>
      <c r="T153" s="347"/>
      <c r="U153" s="326"/>
      <c r="V153" s="348"/>
      <c r="W153" s="347"/>
      <c r="X153" s="326"/>
      <c r="Y153" s="348"/>
      <c r="Z153" s="347"/>
      <c r="AA153" s="326"/>
      <c r="AB153" s="348"/>
      <c r="AC153" s="820"/>
      <c r="AD153" s="821"/>
      <c r="AE153" s="822"/>
      <c r="AF153" s="820"/>
      <c r="AG153" s="821"/>
      <c r="AH153" s="822"/>
      <c r="AI153" s="482">
        <v>5639</v>
      </c>
      <c r="AJ153" s="326">
        <v>0</v>
      </c>
      <c r="AK153" s="3917">
        <v>0</v>
      </c>
      <c r="AL153" s="349">
        <f t="shared" si="41"/>
        <v>5639</v>
      </c>
      <c r="AM153" s="2002"/>
      <c r="AN153" s="3357"/>
      <c r="AO153" s="695"/>
      <c r="AP153" s="3362" t="str">
        <f t="shared" si="43"/>
        <v>Planning Reg 2023-2024</v>
      </c>
      <c r="AQ153" s="3555">
        <f t="shared" si="43"/>
        <v>1.1576249999999999</v>
      </c>
      <c r="AR153" s="333"/>
      <c r="AS153" s="330"/>
      <c r="AT153" s="330"/>
      <c r="AU153" s="849"/>
      <c r="AV153" s="849"/>
      <c r="AW153" s="3156">
        <f t="shared" si="42"/>
        <v>5881</v>
      </c>
      <c r="AX153" s="3140"/>
    </row>
    <row r="154" spans="1:50" ht="76.5">
      <c r="A154" s="2418" t="s">
        <v>11030</v>
      </c>
      <c r="B154" s="338" t="s">
        <v>12460</v>
      </c>
      <c r="C154" s="321">
        <v>0</v>
      </c>
      <c r="D154" s="323">
        <v>44766</v>
      </c>
      <c r="E154" s="3058" t="s">
        <v>9156</v>
      </c>
      <c r="F154" s="830" t="s">
        <v>10101</v>
      </c>
      <c r="G154" s="5356">
        <v>1.1100000000000001</v>
      </c>
      <c r="H154" s="332" t="s">
        <v>10274</v>
      </c>
      <c r="I154" s="339" t="s">
        <v>1433</v>
      </c>
      <c r="J154" s="322" t="s">
        <v>1434</v>
      </c>
      <c r="K154" s="340">
        <v>46983</v>
      </c>
      <c r="L154" s="339" t="s">
        <v>9943</v>
      </c>
      <c r="M154" s="322" t="s">
        <v>9944</v>
      </c>
      <c r="N154" s="339" t="s">
        <v>10275</v>
      </c>
      <c r="O154" s="332" t="s">
        <v>10276</v>
      </c>
      <c r="P154" s="345" t="s">
        <v>11259</v>
      </c>
      <c r="Q154" s="322" t="s">
        <v>10278</v>
      </c>
      <c r="R154" s="322" t="s">
        <v>1257</v>
      </c>
      <c r="S154" s="346" t="s">
        <v>10277</v>
      </c>
      <c r="T154" s="347"/>
      <c r="U154" s="326"/>
      <c r="V154" s="348"/>
      <c r="W154" s="347"/>
      <c r="X154" s="326"/>
      <c r="Y154" s="348"/>
      <c r="Z154" s="347"/>
      <c r="AA154" s="326"/>
      <c r="AB154" s="348"/>
      <c r="AC154" s="820"/>
      <c r="AD154" s="821"/>
      <c r="AE154" s="822"/>
      <c r="AF154" s="820"/>
      <c r="AG154" s="821"/>
      <c r="AH154" s="822"/>
      <c r="AI154" s="482">
        <v>306028</v>
      </c>
      <c r="AJ154" s="326">
        <v>0</v>
      </c>
      <c r="AK154" s="3917">
        <v>306028</v>
      </c>
      <c r="AL154" s="349">
        <f t="shared" si="41"/>
        <v>0</v>
      </c>
      <c r="AM154" s="2002"/>
      <c r="AN154" s="3357"/>
      <c r="AO154" s="695"/>
      <c r="AP154" s="3362" t="str">
        <f t="shared" si="43"/>
        <v>Planning Reg 2023-2024</v>
      </c>
      <c r="AQ154" s="3555">
        <f t="shared" si="43"/>
        <v>1.1576249999999999</v>
      </c>
      <c r="AR154" s="333"/>
      <c r="AS154" s="330"/>
      <c r="AT154" s="330"/>
      <c r="AU154" s="849"/>
      <c r="AV154" s="849"/>
      <c r="AW154" s="3156">
        <f t="shared" si="42"/>
        <v>0</v>
      </c>
      <c r="AX154" s="3140"/>
    </row>
    <row r="155" spans="1:50" ht="76.5">
      <c r="A155" s="2418" t="s">
        <v>11030</v>
      </c>
      <c r="B155" s="338" t="s">
        <v>10374</v>
      </c>
      <c r="C155" s="695">
        <v>1</v>
      </c>
      <c r="D155" s="323" t="s">
        <v>10373</v>
      </c>
      <c r="E155" s="3058" t="s">
        <v>10324</v>
      </c>
      <c r="F155" s="830" t="s">
        <v>10101</v>
      </c>
      <c r="G155" s="5356">
        <v>1.1100000000000001</v>
      </c>
      <c r="H155" s="332" t="s">
        <v>11080</v>
      </c>
      <c r="I155" s="339" t="s">
        <v>1433</v>
      </c>
      <c r="J155" s="322" t="s">
        <v>1434</v>
      </c>
      <c r="K155" s="340" t="s">
        <v>5777</v>
      </c>
      <c r="L155" s="339" t="s">
        <v>10325</v>
      </c>
      <c r="M155" s="322" t="s">
        <v>1957</v>
      </c>
      <c r="N155" s="339" t="s">
        <v>10327</v>
      </c>
      <c r="O155" s="332" t="s">
        <v>10326</v>
      </c>
      <c r="P155" s="345" t="s">
        <v>10375</v>
      </c>
      <c r="Q155" s="322" t="s">
        <v>10378</v>
      </c>
      <c r="R155" s="322" t="s">
        <v>5361</v>
      </c>
      <c r="S155" s="346"/>
      <c r="T155" s="347"/>
      <c r="U155" s="326"/>
      <c r="V155" s="348"/>
      <c r="W155" s="347"/>
      <c r="X155" s="326"/>
      <c r="Y155" s="348"/>
      <c r="Z155" s="347"/>
      <c r="AA155" s="326"/>
      <c r="AB155" s="348"/>
      <c r="AC155" s="820"/>
      <c r="AD155" s="821"/>
      <c r="AE155" s="822"/>
      <c r="AF155" s="820"/>
      <c r="AG155" s="821"/>
      <c r="AH155" s="822"/>
      <c r="AI155" s="482">
        <v>19980</v>
      </c>
      <c r="AJ155" s="326">
        <v>0</v>
      </c>
      <c r="AK155" s="3917">
        <v>0</v>
      </c>
      <c r="AL155" s="349">
        <f t="shared" si="41"/>
        <v>19980</v>
      </c>
      <c r="AM155" s="2002"/>
      <c r="AN155" s="3357"/>
      <c r="AO155" s="695"/>
      <c r="AP155" s="3362" t="str">
        <f t="shared" si="43"/>
        <v>Planning Reg 2023-2024</v>
      </c>
      <c r="AQ155" s="3555">
        <f t="shared" si="43"/>
        <v>1.1576249999999999</v>
      </c>
      <c r="AR155" s="333"/>
      <c r="AS155" s="330"/>
      <c r="AT155" s="330"/>
      <c r="AU155" s="849"/>
      <c r="AV155" s="849"/>
      <c r="AW155" s="3156">
        <f t="shared" si="42"/>
        <v>20837</v>
      </c>
      <c r="AX155" s="3140"/>
    </row>
    <row r="156" spans="1:50" ht="76.5">
      <c r="A156" s="2418" t="s">
        <v>11030</v>
      </c>
      <c r="B156" s="338" t="s">
        <v>10376</v>
      </c>
      <c r="C156" s="695">
        <v>1</v>
      </c>
      <c r="D156" s="323" t="s">
        <v>10373</v>
      </c>
      <c r="E156" s="3058" t="s">
        <v>10324</v>
      </c>
      <c r="F156" s="830" t="s">
        <v>10101</v>
      </c>
      <c r="G156" s="5356">
        <v>1.1100000000000001</v>
      </c>
      <c r="H156" s="332" t="s">
        <v>11080</v>
      </c>
      <c r="I156" s="339" t="s">
        <v>1433</v>
      </c>
      <c r="J156" s="322" t="s">
        <v>1434</v>
      </c>
      <c r="K156" s="340" t="s">
        <v>5777</v>
      </c>
      <c r="L156" s="339" t="s">
        <v>10325</v>
      </c>
      <c r="M156" s="322" t="s">
        <v>1957</v>
      </c>
      <c r="N156" s="339" t="s">
        <v>10327</v>
      </c>
      <c r="O156" s="332" t="s">
        <v>10326</v>
      </c>
      <c r="P156" s="345" t="s">
        <v>10375</v>
      </c>
      <c r="Q156" s="322" t="s">
        <v>10379</v>
      </c>
      <c r="R156" s="322" t="s">
        <v>5361</v>
      </c>
      <c r="S156" s="346"/>
      <c r="T156" s="347"/>
      <c r="U156" s="326"/>
      <c r="V156" s="348"/>
      <c r="W156" s="347"/>
      <c r="X156" s="326"/>
      <c r="Y156" s="348"/>
      <c r="Z156" s="347"/>
      <c r="AA156" s="326"/>
      <c r="AB156" s="348"/>
      <c r="AC156" s="820"/>
      <c r="AD156" s="821"/>
      <c r="AE156" s="822"/>
      <c r="AF156" s="820"/>
      <c r="AG156" s="821"/>
      <c r="AH156" s="822"/>
      <c r="AI156" s="482">
        <v>19980</v>
      </c>
      <c r="AJ156" s="326">
        <v>0</v>
      </c>
      <c r="AK156" s="3917">
        <v>0</v>
      </c>
      <c r="AL156" s="349">
        <f t="shared" si="41"/>
        <v>19980</v>
      </c>
      <c r="AM156" s="2002"/>
      <c r="AN156" s="3357"/>
      <c r="AO156" s="695"/>
      <c r="AP156" s="3362" t="str">
        <f t="shared" si="43"/>
        <v>Planning Reg 2023-2024</v>
      </c>
      <c r="AQ156" s="3555">
        <f t="shared" si="43"/>
        <v>1.1576249999999999</v>
      </c>
      <c r="AR156" s="333"/>
      <c r="AS156" s="330"/>
      <c r="AT156" s="330"/>
      <c r="AU156" s="849"/>
      <c r="AV156" s="849"/>
      <c r="AW156" s="3156">
        <f t="shared" si="42"/>
        <v>20837</v>
      </c>
      <c r="AX156" s="3140"/>
    </row>
    <row r="157" spans="1:50" ht="76.5">
      <c r="A157" s="2418" t="s">
        <v>11030</v>
      </c>
      <c r="B157" s="338" t="s">
        <v>10377</v>
      </c>
      <c r="C157" s="695">
        <v>1</v>
      </c>
      <c r="D157" s="323" t="s">
        <v>10373</v>
      </c>
      <c r="E157" s="3058" t="s">
        <v>10324</v>
      </c>
      <c r="F157" s="830" t="s">
        <v>10101</v>
      </c>
      <c r="G157" s="5356">
        <v>1.1100000000000001</v>
      </c>
      <c r="H157" s="332" t="s">
        <v>11080</v>
      </c>
      <c r="I157" s="339" t="s">
        <v>1433</v>
      </c>
      <c r="J157" s="322" t="s">
        <v>1434</v>
      </c>
      <c r="K157" s="340" t="s">
        <v>5777</v>
      </c>
      <c r="L157" s="339" t="s">
        <v>10325</v>
      </c>
      <c r="M157" s="322" t="s">
        <v>1957</v>
      </c>
      <c r="N157" s="339" t="s">
        <v>10327</v>
      </c>
      <c r="O157" s="332" t="s">
        <v>10326</v>
      </c>
      <c r="P157" s="345" t="s">
        <v>10375</v>
      </c>
      <c r="Q157" s="322" t="s">
        <v>10380</v>
      </c>
      <c r="R157" s="322" t="s">
        <v>5361</v>
      </c>
      <c r="S157" s="346"/>
      <c r="T157" s="347"/>
      <c r="U157" s="326"/>
      <c r="V157" s="348"/>
      <c r="W157" s="347"/>
      <c r="X157" s="326"/>
      <c r="Y157" s="348"/>
      <c r="Z157" s="347"/>
      <c r="AA157" s="326"/>
      <c r="AB157" s="348"/>
      <c r="AC157" s="820"/>
      <c r="AD157" s="821"/>
      <c r="AE157" s="822"/>
      <c r="AF157" s="820"/>
      <c r="AG157" s="821"/>
      <c r="AH157" s="822"/>
      <c r="AI157" s="482">
        <v>19979</v>
      </c>
      <c r="AJ157" s="326">
        <v>0</v>
      </c>
      <c r="AK157" s="3917">
        <v>0</v>
      </c>
      <c r="AL157" s="349">
        <f t="shared" si="41"/>
        <v>19979</v>
      </c>
      <c r="AM157" s="2002"/>
      <c r="AN157" s="3357"/>
      <c r="AO157" s="695"/>
      <c r="AP157" s="3362" t="str">
        <f t="shared" si="43"/>
        <v>Planning Reg 2023-2024</v>
      </c>
      <c r="AQ157" s="3555">
        <f t="shared" si="43"/>
        <v>1.1576249999999999</v>
      </c>
      <c r="AR157" s="333"/>
      <c r="AS157" s="330"/>
      <c r="AT157" s="330"/>
      <c r="AU157" s="849"/>
      <c r="AV157" s="849"/>
      <c r="AW157" s="3156">
        <f t="shared" si="42"/>
        <v>20836</v>
      </c>
      <c r="AX157" s="3140"/>
    </row>
    <row r="158" spans="1:50" ht="51">
      <c r="A158" s="2418" t="s">
        <v>11030</v>
      </c>
      <c r="B158" s="338" t="s">
        <v>10034</v>
      </c>
      <c r="C158" s="321">
        <v>0</v>
      </c>
      <c r="D158" s="323">
        <v>44809</v>
      </c>
      <c r="E158" s="3058" t="s">
        <v>10324</v>
      </c>
      <c r="F158" s="830" t="s">
        <v>10101</v>
      </c>
      <c r="G158" s="5356">
        <v>1.1100000000000001</v>
      </c>
      <c r="H158" s="332" t="s">
        <v>11081</v>
      </c>
      <c r="I158" s="339" t="s">
        <v>1433</v>
      </c>
      <c r="J158" s="322" t="s">
        <v>1434</v>
      </c>
      <c r="K158" s="340">
        <v>46995</v>
      </c>
      <c r="L158" s="339" t="s">
        <v>786</v>
      </c>
      <c r="M158" s="322" t="s">
        <v>9803</v>
      </c>
      <c r="N158" s="339" t="s">
        <v>10344</v>
      </c>
      <c r="O158" s="332" t="s">
        <v>10345</v>
      </c>
      <c r="P158" s="345"/>
      <c r="Q158" s="322" t="s">
        <v>10347</v>
      </c>
      <c r="R158" s="322" t="s">
        <v>10346</v>
      </c>
      <c r="S158" s="346"/>
      <c r="T158" s="347"/>
      <c r="U158" s="326"/>
      <c r="V158" s="348"/>
      <c r="W158" s="347"/>
      <c r="X158" s="326"/>
      <c r="Y158" s="348"/>
      <c r="Z158" s="347"/>
      <c r="AA158" s="326"/>
      <c r="AB158" s="348"/>
      <c r="AC158" s="820"/>
      <c r="AD158" s="821"/>
      <c r="AE158" s="822"/>
      <c r="AF158" s="820"/>
      <c r="AG158" s="821"/>
      <c r="AH158" s="822"/>
      <c r="AI158" s="482">
        <v>37296</v>
      </c>
      <c r="AJ158" s="326">
        <v>0</v>
      </c>
      <c r="AK158" s="3917">
        <v>0</v>
      </c>
      <c r="AL158" s="349">
        <f t="shared" si="41"/>
        <v>37296</v>
      </c>
      <c r="AM158" s="2002"/>
      <c r="AN158" s="3357"/>
      <c r="AO158" s="695"/>
      <c r="AP158" s="3362" t="str">
        <f t="shared" si="43"/>
        <v>Planning Reg 2023-2024</v>
      </c>
      <c r="AQ158" s="3555">
        <f t="shared" si="43"/>
        <v>1.1576249999999999</v>
      </c>
      <c r="AR158" s="333"/>
      <c r="AS158" s="330"/>
      <c r="AT158" s="330"/>
      <c r="AU158" s="849"/>
      <c r="AV158" s="849"/>
      <c r="AW158" s="3156">
        <f t="shared" si="42"/>
        <v>38896</v>
      </c>
      <c r="AX158" s="3140"/>
    </row>
    <row r="159" spans="1:50" ht="76.5">
      <c r="A159" s="2418" t="s">
        <v>11030</v>
      </c>
      <c r="B159" s="338" t="s">
        <v>12119</v>
      </c>
      <c r="C159" s="321">
        <v>0</v>
      </c>
      <c r="D159" s="323">
        <v>44811</v>
      </c>
      <c r="E159" s="3058" t="s">
        <v>10324</v>
      </c>
      <c r="F159" s="830" t="s">
        <v>10101</v>
      </c>
      <c r="G159" s="5356">
        <v>1.1100000000000001</v>
      </c>
      <c r="H159" s="2273" t="s">
        <v>10358</v>
      </c>
      <c r="I159" s="339" t="s">
        <v>10360</v>
      </c>
      <c r="J159" s="2399" t="s">
        <v>4306</v>
      </c>
      <c r="K159" s="340">
        <v>45542</v>
      </c>
      <c r="L159" s="339" t="s">
        <v>7658</v>
      </c>
      <c r="M159" s="322" t="s">
        <v>10361</v>
      </c>
      <c r="N159" s="339" t="s">
        <v>10362</v>
      </c>
      <c r="O159" s="322" t="s">
        <v>10361</v>
      </c>
      <c r="P159" s="345"/>
      <c r="Q159" s="6094" t="s">
        <v>9071</v>
      </c>
      <c r="R159" s="322" t="s">
        <v>536</v>
      </c>
      <c r="S159" s="346"/>
      <c r="T159" s="347"/>
      <c r="U159" s="326"/>
      <c r="V159" s="348"/>
      <c r="W159" s="347"/>
      <c r="X159" s="326"/>
      <c r="Y159" s="348"/>
      <c r="Z159" s="347"/>
      <c r="AA159" s="326"/>
      <c r="AB159" s="348"/>
      <c r="AC159" s="820"/>
      <c r="AD159" s="821"/>
      <c r="AE159" s="822"/>
      <c r="AF159" s="820"/>
      <c r="AG159" s="821"/>
      <c r="AH159" s="822"/>
      <c r="AI159" s="482">
        <v>6619</v>
      </c>
      <c r="AJ159" s="326">
        <v>0</v>
      </c>
      <c r="AK159" s="3917">
        <v>0</v>
      </c>
      <c r="AL159" s="349">
        <f t="shared" si="41"/>
        <v>6619</v>
      </c>
      <c r="AM159" s="2002"/>
      <c r="AN159" s="3357"/>
      <c r="AO159" s="695"/>
      <c r="AP159" s="3362" t="str">
        <f t="shared" si="43"/>
        <v>Planning Reg 2023-2024</v>
      </c>
      <c r="AQ159" s="3555">
        <f t="shared" si="43"/>
        <v>1.1576249999999999</v>
      </c>
      <c r="AR159" s="333"/>
      <c r="AS159" s="330"/>
      <c r="AT159" s="330"/>
      <c r="AU159" s="849"/>
      <c r="AV159" s="849"/>
      <c r="AW159" s="3156">
        <f t="shared" si="42"/>
        <v>6903</v>
      </c>
      <c r="AX159" s="3140"/>
    </row>
    <row r="160" spans="1:50" ht="51">
      <c r="A160" s="2418" t="s">
        <v>11030</v>
      </c>
      <c r="B160" s="338" t="s">
        <v>12459</v>
      </c>
      <c r="C160" s="321">
        <v>0</v>
      </c>
      <c r="D160" s="323">
        <v>44811</v>
      </c>
      <c r="E160" s="3058" t="s">
        <v>10324</v>
      </c>
      <c r="F160" s="830" t="s">
        <v>10101</v>
      </c>
      <c r="G160" s="5356">
        <v>1.1100000000000001</v>
      </c>
      <c r="H160" s="332" t="s">
        <v>11082</v>
      </c>
      <c r="I160" s="339" t="s">
        <v>1433</v>
      </c>
      <c r="J160" s="322" t="s">
        <v>1434</v>
      </c>
      <c r="K160" s="340">
        <v>46998</v>
      </c>
      <c r="L160" s="339" t="s">
        <v>10363</v>
      </c>
      <c r="M160" s="322" t="s">
        <v>9803</v>
      </c>
      <c r="N160" s="339" t="s">
        <v>10364</v>
      </c>
      <c r="O160" s="332" t="s">
        <v>10365</v>
      </c>
      <c r="P160" s="345"/>
      <c r="Q160" s="322" t="s">
        <v>10366</v>
      </c>
      <c r="R160" s="322" t="s">
        <v>9441</v>
      </c>
      <c r="S160" s="346"/>
      <c r="T160" s="347"/>
      <c r="U160" s="326"/>
      <c r="V160" s="348"/>
      <c r="W160" s="347"/>
      <c r="X160" s="326"/>
      <c r="Y160" s="348"/>
      <c r="Z160" s="347"/>
      <c r="AA160" s="326"/>
      <c r="AB160" s="348"/>
      <c r="AC160" s="820"/>
      <c r="AD160" s="821"/>
      <c r="AE160" s="822"/>
      <c r="AF160" s="820"/>
      <c r="AG160" s="821"/>
      <c r="AH160" s="822"/>
      <c r="AI160" s="482">
        <v>22697</v>
      </c>
      <c r="AJ160" s="326">
        <v>0</v>
      </c>
      <c r="AK160" s="3917">
        <v>0</v>
      </c>
      <c r="AL160" s="349">
        <f t="shared" si="41"/>
        <v>22697</v>
      </c>
      <c r="AM160" s="2002"/>
      <c r="AN160" s="3357"/>
      <c r="AO160" s="695"/>
      <c r="AP160" s="3362" t="str">
        <f t="shared" si="43"/>
        <v>Planning Reg 2023-2024</v>
      </c>
      <c r="AQ160" s="3555">
        <f t="shared" si="43"/>
        <v>1.1576249999999999</v>
      </c>
      <c r="AR160" s="333"/>
      <c r="AS160" s="330"/>
      <c r="AT160" s="330"/>
      <c r="AU160" s="849"/>
      <c r="AV160" s="849"/>
      <c r="AW160" s="3156">
        <f t="shared" si="42"/>
        <v>23671</v>
      </c>
      <c r="AX160" s="3140"/>
    </row>
    <row r="161" spans="1:50" ht="66.75">
      <c r="A161" s="6541" t="s">
        <v>11030</v>
      </c>
      <c r="B161" s="5788" t="s">
        <v>12429</v>
      </c>
      <c r="C161" s="6542">
        <v>0</v>
      </c>
      <c r="D161" s="6543">
        <v>44824</v>
      </c>
      <c r="E161" s="6544" t="s">
        <v>10324</v>
      </c>
      <c r="F161" s="6559" t="s">
        <v>10101</v>
      </c>
      <c r="G161" s="6560">
        <v>1.1100000000000001</v>
      </c>
      <c r="H161" s="5440" t="s">
        <v>11085</v>
      </c>
      <c r="I161" s="5789" t="s">
        <v>1433</v>
      </c>
      <c r="J161" s="5456" t="s">
        <v>1434</v>
      </c>
      <c r="K161" s="5441">
        <v>47009</v>
      </c>
      <c r="L161" s="5789" t="s">
        <v>10392</v>
      </c>
      <c r="M161" s="5456" t="s">
        <v>4394</v>
      </c>
      <c r="N161" s="5789" t="s">
        <v>10393</v>
      </c>
      <c r="O161" s="5440" t="s">
        <v>10394</v>
      </c>
      <c r="P161" s="6545"/>
      <c r="Q161" s="5456" t="s">
        <v>10395</v>
      </c>
      <c r="R161" s="5456" t="s">
        <v>10396</v>
      </c>
      <c r="S161" s="6546"/>
      <c r="T161" s="6547"/>
      <c r="U161" s="6548"/>
      <c r="V161" s="6549"/>
      <c r="W161" s="6547"/>
      <c r="X161" s="6548"/>
      <c r="Y161" s="6549"/>
      <c r="Z161" s="6547"/>
      <c r="AA161" s="6548"/>
      <c r="AB161" s="6549"/>
      <c r="AC161" s="6547"/>
      <c r="AD161" s="6548"/>
      <c r="AE161" s="6549"/>
      <c r="AF161" s="6547"/>
      <c r="AG161" s="6548"/>
      <c r="AH161" s="6549"/>
      <c r="AI161" s="6550">
        <v>10394</v>
      </c>
      <c r="AJ161" s="6548">
        <v>0</v>
      </c>
      <c r="AK161" s="6551">
        <v>0</v>
      </c>
      <c r="AL161" s="6552">
        <f t="shared" si="41"/>
        <v>10394</v>
      </c>
      <c r="AM161" s="6553"/>
      <c r="AN161" s="6554"/>
      <c r="AO161" s="6540"/>
      <c r="AP161" s="6555" t="str">
        <f t="shared" si="43"/>
        <v>Planning Reg 2023-2024</v>
      </c>
      <c r="AQ161" s="6556">
        <f t="shared" si="43"/>
        <v>1.1576249999999999</v>
      </c>
      <c r="AR161" s="6288"/>
      <c r="AS161" s="6289"/>
      <c r="AT161" s="6289"/>
      <c r="AU161" s="6289"/>
      <c r="AV161" s="6289"/>
      <c r="AW161" s="6557">
        <f t="shared" si="42"/>
        <v>10840</v>
      </c>
      <c r="AX161" s="6558"/>
    </row>
    <row r="162" spans="1:50" ht="51">
      <c r="A162" s="2418" t="s">
        <v>11030</v>
      </c>
      <c r="B162" s="338" t="s">
        <v>10036</v>
      </c>
      <c r="C162" s="321">
        <v>0</v>
      </c>
      <c r="D162" s="323">
        <v>44825</v>
      </c>
      <c r="E162" s="3058" t="s">
        <v>10324</v>
      </c>
      <c r="F162" s="830" t="s">
        <v>10101</v>
      </c>
      <c r="G162" s="5356">
        <v>1.1100000000000001</v>
      </c>
      <c r="H162" s="332" t="s">
        <v>11086</v>
      </c>
      <c r="I162" s="339" t="s">
        <v>1433</v>
      </c>
      <c r="J162" s="322" t="s">
        <v>1434</v>
      </c>
      <c r="K162" s="340">
        <v>47017</v>
      </c>
      <c r="L162" s="339" t="s">
        <v>10399</v>
      </c>
      <c r="M162" s="322" t="s">
        <v>9803</v>
      </c>
      <c r="N162" s="339" t="s">
        <v>10400</v>
      </c>
      <c r="O162" s="332" t="s">
        <v>10401</v>
      </c>
      <c r="P162" s="345"/>
      <c r="Q162" s="322" t="s">
        <v>8576</v>
      </c>
      <c r="R162" s="322" t="s">
        <v>536</v>
      </c>
      <c r="S162" s="346"/>
      <c r="T162" s="347"/>
      <c r="U162" s="326"/>
      <c r="V162" s="348"/>
      <c r="W162" s="347"/>
      <c r="X162" s="326"/>
      <c r="Y162" s="348"/>
      <c r="Z162" s="347"/>
      <c r="AA162" s="326"/>
      <c r="AB162" s="348"/>
      <c r="AC162" s="820"/>
      <c r="AD162" s="821"/>
      <c r="AE162" s="822"/>
      <c r="AF162" s="820"/>
      <c r="AG162" s="821"/>
      <c r="AH162" s="822"/>
      <c r="AI162" s="482">
        <v>18648</v>
      </c>
      <c r="AJ162" s="326">
        <v>0</v>
      </c>
      <c r="AK162" s="3917">
        <v>0</v>
      </c>
      <c r="AL162" s="349">
        <f t="shared" si="41"/>
        <v>18648</v>
      </c>
      <c r="AM162" s="2002"/>
      <c r="AN162" s="3357"/>
      <c r="AO162" s="695"/>
      <c r="AP162" s="3362" t="str">
        <f t="shared" si="43"/>
        <v>Planning Reg 2023-2024</v>
      </c>
      <c r="AQ162" s="3555">
        <f t="shared" si="43"/>
        <v>1.1576249999999999</v>
      </c>
      <c r="AR162" s="333"/>
      <c r="AS162" s="330"/>
      <c r="AT162" s="330"/>
      <c r="AU162" s="849"/>
      <c r="AV162" s="849"/>
      <c r="AW162" s="3156">
        <f t="shared" si="42"/>
        <v>19448</v>
      </c>
      <c r="AX162" s="3140"/>
    </row>
    <row r="163" spans="1:50" ht="63.75">
      <c r="A163" s="2418" t="s">
        <v>11030</v>
      </c>
      <c r="B163" s="338" t="s">
        <v>10242</v>
      </c>
      <c r="C163" s="321">
        <v>0</v>
      </c>
      <c r="D163" s="323">
        <v>44825</v>
      </c>
      <c r="E163" s="3058" t="s">
        <v>10324</v>
      </c>
      <c r="F163" s="830" t="s">
        <v>10101</v>
      </c>
      <c r="G163" s="5356">
        <v>1.1100000000000001</v>
      </c>
      <c r="H163" s="332" t="s">
        <v>11087</v>
      </c>
      <c r="I163" s="339" t="s">
        <v>1433</v>
      </c>
      <c r="J163" s="322" t="s">
        <v>1434</v>
      </c>
      <c r="K163" s="340">
        <v>47017</v>
      </c>
      <c r="L163" s="339" t="s">
        <v>10405</v>
      </c>
      <c r="M163" s="322" t="s">
        <v>10406</v>
      </c>
      <c r="N163" s="339" t="s">
        <v>3190</v>
      </c>
      <c r="O163" s="332" t="s">
        <v>6189</v>
      </c>
      <c r="P163" s="345" t="s">
        <v>11031</v>
      </c>
      <c r="Q163" s="322" t="s">
        <v>10403</v>
      </c>
      <c r="R163" s="322" t="s">
        <v>10404</v>
      </c>
      <c r="S163" s="346"/>
      <c r="T163" s="347"/>
      <c r="U163" s="326"/>
      <c r="V163" s="348"/>
      <c r="W163" s="347"/>
      <c r="X163" s="326"/>
      <c r="Y163" s="348"/>
      <c r="Z163" s="347"/>
      <c r="AA163" s="326"/>
      <c r="AB163" s="348"/>
      <c r="AC163" s="820"/>
      <c r="AD163" s="821"/>
      <c r="AE163" s="822"/>
      <c r="AF163" s="820"/>
      <c r="AG163" s="821"/>
      <c r="AH163" s="822"/>
      <c r="AI163" s="482">
        <v>53802</v>
      </c>
      <c r="AJ163" s="326">
        <v>0</v>
      </c>
      <c r="AK163" s="3917">
        <v>0</v>
      </c>
      <c r="AL163" s="349">
        <f t="shared" si="41"/>
        <v>53802</v>
      </c>
      <c r="AM163" s="2002"/>
      <c r="AN163" s="3357"/>
      <c r="AO163" s="695"/>
      <c r="AP163" s="3362" t="str">
        <f t="shared" si="43"/>
        <v>Planning Reg 2023-2024</v>
      </c>
      <c r="AQ163" s="3555">
        <f t="shared" si="43"/>
        <v>1.1576249999999999</v>
      </c>
      <c r="AR163" s="333"/>
      <c r="AS163" s="330"/>
      <c r="AT163" s="330"/>
      <c r="AU163" s="849"/>
      <c r="AV163" s="849"/>
      <c r="AW163" s="3156">
        <f t="shared" si="42"/>
        <v>56110</v>
      </c>
      <c r="AX163" s="3140"/>
    </row>
    <row r="164" spans="1:50" ht="76.5">
      <c r="A164" s="2418" t="s">
        <v>11030</v>
      </c>
      <c r="B164" s="338" t="s">
        <v>10244</v>
      </c>
      <c r="C164" s="321">
        <v>0</v>
      </c>
      <c r="D164" s="323">
        <v>44840</v>
      </c>
      <c r="E164" s="3058" t="s">
        <v>10324</v>
      </c>
      <c r="F164" s="830" t="s">
        <v>10101</v>
      </c>
      <c r="G164" s="5356">
        <v>1.1100000000000001</v>
      </c>
      <c r="H164" s="2273" t="s">
        <v>10420</v>
      </c>
      <c r="I164" s="339" t="s">
        <v>10421</v>
      </c>
      <c r="J164" s="2399" t="s">
        <v>4306</v>
      </c>
      <c r="K164" s="340">
        <v>45571</v>
      </c>
      <c r="L164" s="339" t="s">
        <v>10422</v>
      </c>
      <c r="M164" s="322" t="s">
        <v>10423</v>
      </c>
      <c r="N164" s="339" t="s">
        <v>10424</v>
      </c>
      <c r="O164" s="322" t="s">
        <v>10423</v>
      </c>
      <c r="P164" s="345"/>
      <c r="Q164" s="6094" t="s">
        <v>9071</v>
      </c>
      <c r="R164" s="322" t="s">
        <v>536</v>
      </c>
      <c r="S164" s="346"/>
      <c r="T164" s="347"/>
      <c r="U164" s="326"/>
      <c r="V164" s="348"/>
      <c r="W164" s="347"/>
      <c r="X164" s="326"/>
      <c r="Y164" s="348"/>
      <c r="Z164" s="347"/>
      <c r="AA164" s="326"/>
      <c r="AB164" s="348"/>
      <c r="AC164" s="820"/>
      <c r="AD164" s="821"/>
      <c r="AE164" s="822"/>
      <c r="AF164" s="820"/>
      <c r="AG164" s="821"/>
      <c r="AH164" s="822"/>
      <c r="AI164" s="482">
        <v>5639</v>
      </c>
      <c r="AJ164" s="326">
        <v>0</v>
      </c>
      <c r="AK164" s="3917">
        <v>0</v>
      </c>
      <c r="AL164" s="349">
        <f t="shared" si="41"/>
        <v>5639</v>
      </c>
      <c r="AM164" s="2002"/>
      <c r="AN164" s="3357"/>
      <c r="AO164" s="695"/>
      <c r="AP164" s="3362" t="str">
        <f t="shared" ref="AP164:AQ183" si="44">AP$2</f>
        <v>Planning Reg 2023-2024</v>
      </c>
      <c r="AQ164" s="3555">
        <f t="shared" si="44"/>
        <v>1.1576249999999999</v>
      </c>
      <c r="AR164" s="333"/>
      <c r="AS164" s="330"/>
      <c r="AT164" s="330"/>
      <c r="AU164" s="849"/>
      <c r="AV164" s="849"/>
      <c r="AW164" s="3156">
        <f t="shared" si="42"/>
        <v>5881</v>
      </c>
      <c r="AX164" s="3140"/>
    </row>
    <row r="165" spans="1:50" ht="63.75">
      <c r="A165" s="2418" t="s">
        <v>11030</v>
      </c>
      <c r="B165" s="5788" t="s">
        <v>12458</v>
      </c>
      <c r="C165" s="321">
        <v>0</v>
      </c>
      <c r="D165" s="323">
        <v>44841</v>
      </c>
      <c r="E165" s="3058" t="s">
        <v>10324</v>
      </c>
      <c r="F165" s="830" t="s">
        <v>10101</v>
      </c>
      <c r="G165" s="5356">
        <v>1.1100000000000001</v>
      </c>
      <c r="H165" s="332" t="s">
        <v>11088</v>
      </c>
      <c r="I165" s="339" t="s">
        <v>1433</v>
      </c>
      <c r="J165" s="322" t="s">
        <v>1434</v>
      </c>
      <c r="K165" s="340">
        <v>45778</v>
      </c>
      <c r="L165" s="339" t="s">
        <v>10428</v>
      </c>
      <c r="M165" s="322" t="s">
        <v>10429</v>
      </c>
      <c r="N165" s="339" t="s">
        <v>4067</v>
      </c>
      <c r="O165" s="332" t="s">
        <v>10430</v>
      </c>
      <c r="P165" s="345"/>
      <c r="Q165" s="322" t="s">
        <v>10431</v>
      </c>
      <c r="R165" s="322" t="s">
        <v>9441</v>
      </c>
      <c r="S165" s="1577" t="s">
        <v>11032</v>
      </c>
      <c r="T165" s="347"/>
      <c r="U165" s="326"/>
      <c r="V165" s="348"/>
      <c r="W165" s="347"/>
      <c r="X165" s="326"/>
      <c r="Y165" s="348"/>
      <c r="Z165" s="347"/>
      <c r="AA165" s="326"/>
      <c r="AB165" s="348"/>
      <c r="AC165" s="820"/>
      <c r="AD165" s="821"/>
      <c r="AE165" s="822"/>
      <c r="AF165" s="820"/>
      <c r="AG165" s="821"/>
      <c r="AH165" s="822"/>
      <c r="AI165" s="482">
        <v>18030</v>
      </c>
      <c r="AJ165" s="326">
        <v>9015</v>
      </c>
      <c r="AK165" s="3917">
        <v>0</v>
      </c>
      <c r="AL165" s="349">
        <f t="shared" si="41"/>
        <v>9015</v>
      </c>
      <c r="AM165" s="2002"/>
      <c r="AN165" s="3357"/>
      <c r="AO165" s="695"/>
      <c r="AP165" s="3362" t="str">
        <f t="shared" si="44"/>
        <v>Planning Reg 2023-2024</v>
      </c>
      <c r="AQ165" s="3555">
        <f t="shared" si="44"/>
        <v>1.1576249999999999</v>
      </c>
      <c r="AR165" s="333"/>
      <c r="AS165" s="330"/>
      <c r="AT165" s="330"/>
      <c r="AU165" s="849"/>
      <c r="AV165" s="849"/>
      <c r="AW165" s="3156">
        <f t="shared" si="42"/>
        <v>9402</v>
      </c>
      <c r="AX165" s="3140"/>
    </row>
    <row r="166" spans="1:50" ht="51">
      <c r="A166" s="2418" t="s">
        <v>11030</v>
      </c>
      <c r="B166" s="338" t="s">
        <v>12457</v>
      </c>
      <c r="C166" s="321">
        <v>0</v>
      </c>
      <c r="D166" s="323">
        <v>44846</v>
      </c>
      <c r="E166" s="3058" t="s">
        <v>10324</v>
      </c>
      <c r="F166" s="830" t="s">
        <v>10101</v>
      </c>
      <c r="G166" s="5356">
        <v>1.1100000000000001</v>
      </c>
      <c r="H166" s="332" t="s">
        <v>11089</v>
      </c>
      <c r="I166" s="339" t="s">
        <v>1433</v>
      </c>
      <c r="J166" s="322" t="s">
        <v>1434</v>
      </c>
      <c r="K166" s="340">
        <v>47033</v>
      </c>
      <c r="L166" s="339" t="s">
        <v>10438</v>
      </c>
      <c r="M166" s="322" t="s">
        <v>10439</v>
      </c>
      <c r="N166" s="339" t="s">
        <v>10441</v>
      </c>
      <c r="O166" s="332" t="s">
        <v>10440</v>
      </c>
      <c r="P166" s="345"/>
      <c r="Q166" s="6094" t="s">
        <v>9071</v>
      </c>
      <c r="R166" s="322" t="s">
        <v>536</v>
      </c>
      <c r="S166" s="346"/>
      <c r="T166" s="347"/>
      <c r="U166" s="326"/>
      <c r="V166" s="348"/>
      <c r="W166" s="347"/>
      <c r="X166" s="326"/>
      <c r="Y166" s="348"/>
      <c r="Z166" s="347"/>
      <c r="AA166" s="326"/>
      <c r="AB166" s="348"/>
      <c r="AC166" s="820"/>
      <c r="AD166" s="821"/>
      <c r="AE166" s="822"/>
      <c r="AF166" s="820"/>
      <c r="AG166" s="821"/>
      <c r="AH166" s="822"/>
      <c r="AI166" s="482">
        <v>5639</v>
      </c>
      <c r="AJ166" s="326">
        <v>0</v>
      </c>
      <c r="AK166" s="3917">
        <v>0</v>
      </c>
      <c r="AL166" s="349">
        <f t="shared" si="41"/>
        <v>5639</v>
      </c>
      <c r="AM166" s="2002"/>
      <c r="AN166" s="3357"/>
      <c r="AO166" s="695"/>
      <c r="AP166" s="3362" t="str">
        <f t="shared" si="44"/>
        <v>Planning Reg 2023-2024</v>
      </c>
      <c r="AQ166" s="3555">
        <f t="shared" si="44"/>
        <v>1.1576249999999999</v>
      </c>
      <c r="AR166" s="333"/>
      <c r="AS166" s="330"/>
      <c r="AT166" s="330"/>
      <c r="AU166" s="849"/>
      <c r="AV166" s="849"/>
      <c r="AW166" s="3156">
        <f t="shared" si="42"/>
        <v>5881</v>
      </c>
      <c r="AX166" s="3140"/>
    </row>
    <row r="167" spans="1:50" ht="51">
      <c r="A167" s="2418" t="s">
        <v>11030</v>
      </c>
      <c r="B167" s="338" t="s">
        <v>10245</v>
      </c>
      <c r="C167" s="321">
        <v>0</v>
      </c>
      <c r="D167" s="323">
        <v>44847</v>
      </c>
      <c r="E167" s="3058" t="s">
        <v>10324</v>
      </c>
      <c r="F167" s="830" t="s">
        <v>10101</v>
      </c>
      <c r="G167" s="5356">
        <v>1.1100000000000001</v>
      </c>
      <c r="H167" s="332" t="s">
        <v>11090</v>
      </c>
      <c r="I167" s="339" t="s">
        <v>5753</v>
      </c>
      <c r="J167" s="322" t="s">
        <v>2712</v>
      </c>
      <c r="K167" s="340">
        <v>46306</v>
      </c>
      <c r="L167" s="339" t="s">
        <v>10447</v>
      </c>
      <c r="M167" s="322" t="s">
        <v>3046</v>
      </c>
      <c r="N167" s="339" t="s">
        <v>10448</v>
      </c>
      <c r="O167" s="332" t="s">
        <v>10449</v>
      </c>
      <c r="P167" s="345"/>
      <c r="Q167" s="322" t="s">
        <v>10450</v>
      </c>
      <c r="R167" s="322" t="s">
        <v>10451</v>
      </c>
      <c r="S167" s="346"/>
      <c r="T167" s="347"/>
      <c r="U167" s="326"/>
      <c r="V167" s="348"/>
      <c r="W167" s="347"/>
      <c r="X167" s="326"/>
      <c r="Y167" s="348"/>
      <c r="Z167" s="347"/>
      <c r="AA167" s="326"/>
      <c r="AB167" s="348"/>
      <c r="AC167" s="820"/>
      <c r="AD167" s="821"/>
      <c r="AE167" s="822"/>
      <c r="AF167" s="820"/>
      <c r="AG167" s="821"/>
      <c r="AH167" s="822"/>
      <c r="AI167" s="482">
        <v>15888</v>
      </c>
      <c r="AJ167" s="326">
        <v>0</v>
      </c>
      <c r="AK167" s="3917">
        <v>0</v>
      </c>
      <c r="AL167" s="349">
        <f t="shared" si="41"/>
        <v>15888</v>
      </c>
      <c r="AM167" s="2002"/>
      <c r="AN167" s="3357"/>
      <c r="AO167" s="695"/>
      <c r="AP167" s="3362" t="str">
        <f t="shared" si="44"/>
        <v>Planning Reg 2023-2024</v>
      </c>
      <c r="AQ167" s="3555">
        <f t="shared" si="44"/>
        <v>1.1576249999999999</v>
      </c>
      <c r="AR167" s="333"/>
      <c r="AS167" s="330"/>
      <c r="AT167" s="330"/>
      <c r="AU167" s="849"/>
      <c r="AV167" s="849"/>
      <c r="AW167" s="3156">
        <f t="shared" si="42"/>
        <v>16570</v>
      </c>
      <c r="AX167" s="3140"/>
    </row>
    <row r="168" spans="1:50" ht="76.5">
      <c r="A168" s="2418" t="s">
        <v>11030</v>
      </c>
      <c r="B168" s="338" t="s">
        <v>12456</v>
      </c>
      <c r="C168" s="321">
        <v>0</v>
      </c>
      <c r="D168" s="323">
        <v>44852</v>
      </c>
      <c r="E168" s="3058" t="s">
        <v>10324</v>
      </c>
      <c r="F168" s="830" t="s">
        <v>10101</v>
      </c>
      <c r="G168" s="5356">
        <v>1.1100000000000001</v>
      </c>
      <c r="H168" s="332" t="s">
        <v>11091</v>
      </c>
      <c r="I168" s="339" t="s">
        <v>9560</v>
      </c>
      <c r="J168" s="2399" t="s">
        <v>4306</v>
      </c>
      <c r="K168" s="340">
        <v>45578</v>
      </c>
      <c r="L168" s="339" t="s">
        <v>10475</v>
      </c>
      <c r="M168" s="322" t="s">
        <v>7003</v>
      </c>
      <c r="N168" s="339" t="s">
        <v>10477</v>
      </c>
      <c r="O168" s="332" t="s">
        <v>10476</v>
      </c>
      <c r="P168" s="345"/>
      <c r="Q168" s="6094" t="s">
        <v>11282</v>
      </c>
      <c r="R168" s="322" t="s">
        <v>8105</v>
      </c>
      <c r="S168" s="346"/>
      <c r="T168" s="347"/>
      <c r="U168" s="326"/>
      <c r="V168" s="348"/>
      <c r="W168" s="347"/>
      <c r="X168" s="326"/>
      <c r="Y168" s="348"/>
      <c r="Z168" s="347"/>
      <c r="AA168" s="326"/>
      <c r="AB168" s="348"/>
      <c r="AC168" s="820"/>
      <c r="AD168" s="821"/>
      <c r="AE168" s="822"/>
      <c r="AF168" s="820"/>
      <c r="AG168" s="821"/>
      <c r="AH168" s="822"/>
      <c r="AI168" s="482">
        <v>5639</v>
      </c>
      <c r="AJ168" s="326">
        <v>0</v>
      </c>
      <c r="AK168" s="3917">
        <v>0</v>
      </c>
      <c r="AL168" s="349">
        <f t="shared" si="41"/>
        <v>5639</v>
      </c>
      <c r="AM168" s="2002"/>
      <c r="AN168" s="3357"/>
      <c r="AO168" s="695"/>
      <c r="AP168" s="3362" t="str">
        <f t="shared" si="44"/>
        <v>Planning Reg 2023-2024</v>
      </c>
      <c r="AQ168" s="3555">
        <f t="shared" si="44"/>
        <v>1.1576249999999999</v>
      </c>
      <c r="AR168" s="333"/>
      <c r="AS168" s="330"/>
      <c r="AT168" s="330"/>
      <c r="AU168" s="849"/>
      <c r="AV168" s="849"/>
      <c r="AW168" s="3156">
        <f t="shared" si="42"/>
        <v>5881</v>
      </c>
      <c r="AX168" s="3140"/>
    </row>
    <row r="169" spans="1:50" ht="51">
      <c r="A169" s="2418" t="s">
        <v>11030</v>
      </c>
      <c r="B169" s="338" t="s">
        <v>10247</v>
      </c>
      <c r="C169" s="321">
        <v>0</v>
      </c>
      <c r="D169" s="323">
        <v>44868</v>
      </c>
      <c r="E169" s="3058" t="s">
        <v>10324</v>
      </c>
      <c r="F169" s="830" t="s">
        <v>10101</v>
      </c>
      <c r="G169" s="5356">
        <v>1.1100000000000001</v>
      </c>
      <c r="H169" s="332" t="s">
        <v>11093</v>
      </c>
      <c r="I169" s="339" t="s">
        <v>5753</v>
      </c>
      <c r="J169" s="322" t="s">
        <v>2712</v>
      </c>
      <c r="K169" s="340">
        <v>46327</v>
      </c>
      <c r="L169" s="339" t="s">
        <v>10503</v>
      </c>
      <c r="M169" s="322" t="s">
        <v>10504</v>
      </c>
      <c r="N169" s="339" t="s">
        <v>10506</v>
      </c>
      <c r="O169" s="332" t="s">
        <v>10505</v>
      </c>
      <c r="P169" s="345"/>
      <c r="Q169" s="322" t="s">
        <v>10507</v>
      </c>
      <c r="R169" s="322" t="s">
        <v>10508</v>
      </c>
      <c r="S169" s="346"/>
      <c r="T169" s="347"/>
      <c r="U169" s="326"/>
      <c r="V169" s="348"/>
      <c r="W169" s="347"/>
      <c r="X169" s="326"/>
      <c r="Y169" s="348"/>
      <c r="Z169" s="347"/>
      <c r="AA169" s="326"/>
      <c r="AB169" s="348"/>
      <c r="AC169" s="820"/>
      <c r="AD169" s="821"/>
      <c r="AE169" s="822"/>
      <c r="AF169" s="820"/>
      <c r="AG169" s="821"/>
      <c r="AH169" s="822"/>
      <c r="AI169" s="482">
        <v>18648</v>
      </c>
      <c r="AJ169" s="326">
        <v>0</v>
      </c>
      <c r="AK169" s="3917">
        <v>0</v>
      </c>
      <c r="AL169" s="349">
        <f t="shared" si="41"/>
        <v>18648</v>
      </c>
      <c r="AM169" s="2002"/>
      <c r="AN169" s="3357"/>
      <c r="AO169" s="695"/>
      <c r="AP169" s="3362" t="str">
        <f t="shared" si="44"/>
        <v>Planning Reg 2023-2024</v>
      </c>
      <c r="AQ169" s="3555">
        <f t="shared" si="44"/>
        <v>1.1576249999999999</v>
      </c>
      <c r="AR169" s="333"/>
      <c r="AS169" s="330"/>
      <c r="AT169" s="330"/>
      <c r="AU169" s="849"/>
      <c r="AV169" s="849"/>
      <c r="AW169" s="3156">
        <f t="shared" si="42"/>
        <v>19448</v>
      </c>
      <c r="AX169" s="3140"/>
    </row>
    <row r="170" spans="1:50" ht="76.5">
      <c r="A170" s="2418" t="s">
        <v>11030</v>
      </c>
      <c r="B170" s="338" t="s">
        <v>10248</v>
      </c>
      <c r="C170" s="321">
        <v>0</v>
      </c>
      <c r="D170" s="323">
        <v>44868</v>
      </c>
      <c r="E170" s="3058" t="s">
        <v>10324</v>
      </c>
      <c r="F170" s="830" t="s">
        <v>10101</v>
      </c>
      <c r="G170" s="5356">
        <v>1.1100000000000001</v>
      </c>
      <c r="H170" s="2273" t="s">
        <v>10509</v>
      </c>
      <c r="I170" s="339" t="s">
        <v>10511</v>
      </c>
      <c r="J170" s="2399" t="s">
        <v>4306</v>
      </c>
      <c r="K170" s="340">
        <v>45599</v>
      </c>
      <c r="L170" s="339" t="s">
        <v>313</v>
      </c>
      <c r="M170" s="322" t="s">
        <v>8832</v>
      </c>
      <c r="N170" s="339" t="s">
        <v>10515</v>
      </c>
      <c r="O170" s="332" t="s">
        <v>10517</v>
      </c>
      <c r="P170" s="345"/>
      <c r="Q170" s="6094" t="s">
        <v>9071</v>
      </c>
      <c r="R170" s="322" t="s">
        <v>536</v>
      </c>
      <c r="S170" s="346"/>
      <c r="T170" s="347"/>
      <c r="U170" s="326"/>
      <c r="V170" s="348"/>
      <c r="W170" s="347"/>
      <c r="X170" s="326"/>
      <c r="Y170" s="348"/>
      <c r="Z170" s="347"/>
      <c r="AA170" s="326"/>
      <c r="AB170" s="348"/>
      <c r="AC170" s="820"/>
      <c r="AD170" s="821"/>
      <c r="AE170" s="822"/>
      <c r="AF170" s="820"/>
      <c r="AG170" s="821"/>
      <c r="AH170" s="822"/>
      <c r="AI170" s="482">
        <v>5639</v>
      </c>
      <c r="AJ170" s="326">
        <v>0</v>
      </c>
      <c r="AK170" s="3917">
        <v>0</v>
      </c>
      <c r="AL170" s="349">
        <f t="shared" si="41"/>
        <v>5639</v>
      </c>
      <c r="AM170" s="2002"/>
      <c r="AN170" s="3357"/>
      <c r="AO170" s="695"/>
      <c r="AP170" s="3362" t="str">
        <f t="shared" si="44"/>
        <v>Planning Reg 2023-2024</v>
      </c>
      <c r="AQ170" s="3555">
        <f t="shared" si="44"/>
        <v>1.1576249999999999</v>
      </c>
      <c r="AR170" s="333"/>
      <c r="AS170" s="330"/>
      <c r="AT170" s="330"/>
      <c r="AU170" s="849"/>
      <c r="AV170" s="849"/>
      <c r="AW170" s="3156">
        <f t="shared" si="42"/>
        <v>5881</v>
      </c>
      <c r="AX170" s="3140"/>
    </row>
    <row r="171" spans="1:50" ht="51">
      <c r="A171" s="2418" t="s">
        <v>11030</v>
      </c>
      <c r="B171" s="338" t="s">
        <v>10249</v>
      </c>
      <c r="C171" s="321">
        <v>0</v>
      </c>
      <c r="D171" s="323">
        <v>44872</v>
      </c>
      <c r="E171" s="3058" t="s">
        <v>10324</v>
      </c>
      <c r="F171" s="830" t="s">
        <v>10101</v>
      </c>
      <c r="G171" s="5356">
        <v>1.1100000000000001</v>
      </c>
      <c r="H171" s="332" t="s">
        <v>11094</v>
      </c>
      <c r="I171" s="339" t="s">
        <v>1433</v>
      </c>
      <c r="J171" s="322" t="s">
        <v>1434</v>
      </c>
      <c r="K171" s="340">
        <v>47060</v>
      </c>
      <c r="L171" s="339" t="s">
        <v>10526</v>
      </c>
      <c r="M171" s="322" t="s">
        <v>9580</v>
      </c>
      <c r="N171" s="339" t="s">
        <v>10527</v>
      </c>
      <c r="O171" s="332" t="s">
        <v>10528</v>
      </c>
      <c r="P171" s="345"/>
      <c r="Q171" s="6094" t="s">
        <v>9071</v>
      </c>
      <c r="R171" s="322" t="s">
        <v>2058</v>
      </c>
      <c r="S171" s="346"/>
      <c r="T171" s="347"/>
      <c r="U171" s="326"/>
      <c r="V171" s="348"/>
      <c r="W171" s="347"/>
      <c r="X171" s="326"/>
      <c r="Y171" s="348"/>
      <c r="Z171" s="347"/>
      <c r="AA171" s="326"/>
      <c r="AB171" s="348"/>
      <c r="AC171" s="820"/>
      <c r="AD171" s="821"/>
      <c r="AE171" s="822"/>
      <c r="AF171" s="820"/>
      <c r="AG171" s="821"/>
      <c r="AH171" s="822"/>
      <c r="AI171" s="482">
        <v>5639</v>
      </c>
      <c r="AJ171" s="326">
        <v>0</v>
      </c>
      <c r="AK171" s="3917">
        <v>0</v>
      </c>
      <c r="AL171" s="349">
        <f t="shared" si="41"/>
        <v>5639</v>
      </c>
      <c r="AM171" s="2002"/>
      <c r="AN171" s="3357"/>
      <c r="AO171" s="695"/>
      <c r="AP171" s="3362" t="str">
        <f t="shared" si="44"/>
        <v>Planning Reg 2023-2024</v>
      </c>
      <c r="AQ171" s="3555">
        <f t="shared" si="44"/>
        <v>1.1576249999999999</v>
      </c>
      <c r="AR171" s="333"/>
      <c r="AS171" s="330"/>
      <c r="AT171" s="330"/>
      <c r="AU171" s="849"/>
      <c r="AV171" s="849"/>
      <c r="AW171" s="3156">
        <f t="shared" si="42"/>
        <v>5881</v>
      </c>
      <c r="AX171" s="3140"/>
    </row>
    <row r="172" spans="1:50" ht="51">
      <c r="A172" s="2418" t="s">
        <v>11030</v>
      </c>
      <c r="B172" s="338" t="s">
        <v>10250</v>
      </c>
      <c r="C172" s="321">
        <v>0</v>
      </c>
      <c r="D172" s="323">
        <v>44872</v>
      </c>
      <c r="E172" s="3058" t="s">
        <v>10324</v>
      </c>
      <c r="F172" s="830" t="s">
        <v>10101</v>
      </c>
      <c r="G172" s="5356">
        <v>1.1100000000000001</v>
      </c>
      <c r="H172" s="332" t="s">
        <v>11095</v>
      </c>
      <c r="I172" s="339" t="s">
        <v>1433</v>
      </c>
      <c r="J172" s="322" t="s">
        <v>1434</v>
      </c>
      <c r="K172" s="340">
        <v>47059</v>
      </c>
      <c r="L172" s="339" t="s">
        <v>10529</v>
      </c>
      <c r="M172" s="322" t="s">
        <v>9580</v>
      </c>
      <c r="N172" s="339" t="s">
        <v>10530</v>
      </c>
      <c r="O172" s="332" t="s">
        <v>10531</v>
      </c>
      <c r="P172" s="345"/>
      <c r="Q172" s="322" t="s">
        <v>10532</v>
      </c>
      <c r="R172" s="322" t="s">
        <v>581</v>
      </c>
      <c r="S172" s="346"/>
      <c r="T172" s="347"/>
      <c r="U172" s="326"/>
      <c r="V172" s="348"/>
      <c r="W172" s="347"/>
      <c r="X172" s="326"/>
      <c r="Y172" s="348"/>
      <c r="Z172" s="347"/>
      <c r="AA172" s="326"/>
      <c r="AB172" s="348"/>
      <c r="AC172" s="820"/>
      <c r="AD172" s="821"/>
      <c r="AE172" s="822"/>
      <c r="AF172" s="820"/>
      <c r="AG172" s="821"/>
      <c r="AH172" s="822"/>
      <c r="AI172" s="482">
        <v>7944</v>
      </c>
      <c r="AJ172" s="326">
        <v>0</v>
      </c>
      <c r="AK172" s="3917">
        <v>0</v>
      </c>
      <c r="AL172" s="349">
        <f t="shared" si="41"/>
        <v>7944</v>
      </c>
      <c r="AM172" s="2002"/>
      <c r="AN172" s="3357"/>
      <c r="AO172" s="695"/>
      <c r="AP172" s="3362" t="str">
        <f t="shared" si="44"/>
        <v>Planning Reg 2023-2024</v>
      </c>
      <c r="AQ172" s="3555">
        <f t="shared" si="44"/>
        <v>1.1576249999999999</v>
      </c>
      <c r="AR172" s="333"/>
      <c r="AS172" s="330"/>
      <c r="AT172" s="330"/>
      <c r="AU172" s="849"/>
      <c r="AV172" s="849"/>
      <c r="AW172" s="3156">
        <f t="shared" si="42"/>
        <v>8285</v>
      </c>
      <c r="AX172" s="3140"/>
    </row>
    <row r="173" spans="1:50" ht="76.5">
      <c r="A173" s="2418" t="s">
        <v>11030</v>
      </c>
      <c r="B173" s="338" t="s">
        <v>10252</v>
      </c>
      <c r="C173" s="321">
        <v>0</v>
      </c>
      <c r="D173" s="323">
        <v>44881</v>
      </c>
      <c r="E173" s="3058" t="s">
        <v>10324</v>
      </c>
      <c r="F173" s="830" t="s">
        <v>10101</v>
      </c>
      <c r="G173" s="5356">
        <v>1.1100000000000001</v>
      </c>
      <c r="H173" s="2273" t="s">
        <v>10604</v>
      </c>
      <c r="I173" s="339" t="s">
        <v>10578</v>
      </c>
      <c r="J173" s="2399" t="s">
        <v>4306</v>
      </c>
      <c r="K173" s="340">
        <v>45612</v>
      </c>
      <c r="L173" s="339" t="s">
        <v>10582</v>
      </c>
      <c r="M173" s="322" t="s">
        <v>10583</v>
      </c>
      <c r="N173" s="339" t="s">
        <v>10584</v>
      </c>
      <c r="O173" s="322" t="s">
        <v>10583</v>
      </c>
      <c r="P173" s="345"/>
      <c r="Q173" s="6094" t="s">
        <v>9071</v>
      </c>
      <c r="R173" s="322" t="s">
        <v>536</v>
      </c>
      <c r="S173" s="346"/>
      <c r="T173" s="347"/>
      <c r="U173" s="326"/>
      <c r="V173" s="348"/>
      <c r="W173" s="347"/>
      <c r="X173" s="326"/>
      <c r="Y173" s="348"/>
      <c r="Z173" s="347"/>
      <c r="AA173" s="326"/>
      <c r="AB173" s="348"/>
      <c r="AC173" s="820"/>
      <c r="AD173" s="821"/>
      <c r="AE173" s="822"/>
      <c r="AF173" s="820"/>
      <c r="AG173" s="821"/>
      <c r="AH173" s="822"/>
      <c r="AI173" s="482">
        <v>5639</v>
      </c>
      <c r="AJ173" s="326">
        <v>0</v>
      </c>
      <c r="AK173" s="3917">
        <v>0</v>
      </c>
      <c r="AL173" s="349">
        <f t="shared" si="41"/>
        <v>5639</v>
      </c>
      <c r="AM173" s="2002"/>
      <c r="AN173" s="3357"/>
      <c r="AO173" s="695"/>
      <c r="AP173" s="3362" t="str">
        <f t="shared" si="44"/>
        <v>Planning Reg 2023-2024</v>
      </c>
      <c r="AQ173" s="3555">
        <f t="shared" si="44"/>
        <v>1.1576249999999999</v>
      </c>
      <c r="AR173" s="333"/>
      <c r="AS173" s="330"/>
      <c r="AT173" s="330"/>
      <c r="AU173" s="849"/>
      <c r="AV173" s="849"/>
      <c r="AW173" s="3156">
        <f t="shared" si="42"/>
        <v>5881</v>
      </c>
      <c r="AX173" s="3140"/>
    </row>
    <row r="174" spans="1:50" ht="76.5">
      <c r="A174" s="2418" t="s">
        <v>11030</v>
      </c>
      <c r="B174" s="338" t="s">
        <v>10254</v>
      </c>
      <c r="C174" s="321">
        <v>0</v>
      </c>
      <c r="D174" s="323">
        <v>44889</v>
      </c>
      <c r="E174" s="3058" t="s">
        <v>10324</v>
      </c>
      <c r="F174" s="830" t="s">
        <v>10101</v>
      </c>
      <c r="G174" s="5356">
        <v>1.1100000000000001</v>
      </c>
      <c r="H174" s="2273" t="s">
        <v>10605</v>
      </c>
      <c r="I174" s="339" t="s">
        <v>10606</v>
      </c>
      <c r="J174" s="2399" t="s">
        <v>4306</v>
      </c>
      <c r="K174" s="340">
        <v>45620</v>
      </c>
      <c r="L174" s="339" t="s">
        <v>10607</v>
      </c>
      <c r="M174" s="322" t="s">
        <v>10608</v>
      </c>
      <c r="N174" s="339" t="s">
        <v>10609</v>
      </c>
      <c r="O174" s="322" t="s">
        <v>10608</v>
      </c>
      <c r="P174" s="345"/>
      <c r="Q174" s="6094" t="s">
        <v>9071</v>
      </c>
      <c r="R174" s="322" t="s">
        <v>536</v>
      </c>
      <c r="S174" s="346"/>
      <c r="T174" s="347"/>
      <c r="U174" s="326"/>
      <c r="V174" s="348"/>
      <c r="W174" s="347"/>
      <c r="X174" s="326"/>
      <c r="Y174" s="348"/>
      <c r="Z174" s="347"/>
      <c r="AA174" s="326"/>
      <c r="AB174" s="348"/>
      <c r="AC174" s="820"/>
      <c r="AD174" s="821"/>
      <c r="AE174" s="822"/>
      <c r="AF174" s="820"/>
      <c r="AG174" s="821"/>
      <c r="AH174" s="822"/>
      <c r="AI174" s="482">
        <v>5639</v>
      </c>
      <c r="AJ174" s="326">
        <v>0</v>
      </c>
      <c r="AK174" s="3917">
        <v>0</v>
      </c>
      <c r="AL174" s="349">
        <f t="shared" si="41"/>
        <v>5639</v>
      </c>
      <c r="AM174" s="2002"/>
      <c r="AN174" s="3357"/>
      <c r="AO174" s="695"/>
      <c r="AP174" s="3362" t="str">
        <f t="shared" si="44"/>
        <v>Planning Reg 2023-2024</v>
      </c>
      <c r="AQ174" s="3555">
        <f t="shared" si="44"/>
        <v>1.1576249999999999</v>
      </c>
      <c r="AR174" s="333"/>
      <c r="AS174" s="330"/>
      <c r="AT174" s="330"/>
      <c r="AU174" s="849"/>
      <c r="AV174" s="849"/>
      <c r="AW174" s="3156">
        <f t="shared" si="42"/>
        <v>5881</v>
      </c>
      <c r="AX174" s="3140"/>
    </row>
    <row r="175" spans="1:50" ht="51">
      <c r="A175" s="2418" t="s">
        <v>11030</v>
      </c>
      <c r="B175" s="338" t="s">
        <v>10255</v>
      </c>
      <c r="C175" s="321">
        <v>0</v>
      </c>
      <c r="D175" s="323">
        <v>44895</v>
      </c>
      <c r="E175" s="3058" t="s">
        <v>10324</v>
      </c>
      <c r="F175" s="830" t="s">
        <v>10101</v>
      </c>
      <c r="G175" s="5356">
        <v>1.1100000000000001</v>
      </c>
      <c r="H175" s="332" t="s">
        <v>11097</v>
      </c>
      <c r="I175" s="339" t="s">
        <v>1433</v>
      </c>
      <c r="J175" s="322" t="s">
        <v>1434</v>
      </c>
      <c r="K175" s="340">
        <v>47085</v>
      </c>
      <c r="L175" s="339" t="s">
        <v>10613</v>
      </c>
      <c r="M175" s="322" t="s">
        <v>10614</v>
      </c>
      <c r="N175" s="339" t="s">
        <v>10615</v>
      </c>
      <c r="O175" s="332" t="s">
        <v>10616</v>
      </c>
      <c r="P175" s="345"/>
      <c r="Q175" s="322" t="s">
        <v>10617</v>
      </c>
      <c r="R175" s="322" t="s">
        <v>10618</v>
      </c>
      <c r="S175" s="346"/>
      <c r="T175" s="347"/>
      <c r="U175" s="326"/>
      <c r="V175" s="348"/>
      <c r="W175" s="347"/>
      <c r="X175" s="326"/>
      <c r="Y175" s="348"/>
      <c r="Z175" s="347"/>
      <c r="AA175" s="326"/>
      <c r="AB175" s="348"/>
      <c r="AC175" s="820"/>
      <c r="AD175" s="821"/>
      <c r="AE175" s="822"/>
      <c r="AF175" s="820"/>
      <c r="AG175" s="821"/>
      <c r="AH175" s="822"/>
      <c r="AI175" s="482">
        <v>37296</v>
      </c>
      <c r="AJ175" s="326">
        <v>0</v>
      </c>
      <c r="AK175" s="3917">
        <v>0</v>
      </c>
      <c r="AL175" s="349">
        <f t="shared" si="41"/>
        <v>37296</v>
      </c>
      <c r="AM175" s="2002"/>
      <c r="AN175" s="3357"/>
      <c r="AO175" s="695"/>
      <c r="AP175" s="3362" t="str">
        <f t="shared" si="44"/>
        <v>Planning Reg 2023-2024</v>
      </c>
      <c r="AQ175" s="3555">
        <f t="shared" si="44"/>
        <v>1.1576249999999999</v>
      </c>
      <c r="AR175" s="333"/>
      <c r="AS175" s="330"/>
      <c r="AT175" s="330"/>
      <c r="AU175" s="849"/>
      <c r="AV175" s="849"/>
      <c r="AW175" s="3156">
        <f t="shared" si="42"/>
        <v>38896</v>
      </c>
      <c r="AX175" s="3140"/>
    </row>
    <row r="176" spans="1:50" ht="76.5">
      <c r="A176" s="2418" t="s">
        <v>11030</v>
      </c>
      <c r="B176" s="338" t="s">
        <v>10256</v>
      </c>
      <c r="C176" s="321">
        <v>0</v>
      </c>
      <c r="D176" s="323">
        <v>44902</v>
      </c>
      <c r="E176" s="3058" t="s">
        <v>10324</v>
      </c>
      <c r="F176" s="830" t="s">
        <v>10101</v>
      </c>
      <c r="G176" s="5356">
        <v>1.1100000000000001</v>
      </c>
      <c r="H176" s="2273" t="s">
        <v>10623</v>
      </c>
      <c r="I176" s="339" t="s">
        <v>10622</v>
      </c>
      <c r="J176" s="2399" t="s">
        <v>4306</v>
      </c>
      <c r="K176" s="340">
        <v>45633</v>
      </c>
      <c r="L176" s="339" t="s">
        <v>9116</v>
      </c>
      <c r="M176" s="322" t="s">
        <v>10627</v>
      </c>
      <c r="N176" s="339" t="s">
        <v>10628</v>
      </c>
      <c r="O176" s="332" t="s">
        <v>10629</v>
      </c>
      <c r="P176" s="345"/>
      <c r="Q176" s="6094" t="s">
        <v>9071</v>
      </c>
      <c r="R176" s="322" t="s">
        <v>536</v>
      </c>
      <c r="S176" s="346"/>
      <c r="T176" s="347"/>
      <c r="U176" s="326"/>
      <c r="V176" s="348"/>
      <c r="W176" s="347"/>
      <c r="X176" s="326"/>
      <c r="Y176" s="348"/>
      <c r="Z176" s="347"/>
      <c r="AA176" s="326"/>
      <c r="AB176" s="348"/>
      <c r="AC176" s="820"/>
      <c r="AD176" s="821"/>
      <c r="AE176" s="822"/>
      <c r="AF176" s="820"/>
      <c r="AG176" s="821"/>
      <c r="AH176" s="822"/>
      <c r="AI176" s="482">
        <v>6619</v>
      </c>
      <c r="AJ176" s="326">
        <v>0</v>
      </c>
      <c r="AK176" s="3917">
        <v>0</v>
      </c>
      <c r="AL176" s="349">
        <f t="shared" si="41"/>
        <v>6619</v>
      </c>
      <c r="AM176" s="2002"/>
      <c r="AN176" s="3357"/>
      <c r="AO176" s="695"/>
      <c r="AP176" s="3362" t="str">
        <f t="shared" si="44"/>
        <v>Planning Reg 2023-2024</v>
      </c>
      <c r="AQ176" s="3555">
        <f t="shared" si="44"/>
        <v>1.1576249999999999</v>
      </c>
      <c r="AR176" s="333"/>
      <c r="AS176" s="330"/>
      <c r="AT176" s="330"/>
      <c r="AU176" s="849"/>
      <c r="AV176" s="849"/>
      <c r="AW176" s="3156">
        <f t="shared" si="42"/>
        <v>6903</v>
      </c>
      <c r="AX176" s="3140"/>
    </row>
    <row r="177" spans="1:50" ht="76.5">
      <c r="A177" s="2418" t="s">
        <v>11030</v>
      </c>
      <c r="B177" s="338" t="s">
        <v>12455</v>
      </c>
      <c r="C177" s="321">
        <v>0</v>
      </c>
      <c r="D177" s="323">
        <v>44907</v>
      </c>
      <c r="E177" s="3058" t="s">
        <v>10324</v>
      </c>
      <c r="F177" s="830" t="s">
        <v>10101</v>
      </c>
      <c r="G177" s="5356">
        <v>1.1100000000000001</v>
      </c>
      <c r="H177" s="332" t="s">
        <v>11098</v>
      </c>
      <c r="I177" s="339" t="s">
        <v>9560</v>
      </c>
      <c r="J177" s="2399" t="s">
        <v>4306</v>
      </c>
      <c r="K177" s="340">
        <v>45638</v>
      </c>
      <c r="L177" s="339" t="s">
        <v>10639</v>
      </c>
      <c r="M177" s="322" t="s">
        <v>10640</v>
      </c>
      <c r="N177" s="339" t="s">
        <v>10641</v>
      </c>
      <c r="O177" s="332" t="s">
        <v>10642</v>
      </c>
      <c r="P177" s="345"/>
      <c r="Q177" s="6094" t="s">
        <v>9071</v>
      </c>
      <c r="R177" s="322" t="s">
        <v>536</v>
      </c>
      <c r="S177" s="346"/>
      <c r="T177" s="347"/>
      <c r="U177" s="326"/>
      <c r="V177" s="348"/>
      <c r="W177" s="347"/>
      <c r="X177" s="326"/>
      <c r="Y177" s="348"/>
      <c r="Z177" s="347"/>
      <c r="AA177" s="326"/>
      <c r="AB177" s="348"/>
      <c r="AC177" s="820"/>
      <c r="AD177" s="821"/>
      <c r="AE177" s="822"/>
      <c r="AF177" s="820"/>
      <c r="AG177" s="821"/>
      <c r="AH177" s="822"/>
      <c r="AI177" s="482">
        <v>5639</v>
      </c>
      <c r="AJ177" s="326">
        <v>0</v>
      </c>
      <c r="AK177" s="3917">
        <v>0</v>
      </c>
      <c r="AL177" s="349">
        <f t="shared" si="41"/>
        <v>5639</v>
      </c>
      <c r="AM177" s="2002"/>
      <c r="AN177" s="3357"/>
      <c r="AO177" s="695"/>
      <c r="AP177" s="3362" t="str">
        <f t="shared" si="44"/>
        <v>Planning Reg 2023-2024</v>
      </c>
      <c r="AQ177" s="3555">
        <f t="shared" si="44"/>
        <v>1.1576249999999999</v>
      </c>
      <c r="AR177" s="333"/>
      <c r="AS177" s="330"/>
      <c r="AT177" s="330"/>
      <c r="AU177" s="849"/>
      <c r="AV177" s="849"/>
      <c r="AW177" s="3156">
        <f t="shared" si="42"/>
        <v>5881</v>
      </c>
      <c r="AX177" s="3140"/>
    </row>
    <row r="178" spans="1:50" ht="76.5">
      <c r="A178" s="2418" t="s">
        <v>11030</v>
      </c>
      <c r="B178" s="338" t="s">
        <v>10258</v>
      </c>
      <c r="C178" s="321">
        <v>0</v>
      </c>
      <c r="D178" s="323">
        <v>44909</v>
      </c>
      <c r="E178" s="3058" t="s">
        <v>10324</v>
      </c>
      <c r="F178" s="830" t="s">
        <v>10101</v>
      </c>
      <c r="G178" s="5356">
        <v>1.1100000000000001</v>
      </c>
      <c r="H178" s="2273" t="s">
        <v>10643</v>
      </c>
      <c r="I178" s="339" t="s">
        <v>10644</v>
      </c>
      <c r="J178" s="2399" t="s">
        <v>4306</v>
      </c>
      <c r="K178" s="340">
        <v>45640</v>
      </c>
      <c r="L178" s="339" t="s">
        <v>10645</v>
      </c>
      <c r="M178" s="322" t="s">
        <v>10646</v>
      </c>
      <c r="N178" s="339" t="s">
        <v>10647</v>
      </c>
      <c r="O178" s="322" t="s">
        <v>10646</v>
      </c>
      <c r="P178" s="345"/>
      <c r="Q178" s="6094" t="s">
        <v>9071</v>
      </c>
      <c r="R178" s="322" t="s">
        <v>536</v>
      </c>
      <c r="S178" s="346"/>
      <c r="T178" s="347"/>
      <c r="U178" s="326"/>
      <c r="V178" s="348"/>
      <c r="W178" s="347"/>
      <c r="X178" s="326"/>
      <c r="Y178" s="348"/>
      <c r="Z178" s="347"/>
      <c r="AA178" s="326"/>
      <c r="AB178" s="348"/>
      <c r="AC178" s="820"/>
      <c r="AD178" s="821"/>
      <c r="AE178" s="822"/>
      <c r="AF178" s="820"/>
      <c r="AG178" s="821"/>
      <c r="AH178" s="822"/>
      <c r="AI178" s="482">
        <v>6619</v>
      </c>
      <c r="AJ178" s="326">
        <v>0</v>
      </c>
      <c r="AK178" s="3917">
        <v>0</v>
      </c>
      <c r="AL178" s="349">
        <f t="shared" si="41"/>
        <v>6619</v>
      </c>
      <c r="AM178" s="2002"/>
      <c r="AN178" s="3357"/>
      <c r="AO178" s="695"/>
      <c r="AP178" s="3362" t="str">
        <f t="shared" si="44"/>
        <v>Planning Reg 2023-2024</v>
      </c>
      <c r="AQ178" s="3555">
        <f t="shared" si="44"/>
        <v>1.1576249999999999</v>
      </c>
      <c r="AR178" s="333"/>
      <c r="AS178" s="330"/>
      <c r="AT178" s="330"/>
      <c r="AU178" s="849"/>
      <c r="AV178" s="849"/>
      <c r="AW178" s="3156">
        <f t="shared" si="42"/>
        <v>6903</v>
      </c>
      <c r="AX178" s="3140"/>
    </row>
    <row r="179" spans="1:50" ht="51">
      <c r="A179" s="2418" t="s">
        <v>11030</v>
      </c>
      <c r="B179" s="338" t="s">
        <v>12454</v>
      </c>
      <c r="C179" s="321">
        <v>0</v>
      </c>
      <c r="D179" s="323">
        <v>44914</v>
      </c>
      <c r="E179" s="3058" t="s">
        <v>10324</v>
      </c>
      <c r="F179" s="830" t="s">
        <v>10101</v>
      </c>
      <c r="G179" s="5356">
        <v>1.1100000000000001</v>
      </c>
      <c r="H179" s="332" t="s">
        <v>11100</v>
      </c>
      <c r="I179" s="339" t="s">
        <v>1433</v>
      </c>
      <c r="J179" s="322" t="s">
        <v>1434</v>
      </c>
      <c r="K179" s="340">
        <v>47106</v>
      </c>
      <c r="L179" s="339" t="s">
        <v>10655</v>
      </c>
      <c r="M179" s="322" t="s">
        <v>10656</v>
      </c>
      <c r="N179" s="339" t="s">
        <v>10657</v>
      </c>
      <c r="O179" s="332" t="s">
        <v>10658</v>
      </c>
      <c r="P179" s="345"/>
      <c r="Q179" s="322" t="s">
        <v>10659</v>
      </c>
      <c r="R179" s="322" t="s">
        <v>10660</v>
      </c>
      <c r="S179" s="346"/>
      <c r="T179" s="347"/>
      <c r="U179" s="326"/>
      <c r="V179" s="348"/>
      <c r="W179" s="347"/>
      <c r="X179" s="326"/>
      <c r="Y179" s="348"/>
      <c r="Z179" s="347"/>
      <c r="AA179" s="326"/>
      <c r="AB179" s="348"/>
      <c r="AC179" s="820"/>
      <c r="AD179" s="821"/>
      <c r="AE179" s="822"/>
      <c r="AF179" s="820"/>
      <c r="AG179" s="821"/>
      <c r="AH179" s="822"/>
      <c r="AI179" s="482">
        <v>34632</v>
      </c>
      <c r="AJ179" s="326">
        <v>0</v>
      </c>
      <c r="AK179" s="3917">
        <v>0</v>
      </c>
      <c r="AL179" s="349">
        <f t="shared" si="41"/>
        <v>34632</v>
      </c>
      <c r="AM179" s="2002"/>
      <c r="AN179" s="3357"/>
      <c r="AO179" s="695"/>
      <c r="AP179" s="3362" t="str">
        <f t="shared" si="44"/>
        <v>Planning Reg 2023-2024</v>
      </c>
      <c r="AQ179" s="3555">
        <f t="shared" si="44"/>
        <v>1.1576249999999999</v>
      </c>
      <c r="AR179" s="333"/>
      <c r="AS179" s="330"/>
      <c r="AT179" s="330"/>
      <c r="AU179" s="849"/>
      <c r="AV179" s="849"/>
      <c r="AW179" s="3156">
        <f t="shared" si="42"/>
        <v>36118</v>
      </c>
      <c r="AX179" s="3140"/>
    </row>
    <row r="180" spans="1:50" ht="51">
      <c r="A180" s="2418" t="s">
        <v>11030</v>
      </c>
      <c r="B180" s="338" t="s">
        <v>10259</v>
      </c>
      <c r="C180" s="321">
        <v>0</v>
      </c>
      <c r="D180" s="323">
        <v>44914</v>
      </c>
      <c r="E180" s="3058" t="s">
        <v>10324</v>
      </c>
      <c r="F180" s="830" t="s">
        <v>10101</v>
      </c>
      <c r="G180" s="5356">
        <v>1.1100000000000001</v>
      </c>
      <c r="H180" s="332" t="s">
        <v>11101</v>
      </c>
      <c r="I180" s="339" t="s">
        <v>1433</v>
      </c>
      <c r="J180" s="322" t="s">
        <v>1434</v>
      </c>
      <c r="K180" s="340">
        <v>47106</v>
      </c>
      <c r="L180" s="339" t="s">
        <v>10661</v>
      </c>
      <c r="M180" s="322" t="s">
        <v>10662</v>
      </c>
      <c r="N180" s="339" t="s">
        <v>10663</v>
      </c>
      <c r="O180" s="332" t="s">
        <v>10664</v>
      </c>
      <c r="P180" s="345"/>
      <c r="Q180" s="322" t="s">
        <v>10665</v>
      </c>
      <c r="R180" s="322" t="s">
        <v>10666</v>
      </c>
      <c r="S180" s="346"/>
      <c r="T180" s="347"/>
      <c r="U180" s="326"/>
      <c r="V180" s="348"/>
      <c r="W180" s="347"/>
      <c r="X180" s="326"/>
      <c r="Y180" s="348"/>
      <c r="Z180" s="347"/>
      <c r="AA180" s="326"/>
      <c r="AB180" s="348"/>
      <c r="AC180" s="820"/>
      <c r="AD180" s="821"/>
      <c r="AE180" s="822"/>
      <c r="AF180" s="820"/>
      <c r="AG180" s="821"/>
      <c r="AH180" s="822"/>
      <c r="AI180" s="482">
        <v>18648</v>
      </c>
      <c r="AJ180" s="326">
        <v>0</v>
      </c>
      <c r="AK180" s="3917">
        <v>0</v>
      </c>
      <c r="AL180" s="349">
        <f t="shared" si="41"/>
        <v>18648</v>
      </c>
      <c r="AM180" s="2002"/>
      <c r="AN180" s="3357"/>
      <c r="AO180" s="695"/>
      <c r="AP180" s="3362" t="str">
        <f t="shared" si="44"/>
        <v>Planning Reg 2023-2024</v>
      </c>
      <c r="AQ180" s="3555">
        <f t="shared" si="44"/>
        <v>1.1576249999999999</v>
      </c>
      <c r="AR180" s="333"/>
      <c r="AS180" s="330"/>
      <c r="AT180" s="330"/>
      <c r="AU180" s="849"/>
      <c r="AV180" s="849"/>
      <c r="AW180" s="3156">
        <f t="shared" si="42"/>
        <v>19448</v>
      </c>
      <c r="AX180" s="3140"/>
    </row>
    <row r="181" spans="1:50" ht="76.5">
      <c r="A181" s="2418" t="s">
        <v>11030</v>
      </c>
      <c r="B181" s="338" t="s">
        <v>12453</v>
      </c>
      <c r="C181" s="321">
        <v>0</v>
      </c>
      <c r="D181" s="323">
        <v>44915</v>
      </c>
      <c r="E181" s="3058" t="s">
        <v>10324</v>
      </c>
      <c r="F181" s="830" t="s">
        <v>10101</v>
      </c>
      <c r="G181" s="5356">
        <v>1.1100000000000001</v>
      </c>
      <c r="H181" s="2273" t="s">
        <v>10686</v>
      </c>
      <c r="I181" s="339" t="s">
        <v>10688</v>
      </c>
      <c r="J181" s="2399" t="s">
        <v>4306</v>
      </c>
      <c r="K181" s="340">
        <v>45646</v>
      </c>
      <c r="L181" s="339" t="s">
        <v>10689</v>
      </c>
      <c r="M181" s="322" t="s">
        <v>6174</v>
      </c>
      <c r="N181" s="339" t="s">
        <v>5820</v>
      </c>
      <c r="O181" s="332" t="s">
        <v>10690</v>
      </c>
      <c r="P181" s="345"/>
      <c r="Q181" s="6094" t="s">
        <v>9071</v>
      </c>
      <c r="R181" s="322" t="s">
        <v>536</v>
      </c>
      <c r="S181" s="346"/>
      <c r="T181" s="347"/>
      <c r="U181" s="326"/>
      <c r="V181" s="348"/>
      <c r="W181" s="347"/>
      <c r="X181" s="326"/>
      <c r="Y181" s="348"/>
      <c r="Z181" s="347"/>
      <c r="AA181" s="326"/>
      <c r="AB181" s="348"/>
      <c r="AC181" s="820"/>
      <c r="AD181" s="821"/>
      <c r="AE181" s="822"/>
      <c r="AF181" s="820"/>
      <c r="AG181" s="821"/>
      <c r="AH181" s="822"/>
      <c r="AI181" s="482">
        <v>6619</v>
      </c>
      <c r="AJ181" s="326">
        <v>0</v>
      </c>
      <c r="AK181" s="3917">
        <v>0</v>
      </c>
      <c r="AL181" s="349">
        <f t="shared" si="41"/>
        <v>6619</v>
      </c>
      <c r="AM181" s="2002"/>
      <c r="AN181" s="3357"/>
      <c r="AO181" s="695"/>
      <c r="AP181" s="3362" t="str">
        <f t="shared" si="44"/>
        <v>Planning Reg 2023-2024</v>
      </c>
      <c r="AQ181" s="3555">
        <f t="shared" si="44"/>
        <v>1.1576249999999999</v>
      </c>
      <c r="AR181" s="333"/>
      <c r="AS181" s="330"/>
      <c r="AT181" s="330"/>
      <c r="AU181" s="849"/>
      <c r="AV181" s="849"/>
      <c r="AW181" s="3156">
        <f t="shared" si="42"/>
        <v>6903</v>
      </c>
      <c r="AX181" s="3140"/>
    </row>
    <row r="182" spans="1:50" ht="63.75">
      <c r="A182" s="2418" t="s">
        <v>11030</v>
      </c>
      <c r="B182" s="5796" t="s">
        <v>10262</v>
      </c>
      <c r="C182" s="5797">
        <v>0</v>
      </c>
      <c r="D182" s="5798">
        <v>44916</v>
      </c>
      <c r="E182" s="5799" t="s">
        <v>10324</v>
      </c>
      <c r="F182" s="5800" t="s">
        <v>10101</v>
      </c>
      <c r="G182" s="5801">
        <v>1.1100000000000001</v>
      </c>
      <c r="H182" s="5802" t="s">
        <v>11102</v>
      </c>
      <c r="I182" s="5803" t="s">
        <v>1433</v>
      </c>
      <c r="J182" s="5804" t="s">
        <v>1434</v>
      </c>
      <c r="K182" s="5805">
        <v>47103</v>
      </c>
      <c r="L182" s="5803" t="s">
        <v>10697</v>
      </c>
      <c r="M182" s="5804" t="s">
        <v>9803</v>
      </c>
      <c r="N182" s="5803" t="s">
        <v>10699</v>
      </c>
      <c r="O182" s="5802" t="s">
        <v>10698</v>
      </c>
      <c r="P182" s="5806"/>
      <c r="Q182" s="5804" t="s">
        <v>10700</v>
      </c>
      <c r="R182" s="5804" t="s">
        <v>10701</v>
      </c>
      <c r="S182" s="5807" t="s">
        <v>3476</v>
      </c>
      <c r="T182" s="5808"/>
      <c r="U182" s="5809"/>
      <c r="V182" s="5810"/>
      <c r="W182" s="5808"/>
      <c r="X182" s="5809"/>
      <c r="Y182" s="5810"/>
      <c r="Z182" s="5808"/>
      <c r="AA182" s="5809"/>
      <c r="AB182" s="5810"/>
      <c r="AC182" s="5808"/>
      <c r="AD182" s="5809"/>
      <c r="AE182" s="5810"/>
      <c r="AF182" s="5808"/>
      <c r="AG182" s="5809"/>
      <c r="AH182" s="5810"/>
      <c r="AI182" s="5811">
        <v>9001</v>
      </c>
      <c r="AJ182" s="5809">
        <v>9001</v>
      </c>
      <c r="AK182" s="5812">
        <v>0</v>
      </c>
      <c r="AL182" s="5813">
        <f t="shared" si="41"/>
        <v>0</v>
      </c>
      <c r="AM182" s="5814"/>
      <c r="AN182" s="5815"/>
      <c r="AO182" s="5816"/>
      <c r="AP182" s="5817" t="str">
        <f t="shared" si="44"/>
        <v>Planning Reg 2023-2024</v>
      </c>
      <c r="AQ182" s="5818">
        <f t="shared" si="44"/>
        <v>1.1576249999999999</v>
      </c>
      <c r="AR182" s="5819"/>
      <c r="AS182" s="5820"/>
      <c r="AT182" s="5820"/>
      <c r="AU182" s="5820"/>
      <c r="AV182" s="5820"/>
      <c r="AW182" s="5821">
        <f t="shared" si="42"/>
        <v>0</v>
      </c>
      <c r="AX182" s="3140"/>
    </row>
    <row r="183" spans="1:50" ht="66.75">
      <c r="A183" s="6541" t="s">
        <v>10984</v>
      </c>
      <c r="B183" s="5788" t="s">
        <v>12514</v>
      </c>
      <c r="C183" s="6542">
        <v>0</v>
      </c>
      <c r="D183" s="6543">
        <v>44916</v>
      </c>
      <c r="E183" s="6544" t="s">
        <v>10324</v>
      </c>
      <c r="F183" s="6559" t="s">
        <v>10101</v>
      </c>
      <c r="G183" s="6560">
        <v>1.1100000000000001</v>
      </c>
      <c r="H183" s="5440" t="s">
        <v>11103</v>
      </c>
      <c r="I183" s="5789" t="s">
        <v>1433</v>
      </c>
      <c r="J183" s="5456" t="s">
        <v>1434</v>
      </c>
      <c r="K183" s="5441">
        <v>47106</v>
      </c>
      <c r="L183" s="5789" t="s">
        <v>10702</v>
      </c>
      <c r="M183" s="5456" t="s">
        <v>7838</v>
      </c>
      <c r="N183" s="5789" t="s">
        <v>10703</v>
      </c>
      <c r="O183" s="5440" t="s">
        <v>10704</v>
      </c>
      <c r="P183" s="6545"/>
      <c r="Q183" s="5456" t="s">
        <v>10705</v>
      </c>
      <c r="R183" s="5456" t="s">
        <v>10706</v>
      </c>
      <c r="S183" s="6546"/>
      <c r="T183" s="6547"/>
      <c r="U183" s="6548"/>
      <c r="V183" s="6549"/>
      <c r="W183" s="6547"/>
      <c r="X183" s="6548"/>
      <c r="Y183" s="6549"/>
      <c r="Z183" s="6547"/>
      <c r="AA183" s="6548"/>
      <c r="AB183" s="6549"/>
      <c r="AC183" s="6547"/>
      <c r="AD183" s="6548"/>
      <c r="AE183" s="6549"/>
      <c r="AF183" s="6547"/>
      <c r="AG183" s="6548"/>
      <c r="AH183" s="6549"/>
      <c r="AI183" s="6550">
        <v>18737</v>
      </c>
      <c r="AJ183" s="6548">
        <v>0</v>
      </c>
      <c r="AK183" s="6551">
        <v>0</v>
      </c>
      <c r="AL183" s="6552">
        <f t="shared" si="41"/>
        <v>18737</v>
      </c>
      <c r="AM183" s="6553"/>
      <c r="AN183" s="6554"/>
      <c r="AO183" s="6540"/>
      <c r="AP183" s="6555" t="str">
        <f t="shared" si="44"/>
        <v>Planning Reg 2023-2024</v>
      </c>
      <c r="AQ183" s="6556">
        <f t="shared" si="44"/>
        <v>1.1576249999999999</v>
      </c>
      <c r="AR183" s="6288"/>
      <c r="AS183" s="6289"/>
      <c r="AT183" s="6289"/>
      <c r="AU183" s="6289"/>
      <c r="AV183" s="6289"/>
      <c r="AW183" s="6557">
        <f t="shared" si="42"/>
        <v>19541</v>
      </c>
      <c r="AX183" s="6558"/>
    </row>
    <row r="184" spans="1:50" ht="51">
      <c r="A184" s="2418" t="s">
        <v>10984</v>
      </c>
      <c r="B184" s="338" t="s">
        <v>12439</v>
      </c>
      <c r="C184" s="321">
        <v>0</v>
      </c>
      <c r="D184" s="323">
        <v>44916</v>
      </c>
      <c r="E184" s="3058" t="s">
        <v>10324</v>
      </c>
      <c r="F184" s="830" t="s">
        <v>10101</v>
      </c>
      <c r="G184" s="5356">
        <v>1.1100000000000001</v>
      </c>
      <c r="H184" s="332" t="s">
        <v>11104</v>
      </c>
      <c r="I184" s="339" t="s">
        <v>1433</v>
      </c>
      <c r="J184" s="322" t="s">
        <v>1434</v>
      </c>
      <c r="K184" s="340">
        <v>47106</v>
      </c>
      <c r="L184" s="339" t="s">
        <v>10707</v>
      </c>
      <c r="M184" s="322" t="s">
        <v>9803</v>
      </c>
      <c r="N184" s="339" t="s">
        <v>10708</v>
      </c>
      <c r="O184" s="332" t="s">
        <v>10709</v>
      </c>
      <c r="P184" s="345"/>
      <c r="Q184" s="322" t="s">
        <v>10710</v>
      </c>
      <c r="R184" s="322" t="s">
        <v>536</v>
      </c>
      <c r="S184" s="346"/>
      <c r="T184" s="347"/>
      <c r="U184" s="326"/>
      <c r="V184" s="348"/>
      <c r="W184" s="347"/>
      <c r="X184" s="326"/>
      <c r="Y184" s="348"/>
      <c r="Z184" s="347"/>
      <c r="AA184" s="326"/>
      <c r="AB184" s="348"/>
      <c r="AC184" s="820"/>
      <c r="AD184" s="821"/>
      <c r="AE184" s="822"/>
      <c r="AF184" s="820"/>
      <c r="AG184" s="821"/>
      <c r="AH184" s="822"/>
      <c r="AI184" s="482">
        <v>18648</v>
      </c>
      <c r="AJ184" s="326">
        <v>0</v>
      </c>
      <c r="AK184" s="3917">
        <v>0</v>
      </c>
      <c r="AL184" s="349">
        <f t="shared" si="41"/>
        <v>18648</v>
      </c>
      <c r="AM184" s="2002"/>
      <c r="AN184" s="3357"/>
      <c r="AO184" s="695"/>
      <c r="AP184" s="3362" t="str">
        <f t="shared" ref="AP184:AQ203" si="45">AP$2</f>
        <v>Planning Reg 2023-2024</v>
      </c>
      <c r="AQ184" s="3555">
        <f t="shared" si="45"/>
        <v>1.1576249999999999</v>
      </c>
      <c r="AR184" s="333"/>
      <c r="AS184" s="330"/>
      <c r="AT184" s="330"/>
      <c r="AU184" s="849"/>
      <c r="AV184" s="849"/>
      <c r="AW184" s="3156">
        <f t="shared" si="42"/>
        <v>19448</v>
      </c>
      <c r="AX184" s="3140"/>
    </row>
    <row r="185" spans="1:50" ht="89.25">
      <c r="A185" s="2418" t="s">
        <v>11030</v>
      </c>
      <c r="B185" s="5796" t="s">
        <v>12476</v>
      </c>
      <c r="C185" s="5797">
        <v>1</v>
      </c>
      <c r="D185" s="5798" t="s">
        <v>10738</v>
      </c>
      <c r="E185" s="5799" t="s">
        <v>10324</v>
      </c>
      <c r="F185" s="5800" t="s">
        <v>10101</v>
      </c>
      <c r="G185" s="5801">
        <v>1.1100000000000001</v>
      </c>
      <c r="H185" s="5802" t="s">
        <v>11105</v>
      </c>
      <c r="I185" s="5803" t="s">
        <v>1433</v>
      </c>
      <c r="J185" s="5804" t="s">
        <v>1434</v>
      </c>
      <c r="K185" s="5805">
        <v>47106</v>
      </c>
      <c r="L185" s="5803" t="s">
        <v>10711</v>
      </c>
      <c r="M185" s="5804" t="s">
        <v>10712</v>
      </c>
      <c r="N185" s="5803" t="s">
        <v>10714</v>
      </c>
      <c r="O185" s="5802" t="s">
        <v>10713</v>
      </c>
      <c r="P185" s="5806" t="s">
        <v>10716</v>
      </c>
      <c r="Q185" s="5804" t="s">
        <v>10715</v>
      </c>
      <c r="R185" s="5804" t="s">
        <v>8105</v>
      </c>
      <c r="S185" s="5807" t="s">
        <v>10739</v>
      </c>
      <c r="T185" s="5808"/>
      <c r="U185" s="5809"/>
      <c r="V185" s="5810"/>
      <c r="W185" s="5808"/>
      <c r="X185" s="5809"/>
      <c r="Y185" s="5810"/>
      <c r="Z185" s="5808"/>
      <c r="AA185" s="5809"/>
      <c r="AB185" s="5810"/>
      <c r="AC185" s="5808"/>
      <c r="AD185" s="5809"/>
      <c r="AE185" s="5810"/>
      <c r="AF185" s="5808"/>
      <c r="AG185" s="5809"/>
      <c r="AH185" s="5810"/>
      <c r="AI185" s="5811">
        <v>12316</v>
      </c>
      <c r="AJ185" s="5809">
        <v>12316</v>
      </c>
      <c r="AK185" s="5812">
        <v>0</v>
      </c>
      <c r="AL185" s="5813">
        <f t="shared" si="41"/>
        <v>0</v>
      </c>
      <c r="AM185" s="5814"/>
      <c r="AN185" s="5815"/>
      <c r="AO185" s="5816"/>
      <c r="AP185" s="5817" t="str">
        <f t="shared" si="45"/>
        <v>Planning Reg 2023-2024</v>
      </c>
      <c r="AQ185" s="5818">
        <f t="shared" si="45"/>
        <v>1.1576249999999999</v>
      </c>
      <c r="AR185" s="5819"/>
      <c r="AS185" s="5820"/>
      <c r="AT185" s="5820"/>
      <c r="AU185" s="5820"/>
      <c r="AV185" s="5820"/>
      <c r="AW185" s="5821">
        <f t="shared" si="42"/>
        <v>0</v>
      </c>
      <c r="AX185" s="3140"/>
    </row>
    <row r="186" spans="1:50" ht="76.5">
      <c r="A186" s="2418" t="s">
        <v>11030</v>
      </c>
      <c r="B186" s="338" t="s">
        <v>10263</v>
      </c>
      <c r="C186" s="321">
        <v>0</v>
      </c>
      <c r="D186" s="323">
        <v>44930</v>
      </c>
      <c r="E186" s="3058" t="s">
        <v>10324</v>
      </c>
      <c r="F186" s="830" t="s">
        <v>10101</v>
      </c>
      <c r="G186" s="5356">
        <v>1.1100000000000001</v>
      </c>
      <c r="H186" s="332" t="s">
        <v>11106</v>
      </c>
      <c r="I186" s="339" t="s">
        <v>1433</v>
      </c>
      <c r="J186" s="322" t="s">
        <v>1434</v>
      </c>
      <c r="K186" s="340">
        <v>47109</v>
      </c>
      <c r="L186" s="339" t="s">
        <v>10724</v>
      </c>
      <c r="M186" s="322" t="s">
        <v>9660</v>
      </c>
      <c r="N186" s="339" t="s">
        <v>10726</v>
      </c>
      <c r="O186" s="332" t="s">
        <v>10725</v>
      </c>
      <c r="P186" s="345"/>
      <c r="Q186" s="322" t="s">
        <v>10727</v>
      </c>
      <c r="R186" s="322" t="s">
        <v>10728</v>
      </c>
      <c r="S186" s="346" t="s">
        <v>10729</v>
      </c>
      <c r="T186" s="347"/>
      <c r="U186" s="326"/>
      <c r="V186" s="348"/>
      <c r="W186" s="347"/>
      <c r="X186" s="326"/>
      <c r="Y186" s="348"/>
      <c r="Z186" s="347"/>
      <c r="AA186" s="326"/>
      <c r="AB186" s="348"/>
      <c r="AC186" s="820"/>
      <c r="AD186" s="821"/>
      <c r="AE186" s="822"/>
      <c r="AF186" s="820"/>
      <c r="AG186" s="821"/>
      <c r="AH186" s="822"/>
      <c r="AI186" s="482">
        <v>60534</v>
      </c>
      <c r="AJ186" s="326">
        <v>0</v>
      </c>
      <c r="AK186" s="3917">
        <v>1387</v>
      </c>
      <c r="AL186" s="349">
        <f t="shared" si="41"/>
        <v>59147</v>
      </c>
      <c r="AM186" s="2002"/>
      <c r="AN186" s="3357"/>
      <c r="AO186" s="695"/>
      <c r="AP186" s="3362" t="str">
        <f t="shared" si="45"/>
        <v>Planning Reg 2023-2024</v>
      </c>
      <c r="AQ186" s="3555">
        <f t="shared" si="45"/>
        <v>1.1576249999999999</v>
      </c>
      <c r="AR186" s="333"/>
      <c r="AS186" s="330"/>
      <c r="AT186" s="330"/>
      <c r="AU186" s="849"/>
      <c r="AV186" s="849"/>
      <c r="AW186" s="3156">
        <f t="shared" si="42"/>
        <v>61685</v>
      </c>
      <c r="AX186" s="3140"/>
    </row>
    <row r="187" spans="1:50" ht="51">
      <c r="A187" s="2418" t="s">
        <v>11030</v>
      </c>
      <c r="B187" s="338" t="s">
        <v>10539</v>
      </c>
      <c r="C187" s="321">
        <v>0</v>
      </c>
      <c r="D187" s="323">
        <v>44937</v>
      </c>
      <c r="E187" s="3058" t="s">
        <v>10324</v>
      </c>
      <c r="F187" s="830" t="s">
        <v>10101</v>
      </c>
      <c r="G187" s="5356">
        <v>1.1100000000000001</v>
      </c>
      <c r="H187" s="332" t="s">
        <v>11107</v>
      </c>
      <c r="I187" s="339" t="s">
        <v>1433</v>
      </c>
      <c r="J187" s="322" t="s">
        <v>1434</v>
      </c>
      <c r="K187" s="340">
        <v>47121</v>
      </c>
      <c r="L187" s="339" t="s">
        <v>10751</v>
      </c>
      <c r="M187" s="322" t="s">
        <v>9660</v>
      </c>
      <c r="N187" s="339" t="s">
        <v>10753</v>
      </c>
      <c r="O187" s="332" t="s">
        <v>10752</v>
      </c>
      <c r="P187" s="345"/>
      <c r="Q187" s="322" t="s">
        <v>10754</v>
      </c>
      <c r="R187" s="322" t="s">
        <v>8105</v>
      </c>
      <c r="S187" s="346"/>
      <c r="T187" s="347"/>
      <c r="U187" s="326"/>
      <c r="V187" s="348"/>
      <c r="W187" s="347"/>
      <c r="X187" s="326"/>
      <c r="Y187" s="348"/>
      <c r="Z187" s="347"/>
      <c r="AA187" s="326"/>
      <c r="AB187" s="348"/>
      <c r="AC187" s="820"/>
      <c r="AD187" s="821"/>
      <c r="AE187" s="822"/>
      <c r="AF187" s="820"/>
      <c r="AG187" s="821"/>
      <c r="AH187" s="822"/>
      <c r="AI187" s="482">
        <v>32519</v>
      </c>
      <c r="AJ187" s="326">
        <v>0</v>
      </c>
      <c r="AK187" s="3917">
        <v>0</v>
      </c>
      <c r="AL187" s="349">
        <f t="shared" si="41"/>
        <v>32519</v>
      </c>
      <c r="AM187" s="2002"/>
      <c r="AN187" s="3357"/>
      <c r="AO187" s="695"/>
      <c r="AP187" s="3362" t="str">
        <f t="shared" si="45"/>
        <v>Planning Reg 2023-2024</v>
      </c>
      <c r="AQ187" s="3555">
        <f t="shared" si="45"/>
        <v>1.1576249999999999</v>
      </c>
      <c r="AR187" s="333"/>
      <c r="AS187" s="330"/>
      <c r="AT187" s="330"/>
      <c r="AU187" s="849"/>
      <c r="AV187" s="849"/>
      <c r="AW187" s="3156">
        <f t="shared" si="42"/>
        <v>33914</v>
      </c>
      <c r="AX187" s="3140"/>
    </row>
    <row r="188" spans="1:50" ht="54">
      <c r="A188" s="6541" t="s">
        <v>11030</v>
      </c>
      <c r="B188" s="5788" t="s">
        <v>12513</v>
      </c>
      <c r="C188" s="6542">
        <v>0</v>
      </c>
      <c r="D188" s="6543">
        <v>44945</v>
      </c>
      <c r="E188" s="6544" t="s">
        <v>10324</v>
      </c>
      <c r="F188" s="6559" t="s">
        <v>10101</v>
      </c>
      <c r="G188" s="6560">
        <v>1.1100000000000001</v>
      </c>
      <c r="H188" s="5440" t="s">
        <v>11109</v>
      </c>
      <c r="I188" s="5789" t="s">
        <v>1433</v>
      </c>
      <c r="J188" s="5456" t="s">
        <v>1434</v>
      </c>
      <c r="K188" s="5441">
        <v>47130</v>
      </c>
      <c r="L188" s="5789" t="s">
        <v>10768</v>
      </c>
      <c r="M188" s="5456" t="s">
        <v>5165</v>
      </c>
      <c r="N188" s="5789" t="s">
        <v>10769</v>
      </c>
      <c r="O188" s="5440" t="s">
        <v>10770</v>
      </c>
      <c r="P188" s="6545"/>
      <c r="Q188" s="5456" t="s">
        <v>10771</v>
      </c>
      <c r="R188" s="5456" t="s">
        <v>10772</v>
      </c>
      <c r="S188" s="6546"/>
      <c r="T188" s="6547"/>
      <c r="U188" s="6548"/>
      <c r="V188" s="6549"/>
      <c r="W188" s="6547"/>
      <c r="X188" s="6548"/>
      <c r="Y188" s="6549"/>
      <c r="Z188" s="6547"/>
      <c r="AA188" s="6548"/>
      <c r="AB188" s="6549"/>
      <c r="AC188" s="6547"/>
      <c r="AD188" s="6548"/>
      <c r="AE188" s="6549"/>
      <c r="AF188" s="6547"/>
      <c r="AG188" s="6548"/>
      <c r="AH188" s="6549"/>
      <c r="AI188" s="6550">
        <v>13320</v>
      </c>
      <c r="AJ188" s="6548">
        <v>0</v>
      </c>
      <c r="AK188" s="6551">
        <v>0</v>
      </c>
      <c r="AL188" s="6552">
        <f t="shared" si="41"/>
        <v>13320</v>
      </c>
      <c r="AM188" s="6553"/>
      <c r="AN188" s="6554"/>
      <c r="AO188" s="6540"/>
      <c r="AP188" s="6555" t="str">
        <f t="shared" si="45"/>
        <v>Planning Reg 2023-2024</v>
      </c>
      <c r="AQ188" s="6556">
        <f t="shared" si="45"/>
        <v>1.1576249999999999</v>
      </c>
      <c r="AR188" s="6288"/>
      <c r="AS188" s="6289"/>
      <c r="AT188" s="6289"/>
      <c r="AU188" s="6289"/>
      <c r="AV188" s="6289"/>
      <c r="AW188" s="6557">
        <f t="shared" si="42"/>
        <v>13892</v>
      </c>
      <c r="AX188" s="3140"/>
    </row>
    <row r="189" spans="1:50" ht="51">
      <c r="A189" s="2418" t="s">
        <v>11030</v>
      </c>
      <c r="B189" s="338" t="s">
        <v>10540</v>
      </c>
      <c r="C189" s="321">
        <v>0</v>
      </c>
      <c r="D189" s="323">
        <v>44951</v>
      </c>
      <c r="E189" s="3058" t="s">
        <v>10324</v>
      </c>
      <c r="F189" s="830" t="s">
        <v>10101</v>
      </c>
      <c r="G189" s="5356">
        <v>1.1100000000000001</v>
      </c>
      <c r="H189" s="332" t="s">
        <v>11110</v>
      </c>
      <c r="I189" s="339" t="s">
        <v>1433</v>
      </c>
      <c r="J189" s="322" t="s">
        <v>1434</v>
      </c>
      <c r="K189" s="340">
        <v>46989</v>
      </c>
      <c r="L189" s="339" t="s">
        <v>10780</v>
      </c>
      <c r="M189" s="322" t="s">
        <v>9803</v>
      </c>
      <c r="N189" s="339" t="s">
        <v>10781</v>
      </c>
      <c r="O189" s="332" t="s">
        <v>10782</v>
      </c>
      <c r="P189" s="345" t="s">
        <v>10783</v>
      </c>
      <c r="Q189" s="6094" t="s">
        <v>9071</v>
      </c>
      <c r="R189" s="322" t="s">
        <v>536</v>
      </c>
      <c r="S189" s="346"/>
      <c r="T189" s="347"/>
      <c r="U189" s="326"/>
      <c r="V189" s="348"/>
      <c r="W189" s="347"/>
      <c r="X189" s="326"/>
      <c r="Y189" s="348"/>
      <c r="Z189" s="347"/>
      <c r="AA189" s="326"/>
      <c r="AB189" s="348"/>
      <c r="AC189" s="820"/>
      <c r="AD189" s="821"/>
      <c r="AE189" s="822"/>
      <c r="AF189" s="820"/>
      <c r="AG189" s="821"/>
      <c r="AH189" s="822"/>
      <c r="AI189" s="482">
        <v>6619</v>
      </c>
      <c r="AJ189" s="326">
        <v>0</v>
      </c>
      <c r="AK189" s="3917">
        <v>0</v>
      </c>
      <c r="AL189" s="349">
        <f t="shared" si="41"/>
        <v>6619</v>
      </c>
      <c r="AM189" s="2002"/>
      <c r="AN189" s="3357"/>
      <c r="AO189" s="695"/>
      <c r="AP189" s="3362" t="str">
        <f t="shared" si="45"/>
        <v>Planning Reg 2023-2024</v>
      </c>
      <c r="AQ189" s="3555">
        <f t="shared" si="45"/>
        <v>1.1576249999999999</v>
      </c>
      <c r="AR189" s="333"/>
      <c r="AS189" s="330"/>
      <c r="AT189" s="330"/>
      <c r="AU189" s="849"/>
      <c r="AV189" s="849"/>
      <c r="AW189" s="3156">
        <f t="shared" si="42"/>
        <v>6903</v>
      </c>
      <c r="AX189" s="3140"/>
    </row>
    <row r="190" spans="1:50" ht="153">
      <c r="A190" s="2418" t="s">
        <v>11030</v>
      </c>
      <c r="B190" s="338" t="s">
        <v>12139</v>
      </c>
      <c r="C190" s="321">
        <v>1</v>
      </c>
      <c r="D190" s="323" t="s">
        <v>12138</v>
      </c>
      <c r="E190" s="3058" t="s">
        <v>10324</v>
      </c>
      <c r="F190" s="830" t="s">
        <v>10101</v>
      </c>
      <c r="G190" s="5356">
        <v>1.1100000000000001</v>
      </c>
      <c r="H190" s="332" t="s">
        <v>11111</v>
      </c>
      <c r="I190" s="339" t="s">
        <v>9560</v>
      </c>
      <c r="J190" s="2399" t="s">
        <v>12137</v>
      </c>
      <c r="K190" s="340">
        <v>45684</v>
      </c>
      <c r="L190" s="339" t="s">
        <v>9638</v>
      </c>
      <c r="M190" s="322" t="s">
        <v>9803</v>
      </c>
      <c r="N190" s="339" t="s">
        <v>10788</v>
      </c>
      <c r="O190" s="332" t="s">
        <v>10787</v>
      </c>
      <c r="P190" s="345" t="s">
        <v>12135</v>
      </c>
      <c r="Q190" s="6094" t="s">
        <v>9071</v>
      </c>
      <c r="R190" s="322" t="s">
        <v>536</v>
      </c>
      <c r="S190" s="346"/>
      <c r="T190" s="347"/>
      <c r="U190" s="326"/>
      <c r="V190" s="348"/>
      <c r="W190" s="347"/>
      <c r="X190" s="326"/>
      <c r="Y190" s="348"/>
      <c r="Z190" s="347"/>
      <c r="AA190" s="326"/>
      <c r="AB190" s="348"/>
      <c r="AC190" s="347"/>
      <c r="AD190" s="326"/>
      <c r="AE190" s="348"/>
      <c r="AF190" s="347"/>
      <c r="AG190" s="326"/>
      <c r="AH190" s="348"/>
      <c r="AI190" s="482">
        <v>5639</v>
      </c>
      <c r="AJ190" s="326">
        <v>0</v>
      </c>
      <c r="AK190" s="3917">
        <v>0</v>
      </c>
      <c r="AL190" s="349">
        <f t="shared" si="41"/>
        <v>5639</v>
      </c>
      <c r="AM190" s="2002"/>
      <c r="AN190" s="3357"/>
      <c r="AO190" s="695"/>
      <c r="AP190" s="3362" t="str">
        <f t="shared" si="45"/>
        <v>Planning Reg 2023-2024</v>
      </c>
      <c r="AQ190" s="3555">
        <f t="shared" si="45"/>
        <v>1.1576249999999999</v>
      </c>
      <c r="AR190" s="333"/>
      <c r="AS190" s="330"/>
      <c r="AT190" s="330"/>
      <c r="AU190" s="330"/>
      <c r="AV190" s="330"/>
      <c r="AW190" s="3156">
        <f t="shared" si="42"/>
        <v>5881</v>
      </c>
      <c r="AX190" s="3140"/>
    </row>
    <row r="191" spans="1:50" ht="51">
      <c r="A191" s="2418" t="s">
        <v>11030</v>
      </c>
      <c r="B191" s="338" t="s">
        <v>12452</v>
      </c>
      <c r="C191" s="321">
        <v>0</v>
      </c>
      <c r="D191" s="323">
        <v>44957</v>
      </c>
      <c r="E191" s="3058" t="s">
        <v>10324</v>
      </c>
      <c r="F191" s="830" t="s">
        <v>10101</v>
      </c>
      <c r="G191" s="5356">
        <v>1.1100000000000001</v>
      </c>
      <c r="H191" s="332" t="s">
        <v>11112</v>
      </c>
      <c r="I191" s="339" t="s">
        <v>1433</v>
      </c>
      <c r="J191" s="322" t="s">
        <v>1434</v>
      </c>
      <c r="K191" s="340">
        <v>47143</v>
      </c>
      <c r="L191" s="339" t="s">
        <v>10707</v>
      </c>
      <c r="M191" s="322" t="s">
        <v>9803</v>
      </c>
      <c r="N191" s="339" t="s">
        <v>10794</v>
      </c>
      <c r="O191" s="332" t="s">
        <v>10793</v>
      </c>
      <c r="P191" s="345"/>
      <c r="Q191" s="322" t="s">
        <v>9657</v>
      </c>
      <c r="R191" s="322" t="s">
        <v>536</v>
      </c>
      <c r="S191" s="346"/>
      <c r="T191" s="347"/>
      <c r="U191" s="326"/>
      <c r="V191" s="348"/>
      <c r="W191" s="347"/>
      <c r="X191" s="326"/>
      <c r="Y191" s="348"/>
      <c r="Z191" s="347"/>
      <c r="AA191" s="326"/>
      <c r="AB191" s="348"/>
      <c r="AC191" s="820"/>
      <c r="AD191" s="821"/>
      <c r="AE191" s="822"/>
      <c r="AF191" s="820"/>
      <c r="AG191" s="821"/>
      <c r="AH191" s="822"/>
      <c r="AI191" s="482">
        <v>18648</v>
      </c>
      <c r="AJ191" s="326">
        <v>0</v>
      </c>
      <c r="AK191" s="3917">
        <v>0</v>
      </c>
      <c r="AL191" s="349">
        <f t="shared" si="41"/>
        <v>18648</v>
      </c>
      <c r="AM191" s="2002"/>
      <c r="AN191" s="3357"/>
      <c r="AO191" s="695"/>
      <c r="AP191" s="3362" t="str">
        <f t="shared" si="45"/>
        <v>Planning Reg 2023-2024</v>
      </c>
      <c r="AQ191" s="3555">
        <f t="shared" si="45"/>
        <v>1.1576249999999999</v>
      </c>
      <c r="AR191" s="333"/>
      <c r="AS191" s="330"/>
      <c r="AT191" s="330"/>
      <c r="AU191" s="849"/>
      <c r="AV191" s="849"/>
      <c r="AW191" s="3156">
        <f t="shared" si="42"/>
        <v>19448</v>
      </c>
      <c r="AX191" s="3140"/>
    </row>
    <row r="192" spans="1:50" ht="51">
      <c r="A192" s="2418" t="s">
        <v>11030</v>
      </c>
      <c r="B192" s="338" t="s">
        <v>10542</v>
      </c>
      <c r="C192" s="321">
        <v>0</v>
      </c>
      <c r="D192" s="323">
        <v>44972</v>
      </c>
      <c r="E192" s="3058" t="s">
        <v>10324</v>
      </c>
      <c r="F192" s="830" t="s">
        <v>10101</v>
      </c>
      <c r="G192" s="5356">
        <v>1.1100000000000001</v>
      </c>
      <c r="H192" s="332" t="s">
        <v>11114</v>
      </c>
      <c r="I192" s="339" t="s">
        <v>1433</v>
      </c>
      <c r="J192" s="322" t="s">
        <v>1434</v>
      </c>
      <c r="K192" s="340">
        <v>47157</v>
      </c>
      <c r="L192" s="339" t="s">
        <v>10828</v>
      </c>
      <c r="M192" s="322" t="s">
        <v>9803</v>
      </c>
      <c r="N192" s="339" t="s">
        <v>10830</v>
      </c>
      <c r="O192" s="332" t="s">
        <v>10829</v>
      </c>
      <c r="P192" s="345"/>
      <c r="Q192" s="322" t="s">
        <v>9657</v>
      </c>
      <c r="R192" s="322" t="s">
        <v>536</v>
      </c>
      <c r="S192" s="346"/>
      <c r="T192" s="347"/>
      <c r="U192" s="326"/>
      <c r="V192" s="348"/>
      <c r="W192" s="347"/>
      <c r="X192" s="326"/>
      <c r="Y192" s="348"/>
      <c r="Z192" s="347"/>
      <c r="AA192" s="326"/>
      <c r="AB192" s="348"/>
      <c r="AC192" s="820"/>
      <c r="AD192" s="821"/>
      <c r="AE192" s="822"/>
      <c r="AF192" s="820"/>
      <c r="AG192" s="821"/>
      <c r="AH192" s="822"/>
      <c r="AI192" s="482">
        <v>18648</v>
      </c>
      <c r="AJ192" s="326">
        <v>0</v>
      </c>
      <c r="AK192" s="3917">
        <v>0</v>
      </c>
      <c r="AL192" s="349">
        <f t="shared" si="41"/>
        <v>18648</v>
      </c>
      <c r="AM192" s="2002"/>
      <c r="AN192" s="3357"/>
      <c r="AO192" s="695"/>
      <c r="AP192" s="3362" t="str">
        <f t="shared" si="45"/>
        <v>Planning Reg 2023-2024</v>
      </c>
      <c r="AQ192" s="3555">
        <f t="shared" si="45"/>
        <v>1.1576249999999999</v>
      </c>
      <c r="AR192" s="333"/>
      <c r="AS192" s="330"/>
      <c r="AT192" s="330"/>
      <c r="AU192" s="849"/>
      <c r="AV192" s="849"/>
      <c r="AW192" s="3156">
        <f t="shared" si="42"/>
        <v>19448</v>
      </c>
      <c r="AX192" s="3140"/>
    </row>
    <row r="193" spans="1:50" ht="76.5">
      <c r="A193" s="2418" t="s">
        <v>11030</v>
      </c>
      <c r="B193" s="338" t="s">
        <v>10543</v>
      </c>
      <c r="C193" s="321">
        <v>0</v>
      </c>
      <c r="D193" s="323">
        <v>44974</v>
      </c>
      <c r="E193" s="3058" t="s">
        <v>10324</v>
      </c>
      <c r="F193" s="830" t="s">
        <v>10101</v>
      </c>
      <c r="G193" s="5356">
        <v>1.1100000000000001</v>
      </c>
      <c r="H193" s="332" t="s">
        <v>11115</v>
      </c>
      <c r="I193" s="339" t="s">
        <v>9560</v>
      </c>
      <c r="J193" s="2399" t="s">
        <v>4306</v>
      </c>
      <c r="K193" s="340">
        <v>45701</v>
      </c>
      <c r="L193" s="339" t="s">
        <v>10835</v>
      </c>
      <c r="M193" s="322" t="s">
        <v>9821</v>
      </c>
      <c r="N193" s="339" t="s">
        <v>10836</v>
      </c>
      <c r="O193" s="332" t="s">
        <v>10837</v>
      </c>
      <c r="P193" s="345"/>
      <c r="Q193" s="6094" t="s">
        <v>9071</v>
      </c>
      <c r="R193" s="322" t="s">
        <v>536</v>
      </c>
      <c r="S193" s="346"/>
      <c r="T193" s="347"/>
      <c r="U193" s="326"/>
      <c r="V193" s="348"/>
      <c r="W193" s="347"/>
      <c r="X193" s="326"/>
      <c r="Y193" s="348"/>
      <c r="Z193" s="347"/>
      <c r="AA193" s="326"/>
      <c r="AB193" s="348"/>
      <c r="AC193" s="820"/>
      <c r="AD193" s="821"/>
      <c r="AE193" s="822"/>
      <c r="AF193" s="820"/>
      <c r="AG193" s="821"/>
      <c r="AH193" s="822"/>
      <c r="AI193" s="482">
        <v>5639</v>
      </c>
      <c r="AJ193" s="326">
        <v>0</v>
      </c>
      <c r="AK193" s="3917">
        <v>0</v>
      </c>
      <c r="AL193" s="349">
        <f t="shared" si="41"/>
        <v>5639</v>
      </c>
      <c r="AM193" s="2002"/>
      <c r="AN193" s="3357"/>
      <c r="AO193" s="695"/>
      <c r="AP193" s="3362" t="str">
        <f t="shared" si="45"/>
        <v>Planning Reg 2023-2024</v>
      </c>
      <c r="AQ193" s="3555">
        <f t="shared" si="45"/>
        <v>1.1576249999999999</v>
      </c>
      <c r="AR193" s="333"/>
      <c r="AS193" s="330"/>
      <c r="AT193" s="330"/>
      <c r="AU193" s="849"/>
      <c r="AV193" s="849"/>
      <c r="AW193" s="3156">
        <f t="shared" si="42"/>
        <v>5881</v>
      </c>
      <c r="AX193" s="3140"/>
    </row>
    <row r="194" spans="1:50" ht="76.5">
      <c r="A194" s="2418" t="s">
        <v>11030</v>
      </c>
      <c r="B194" s="338" t="s">
        <v>10850</v>
      </c>
      <c r="C194" s="321">
        <v>0</v>
      </c>
      <c r="D194" s="323">
        <v>44978</v>
      </c>
      <c r="E194" s="3058" t="s">
        <v>10324</v>
      </c>
      <c r="F194" s="830" t="s">
        <v>10101</v>
      </c>
      <c r="G194" s="5356">
        <v>1.1100000000000001</v>
      </c>
      <c r="H194" s="332" t="s">
        <v>11116</v>
      </c>
      <c r="I194" s="339" t="s">
        <v>1433</v>
      </c>
      <c r="J194" s="322" t="s">
        <v>1434</v>
      </c>
      <c r="K194" s="340">
        <v>46799</v>
      </c>
      <c r="L194" s="339" t="s">
        <v>10842</v>
      </c>
      <c r="M194" s="322" t="s">
        <v>10843</v>
      </c>
      <c r="N194" s="339" t="s">
        <v>10845</v>
      </c>
      <c r="O194" s="332" t="s">
        <v>10844</v>
      </c>
      <c r="P194" s="345"/>
      <c r="Q194" s="322" t="s">
        <v>10846</v>
      </c>
      <c r="R194" s="322" t="s">
        <v>10847</v>
      </c>
      <c r="S194" s="346"/>
      <c r="T194" s="347"/>
      <c r="U194" s="326"/>
      <c r="V194" s="348"/>
      <c r="W194" s="347"/>
      <c r="X194" s="326"/>
      <c r="Y194" s="348"/>
      <c r="Z194" s="347"/>
      <c r="AA194" s="326"/>
      <c r="AB194" s="348"/>
      <c r="AC194" s="820"/>
      <c r="AD194" s="821"/>
      <c r="AE194" s="822"/>
      <c r="AF194" s="820"/>
      <c r="AG194" s="821"/>
      <c r="AH194" s="822"/>
      <c r="AI194" s="482">
        <v>19228</v>
      </c>
      <c r="AJ194" s="326">
        <v>0</v>
      </c>
      <c r="AK194" s="3917">
        <v>0</v>
      </c>
      <c r="AL194" s="349">
        <f t="shared" si="41"/>
        <v>19228</v>
      </c>
      <c r="AM194" s="2002"/>
      <c r="AN194" s="3357"/>
      <c r="AO194" s="695"/>
      <c r="AP194" s="3362" t="str">
        <f t="shared" si="45"/>
        <v>Planning Reg 2023-2024</v>
      </c>
      <c r="AQ194" s="3555">
        <f t="shared" si="45"/>
        <v>1.1576249999999999</v>
      </c>
      <c r="AR194" s="333"/>
      <c r="AS194" s="330"/>
      <c r="AT194" s="330"/>
      <c r="AU194" s="849"/>
      <c r="AV194" s="849"/>
      <c r="AW194" s="3156">
        <f t="shared" si="42"/>
        <v>20053</v>
      </c>
      <c r="AX194" s="3140"/>
    </row>
    <row r="195" spans="1:50" ht="102">
      <c r="A195" s="6561" t="s">
        <v>11040</v>
      </c>
      <c r="B195" s="5894" t="s">
        <v>10861</v>
      </c>
      <c r="C195" s="5895">
        <v>0</v>
      </c>
      <c r="D195" s="5896">
        <v>44981</v>
      </c>
      <c r="E195" s="5897" t="s">
        <v>10324</v>
      </c>
      <c r="F195" s="5898" t="s">
        <v>10101</v>
      </c>
      <c r="G195" s="5899">
        <v>1.1100000000000001</v>
      </c>
      <c r="H195" s="5900" t="s">
        <v>10866</v>
      </c>
      <c r="I195" s="5901" t="s">
        <v>10854</v>
      </c>
      <c r="J195" s="5902" t="s">
        <v>10855</v>
      </c>
      <c r="K195" s="5903" t="s">
        <v>290</v>
      </c>
      <c r="L195" s="5901" t="s">
        <v>10856</v>
      </c>
      <c r="M195" s="5902" t="s">
        <v>10857</v>
      </c>
      <c r="N195" s="5901" t="s">
        <v>10858</v>
      </c>
      <c r="O195" s="5900" t="s">
        <v>10859</v>
      </c>
      <c r="P195" s="5904" t="s">
        <v>10869</v>
      </c>
      <c r="Q195" s="5902" t="s">
        <v>10868</v>
      </c>
      <c r="R195" s="5902" t="s">
        <v>10860</v>
      </c>
      <c r="S195" s="5905"/>
      <c r="T195" s="5906"/>
      <c r="U195" s="5907"/>
      <c r="V195" s="5908"/>
      <c r="W195" s="5906"/>
      <c r="X195" s="5907"/>
      <c r="Y195" s="5908"/>
      <c r="Z195" s="5906"/>
      <c r="AA195" s="5907"/>
      <c r="AB195" s="5908"/>
      <c r="AC195" s="5906"/>
      <c r="AD195" s="5907"/>
      <c r="AE195" s="5908"/>
      <c r="AF195" s="5906"/>
      <c r="AG195" s="5907"/>
      <c r="AH195" s="5908"/>
      <c r="AI195" s="5909">
        <v>62962</v>
      </c>
      <c r="AJ195" s="5907">
        <v>0</v>
      </c>
      <c r="AK195" s="5910">
        <v>0</v>
      </c>
      <c r="AL195" s="5911">
        <f t="shared" ref="AL195:AL258" si="46">AI195-AJ195-AK195</f>
        <v>62962</v>
      </c>
      <c r="AM195" s="5912"/>
      <c r="AN195" s="5913"/>
      <c r="AO195" s="5914"/>
      <c r="AP195" s="5915" t="str">
        <f t="shared" si="45"/>
        <v>Planning Reg 2023-2024</v>
      </c>
      <c r="AQ195" s="5916">
        <f t="shared" si="45"/>
        <v>1.1576249999999999</v>
      </c>
      <c r="AR195" s="5917"/>
      <c r="AS195" s="5918"/>
      <c r="AT195" s="5918"/>
      <c r="AU195" s="5918"/>
      <c r="AV195" s="5918"/>
      <c r="AW195" s="5919">
        <f t="shared" ref="AW195:AW258" si="47">ROUND(AL195*AQ195/G195,0)</f>
        <v>65663</v>
      </c>
      <c r="AX195" s="3140"/>
    </row>
    <row r="196" spans="1:50" ht="76.5">
      <c r="A196" s="2418" t="s">
        <v>11030</v>
      </c>
      <c r="B196" s="338" t="s">
        <v>12450</v>
      </c>
      <c r="C196" s="321">
        <v>0</v>
      </c>
      <c r="D196" s="323">
        <v>44981</v>
      </c>
      <c r="E196" s="3058" t="s">
        <v>10324</v>
      </c>
      <c r="F196" s="830" t="s">
        <v>10101</v>
      </c>
      <c r="G196" s="5356">
        <v>1.1100000000000001</v>
      </c>
      <c r="H196" s="332" t="s">
        <v>11117</v>
      </c>
      <c r="I196" s="339" t="s">
        <v>9560</v>
      </c>
      <c r="J196" s="2399" t="s">
        <v>4306</v>
      </c>
      <c r="K196" s="340">
        <v>45709</v>
      </c>
      <c r="L196" s="339" t="s">
        <v>10870</v>
      </c>
      <c r="M196" s="322" t="s">
        <v>9660</v>
      </c>
      <c r="N196" s="339" t="s">
        <v>10871</v>
      </c>
      <c r="O196" s="332" t="s">
        <v>10872</v>
      </c>
      <c r="P196" s="345"/>
      <c r="Q196" s="6094" t="s">
        <v>9071</v>
      </c>
      <c r="R196" s="322" t="s">
        <v>536</v>
      </c>
      <c r="S196" s="346"/>
      <c r="T196" s="347"/>
      <c r="U196" s="326"/>
      <c r="V196" s="348"/>
      <c r="W196" s="347"/>
      <c r="X196" s="326"/>
      <c r="Y196" s="348"/>
      <c r="Z196" s="347"/>
      <c r="AA196" s="326"/>
      <c r="AB196" s="348"/>
      <c r="AC196" s="820"/>
      <c r="AD196" s="821"/>
      <c r="AE196" s="822"/>
      <c r="AF196" s="820"/>
      <c r="AG196" s="821"/>
      <c r="AH196" s="822"/>
      <c r="AI196" s="482">
        <v>5639</v>
      </c>
      <c r="AJ196" s="326">
        <v>0</v>
      </c>
      <c r="AK196" s="3917">
        <v>0</v>
      </c>
      <c r="AL196" s="349">
        <f t="shared" si="46"/>
        <v>5639</v>
      </c>
      <c r="AM196" s="2002"/>
      <c r="AN196" s="3357"/>
      <c r="AO196" s="695"/>
      <c r="AP196" s="3362" t="str">
        <f t="shared" si="45"/>
        <v>Planning Reg 2023-2024</v>
      </c>
      <c r="AQ196" s="3555">
        <f t="shared" si="45"/>
        <v>1.1576249999999999</v>
      </c>
      <c r="AR196" s="333"/>
      <c r="AS196" s="330"/>
      <c r="AT196" s="330"/>
      <c r="AU196" s="849"/>
      <c r="AV196" s="849"/>
      <c r="AW196" s="3156">
        <f t="shared" si="47"/>
        <v>5881</v>
      </c>
      <c r="AX196" s="3140"/>
    </row>
    <row r="197" spans="1:50" ht="76.5">
      <c r="A197" s="2418" t="s">
        <v>11030</v>
      </c>
      <c r="B197" s="338" t="s">
        <v>10544</v>
      </c>
      <c r="C197" s="321">
        <v>0</v>
      </c>
      <c r="D197" s="323">
        <v>45000</v>
      </c>
      <c r="E197" s="3058" t="s">
        <v>10324</v>
      </c>
      <c r="F197" s="830" t="s">
        <v>10101</v>
      </c>
      <c r="G197" s="5356">
        <v>1.1100000000000001</v>
      </c>
      <c r="H197" s="2273" t="s">
        <v>10893</v>
      </c>
      <c r="I197" s="339" t="s">
        <v>10894</v>
      </c>
      <c r="J197" s="2399" t="s">
        <v>4306</v>
      </c>
      <c r="K197" s="340">
        <v>45731</v>
      </c>
      <c r="L197" s="339" t="s">
        <v>10896</v>
      </c>
      <c r="M197" s="322" t="s">
        <v>10895</v>
      </c>
      <c r="N197" s="339" t="s">
        <v>10897</v>
      </c>
      <c r="O197" s="332" t="s">
        <v>10898</v>
      </c>
      <c r="P197" s="345"/>
      <c r="Q197" s="6094" t="s">
        <v>9071</v>
      </c>
      <c r="R197" s="322" t="s">
        <v>536</v>
      </c>
      <c r="S197" s="346"/>
      <c r="T197" s="347"/>
      <c r="U197" s="326"/>
      <c r="V197" s="348"/>
      <c r="W197" s="347"/>
      <c r="X197" s="326"/>
      <c r="Y197" s="348"/>
      <c r="Z197" s="347"/>
      <c r="AA197" s="326"/>
      <c r="AB197" s="348"/>
      <c r="AC197" s="820"/>
      <c r="AD197" s="821"/>
      <c r="AE197" s="822"/>
      <c r="AF197" s="820"/>
      <c r="AG197" s="821"/>
      <c r="AH197" s="822"/>
      <c r="AI197" s="482">
        <v>6619</v>
      </c>
      <c r="AJ197" s="326">
        <v>0</v>
      </c>
      <c r="AK197" s="3917">
        <v>0</v>
      </c>
      <c r="AL197" s="349">
        <f t="shared" si="46"/>
        <v>6619</v>
      </c>
      <c r="AM197" s="2002"/>
      <c r="AN197" s="3357"/>
      <c r="AO197" s="695"/>
      <c r="AP197" s="3362" t="str">
        <f t="shared" si="45"/>
        <v>Planning Reg 2023-2024</v>
      </c>
      <c r="AQ197" s="3555">
        <f t="shared" si="45"/>
        <v>1.1576249999999999</v>
      </c>
      <c r="AR197" s="333"/>
      <c r="AS197" s="330"/>
      <c r="AT197" s="330"/>
      <c r="AU197" s="849"/>
      <c r="AV197" s="849"/>
      <c r="AW197" s="3156">
        <f t="shared" si="47"/>
        <v>6903</v>
      </c>
      <c r="AX197" s="3140"/>
    </row>
    <row r="198" spans="1:50" ht="51">
      <c r="A198" s="2418" t="s">
        <v>11030</v>
      </c>
      <c r="B198" s="338" t="s">
        <v>10546</v>
      </c>
      <c r="C198" s="321">
        <v>0</v>
      </c>
      <c r="D198" s="323">
        <v>45012</v>
      </c>
      <c r="E198" s="3058" t="s">
        <v>10324</v>
      </c>
      <c r="F198" s="830" t="s">
        <v>10101</v>
      </c>
      <c r="G198" s="5356">
        <v>1.1100000000000001</v>
      </c>
      <c r="H198" s="332" t="s">
        <v>10964</v>
      </c>
      <c r="I198" s="339" t="s">
        <v>1433</v>
      </c>
      <c r="J198" s="322" t="s">
        <v>1434</v>
      </c>
      <c r="K198" s="340">
        <v>47199</v>
      </c>
      <c r="L198" s="339" t="s">
        <v>10965</v>
      </c>
      <c r="M198" s="322" t="s">
        <v>8102</v>
      </c>
      <c r="N198" s="339" t="s">
        <v>10966</v>
      </c>
      <c r="O198" s="332" t="s">
        <v>10967</v>
      </c>
      <c r="P198" s="345"/>
      <c r="Q198" s="322" t="s">
        <v>10976</v>
      </c>
      <c r="R198" s="322" t="s">
        <v>10977</v>
      </c>
      <c r="S198" s="346"/>
      <c r="T198" s="347"/>
      <c r="U198" s="326"/>
      <c r="V198" s="348"/>
      <c r="W198" s="347"/>
      <c r="X198" s="326"/>
      <c r="Y198" s="348"/>
      <c r="Z198" s="347"/>
      <c r="AA198" s="326"/>
      <c r="AB198" s="348"/>
      <c r="AC198" s="820"/>
      <c r="AD198" s="821"/>
      <c r="AE198" s="822"/>
      <c r="AF198" s="820"/>
      <c r="AG198" s="821"/>
      <c r="AH198" s="822"/>
      <c r="AI198" s="482">
        <v>10656</v>
      </c>
      <c r="AJ198" s="326">
        <v>0</v>
      </c>
      <c r="AK198" s="3917">
        <v>0</v>
      </c>
      <c r="AL198" s="349">
        <f t="shared" si="46"/>
        <v>10656</v>
      </c>
      <c r="AM198" s="2002"/>
      <c r="AN198" s="3357"/>
      <c r="AO198" s="695"/>
      <c r="AP198" s="3362" t="str">
        <f t="shared" si="45"/>
        <v>Planning Reg 2023-2024</v>
      </c>
      <c r="AQ198" s="3555">
        <f t="shared" si="45"/>
        <v>1.1576249999999999</v>
      </c>
      <c r="AR198" s="333"/>
      <c r="AS198" s="330"/>
      <c r="AT198" s="330"/>
      <c r="AU198" s="849"/>
      <c r="AV198" s="849"/>
      <c r="AW198" s="3156">
        <f t="shared" si="47"/>
        <v>11113</v>
      </c>
      <c r="AX198" s="3140"/>
    </row>
    <row r="199" spans="1:50" ht="76.5">
      <c r="A199" s="2418" t="s">
        <v>11030</v>
      </c>
      <c r="B199" s="338" t="s">
        <v>10547</v>
      </c>
      <c r="C199" s="321">
        <v>0</v>
      </c>
      <c r="D199" s="323">
        <v>45014</v>
      </c>
      <c r="E199" s="3058" t="s">
        <v>10324</v>
      </c>
      <c r="F199" s="830" t="s">
        <v>10101</v>
      </c>
      <c r="G199" s="5356">
        <v>1.1100000000000001</v>
      </c>
      <c r="H199" s="2273" t="s">
        <v>10968</v>
      </c>
      <c r="I199" s="339" t="s">
        <v>10969</v>
      </c>
      <c r="J199" s="2399" t="s">
        <v>4306</v>
      </c>
      <c r="K199" s="340">
        <v>45745</v>
      </c>
      <c r="L199" s="339" t="s">
        <v>313</v>
      </c>
      <c r="M199" s="322" t="s">
        <v>8832</v>
      </c>
      <c r="N199" s="339" t="s">
        <v>10970</v>
      </c>
      <c r="O199" s="332" t="s">
        <v>10971</v>
      </c>
      <c r="P199" s="345"/>
      <c r="Q199" s="6094" t="s">
        <v>9071</v>
      </c>
      <c r="R199" s="322" t="s">
        <v>536</v>
      </c>
      <c r="S199" s="346"/>
      <c r="T199" s="347"/>
      <c r="U199" s="326"/>
      <c r="V199" s="348"/>
      <c r="W199" s="347"/>
      <c r="X199" s="326"/>
      <c r="Y199" s="348"/>
      <c r="Z199" s="347"/>
      <c r="AA199" s="326"/>
      <c r="AB199" s="348"/>
      <c r="AC199" s="820"/>
      <c r="AD199" s="821"/>
      <c r="AE199" s="822"/>
      <c r="AF199" s="820"/>
      <c r="AG199" s="821"/>
      <c r="AH199" s="822"/>
      <c r="AI199" s="482">
        <v>5639</v>
      </c>
      <c r="AJ199" s="326">
        <v>0</v>
      </c>
      <c r="AK199" s="3917">
        <v>0</v>
      </c>
      <c r="AL199" s="349">
        <f t="shared" si="46"/>
        <v>5639</v>
      </c>
      <c r="AM199" s="2002"/>
      <c r="AN199" s="3357"/>
      <c r="AO199" s="695"/>
      <c r="AP199" s="3362" t="str">
        <f t="shared" si="45"/>
        <v>Planning Reg 2023-2024</v>
      </c>
      <c r="AQ199" s="3555">
        <f t="shared" si="45"/>
        <v>1.1576249999999999</v>
      </c>
      <c r="AR199" s="333"/>
      <c r="AS199" s="330"/>
      <c r="AT199" s="330"/>
      <c r="AU199" s="849"/>
      <c r="AV199" s="849"/>
      <c r="AW199" s="3156">
        <f t="shared" si="47"/>
        <v>5881</v>
      </c>
      <c r="AX199" s="3140"/>
    </row>
    <row r="200" spans="1:50" ht="51">
      <c r="A200" s="2418" t="s">
        <v>11030</v>
      </c>
      <c r="B200" s="338" t="s">
        <v>12449</v>
      </c>
      <c r="C200" s="321">
        <v>0</v>
      </c>
      <c r="D200" s="323">
        <v>45013</v>
      </c>
      <c r="E200" s="3058" t="s">
        <v>10324</v>
      </c>
      <c r="F200" s="830" t="s">
        <v>10101</v>
      </c>
      <c r="G200" s="5356">
        <v>1.1100000000000001</v>
      </c>
      <c r="H200" s="332" t="s">
        <v>10972</v>
      </c>
      <c r="I200" s="339" t="s">
        <v>1433</v>
      </c>
      <c r="J200" s="322" t="s">
        <v>1434</v>
      </c>
      <c r="K200" s="340">
        <v>47198</v>
      </c>
      <c r="L200" s="339" t="s">
        <v>10973</v>
      </c>
      <c r="M200" s="322" t="s">
        <v>8102</v>
      </c>
      <c r="N200" s="339" t="s">
        <v>10974</v>
      </c>
      <c r="O200" s="332" t="s">
        <v>10975</v>
      </c>
      <c r="P200" s="345"/>
      <c r="Q200" s="322" t="s">
        <v>10976</v>
      </c>
      <c r="R200" s="322" t="s">
        <v>10978</v>
      </c>
      <c r="S200" s="346"/>
      <c r="T200" s="347"/>
      <c r="U200" s="326"/>
      <c r="V200" s="348"/>
      <c r="W200" s="347"/>
      <c r="X200" s="326"/>
      <c r="Y200" s="348"/>
      <c r="Z200" s="347"/>
      <c r="AA200" s="326"/>
      <c r="AB200" s="348"/>
      <c r="AC200" s="820"/>
      <c r="AD200" s="821"/>
      <c r="AE200" s="822"/>
      <c r="AF200" s="820"/>
      <c r="AG200" s="821"/>
      <c r="AH200" s="822"/>
      <c r="AI200" s="482">
        <v>18648</v>
      </c>
      <c r="AJ200" s="326">
        <v>0</v>
      </c>
      <c r="AK200" s="3917">
        <v>0</v>
      </c>
      <c r="AL200" s="349">
        <f t="shared" si="46"/>
        <v>18648</v>
      </c>
      <c r="AM200" s="2002"/>
      <c r="AN200" s="3357"/>
      <c r="AO200" s="695"/>
      <c r="AP200" s="3362" t="str">
        <f t="shared" si="45"/>
        <v>Planning Reg 2023-2024</v>
      </c>
      <c r="AQ200" s="3555">
        <f t="shared" si="45"/>
        <v>1.1576249999999999</v>
      </c>
      <c r="AR200" s="333"/>
      <c r="AS200" s="330"/>
      <c r="AT200" s="330"/>
      <c r="AU200" s="849"/>
      <c r="AV200" s="849"/>
      <c r="AW200" s="3156">
        <f t="shared" si="47"/>
        <v>19448</v>
      </c>
      <c r="AX200" s="3140"/>
    </row>
    <row r="201" spans="1:50" ht="140.25">
      <c r="A201" s="2418" t="s">
        <v>11030</v>
      </c>
      <c r="B201" s="338" t="s">
        <v>11057</v>
      </c>
      <c r="C201" s="321">
        <v>0</v>
      </c>
      <c r="D201" s="323">
        <v>45035</v>
      </c>
      <c r="E201" s="3058" t="s">
        <v>10324</v>
      </c>
      <c r="F201" s="830" t="s">
        <v>10101</v>
      </c>
      <c r="G201" s="5356">
        <v>1.1100000000000001</v>
      </c>
      <c r="H201" s="332" t="s">
        <v>11049</v>
      </c>
      <c r="I201" s="339" t="s">
        <v>1433</v>
      </c>
      <c r="J201" s="322" t="s">
        <v>1434</v>
      </c>
      <c r="K201" s="340">
        <v>47222</v>
      </c>
      <c r="L201" s="339" t="s">
        <v>11050</v>
      </c>
      <c r="M201" s="322" t="s">
        <v>11051</v>
      </c>
      <c r="N201" s="339" t="s">
        <v>11052</v>
      </c>
      <c r="O201" s="332" t="s">
        <v>11053</v>
      </c>
      <c r="P201" s="345" t="s">
        <v>11055</v>
      </c>
      <c r="Q201" s="322" t="s">
        <v>10976</v>
      </c>
      <c r="R201" s="322" t="s">
        <v>11054</v>
      </c>
      <c r="S201" s="346"/>
      <c r="T201" s="347"/>
      <c r="U201" s="326"/>
      <c r="V201" s="348"/>
      <c r="W201" s="347"/>
      <c r="X201" s="326"/>
      <c r="Y201" s="348"/>
      <c r="Z201" s="347"/>
      <c r="AA201" s="326"/>
      <c r="AB201" s="348"/>
      <c r="AC201" s="820"/>
      <c r="AD201" s="821"/>
      <c r="AE201" s="822"/>
      <c r="AF201" s="820"/>
      <c r="AG201" s="821"/>
      <c r="AH201" s="822"/>
      <c r="AI201" s="482">
        <v>10630</v>
      </c>
      <c r="AJ201" s="326">
        <v>0</v>
      </c>
      <c r="AK201" s="3917">
        <v>0</v>
      </c>
      <c r="AL201" s="349">
        <f t="shared" si="46"/>
        <v>10630</v>
      </c>
      <c r="AM201" s="2002"/>
      <c r="AN201" s="3357"/>
      <c r="AO201" s="695"/>
      <c r="AP201" s="3362" t="str">
        <f t="shared" si="45"/>
        <v>Planning Reg 2023-2024</v>
      </c>
      <c r="AQ201" s="3555">
        <f t="shared" si="45"/>
        <v>1.1576249999999999</v>
      </c>
      <c r="AR201" s="333"/>
      <c r="AS201" s="330"/>
      <c r="AT201" s="330"/>
      <c r="AU201" s="849"/>
      <c r="AV201" s="849"/>
      <c r="AW201" s="3156">
        <f t="shared" si="47"/>
        <v>11086</v>
      </c>
      <c r="AX201" s="3140"/>
    </row>
    <row r="202" spans="1:50" ht="76.5">
      <c r="A202" s="2418" t="s">
        <v>11030</v>
      </c>
      <c r="B202" s="338" t="s">
        <v>10548</v>
      </c>
      <c r="C202" s="321">
        <v>0</v>
      </c>
      <c r="D202" s="323">
        <v>45036</v>
      </c>
      <c r="E202" s="3058" t="s">
        <v>10324</v>
      </c>
      <c r="F202" s="830" t="s">
        <v>10101</v>
      </c>
      <c r="G202" s="5356">
        <v>1.1100000000000001</v>
      </c>
      <c r="H202" s="2273" t="s">
        <v>11067</v>
      </c>
      <c r="I202" s="339" t="s">
        <v>11062</v>
      </c>
      <c r="J202" s="2399" t="s">
        <v>4306</v>
      </c>
      <c r="K202" s="340">
        <v>45036</v>
      </c>
      <c r="L202" s="339" t="s">
        <v>11063</v>
      </c>
      <c r="M202" s="322" t="s">
        <v>11064</v>
      </c>
      <c r="N202" s="339" t="s">
        <v>11065</v>
      </c>
      <c r="O202" s="322" t="s">
        <v>11064</v>
      </c>
      <c r="P202" s="345"/>
      <c r="Q202" s="6094" t="s">
        <v>9071</v>
      </c>
      <c r="R202" s="322" t="s">
        <v>536</v>
      </c>
      <c r="S202" s="346"/>
      <c r="T202" s="347"/>
      <c r="U202" s="326"/>
      <c r="V202" s="348"/>
      <c r="W202" s="347"/>
      <c r="X202" s="326"/>
      <c r="Y202" s="348"/>
      <c r="Z202" s="347"/>
      <c r="AA202" s="326"/>
      <c r="AB202" s="348"/>
      <c r="AC202" s="820"/>
      <c r="AD202" s="821"/>
      <c r="AE202" s="822"/>
      <c r="AF202" s="820"/>
      <c r="AG202" s="821"/>
      <c r="AH202" s="822"/>
      <c r="AI202" s="482">
        <v>5639</v>
      </c>
      <c r="AJ202" s="326">
        <v>0</v>
      </c>
      <c r="AK202" s="3917">
        <v>0</v>
      </c>
      <c r="AL202" s="349">
        <f t="shared" si="46"/>
        <v>5639</v>
      </c>
      <c r="AM202" s="2002"/>
      <c r="AN202" s="3357"/>
      <c r="AO202" s="695"/>
      <c r="AP202" s="3362" t="str">
        <f t="shared" si="45"/>
        <v>Planning Reg 2023-2024</v>
      </c>
      <c r="AQ202" s="3555">
        <f t="shared" si="45"/>
        <v>1.1576249999999999</v>
      </c>
      <c r="AR202" s="333"/>
      <c r="AS202" s="330"/>
      <c r="AT202" s="330"/>
      <c r="AU202" s="849"/>
      <c r="AV202" s="849"/>
      <c r="AW202" s="3156">
        <f t="shared" si="47"/>
        <v>5881</v>
      </c>
      <c r="AX202" s="3140"/>
    </row>
    <row r="203" spans="1:50" ht="51">
      <c r="A203" s="2418" t="s">
        <v>10984</v>
      </c>
      <c r="B203" s="338" t="s">
        <v>12448</v>
      </c>
      <c r="C203" s="321">
        <v>0</v>
      </c>
      <c r="D203" s="323">
        <v>45063</v>
      </c>
      <c r="E203" s="3058" t="s">
        <v>10324</v>
      </c>
      <c r="F203" s="830" t="s">
        <v>10101</v>
      </c>
      <c r="G203" s="5356">
        <v>1.1100000000000001</v>
      </c>
      <c r="H203" s="332" t="s">
        <v>11288</v>
      </c>
      <c r="I203" s="339" t="s">
        <v>1433</v>
      </c>
      <c r="J203" s="322" t="s">
        <v>1434</v>
      </c>
      <c r="K203" s="340" t="s">
        <v>11289</v>
      </c>
      <c r="L203" s="339" t="s">
        <v>11290</v>
      </c>
      <c r="M203" s="322" t="s">
        <v>11291</v>
      </c>
      <c r="N203" s="339" t="s">
        <v>11292</v>
      </c>
      <c r="O203" s="332" t="s">
        <v>11293</v>
      </c>
      <c r="P203" s="345"/>
      <c r="Q203" s="322" t="s">
        <v>11294</v>
      </c>
      <c r="R203" s="322" t="s">
        <v>11295</v>
      </c>
      <c r="S203" s="346"/>
      <c r="T203" s="347"/>
      <c r="U203" s="326"/>
      <c r="V203" s="348"/>
      <c r="W203" s="347"/>
      <c r="X203" s="326"/>
      <c r="Y203" s="348"/>
      <c r="Z203" s="347"/>
      <c r="AA203" s="326"/>
      <c r="AB203" s="348"/>
      <c r="AC203" s="820"/>
      <c r="AD203" s="821"/>
      <c r="AE203" s="822"/>
      <c r="AF203" s="820"/>
      <c r="AG203" s="821"/>
      <c r="AH203" s="822"/>
      <c r="AI203" s="482">
        <v>5328</v>
      </c>
      <c r="AJ203" s="326">
        <v>0</v>
      </c>
      <c r="AK203" s="3917">
        <v>0</v>
      </c>
      <c r="AL203" s="349">
        <f t="shared" si="46"/>
        <v>5328</v>
      </c>
      <c r="AM203" s="2002"/>
      <c r="AN203" s="3357"/>
      <c r="AO203" s="695"/>
      <c r="AP203" s="3362" t="str">
        <f t="shared" si="45"/>
        <v>Planning Reg 2023-2024</v>
      </c>
      <c r="AQ203" s="3555">
        <f t="shared" si="45"/>
        <v>1.1576249999999999</v>
      </c>
      <c r="AR203" s="333"/>
      <c r="AS203" s="330"/>
      <c r="AT203" s="330"/>
      <c r="AU203" s="849"/>
      <c r="AV203" s="849"/>
      <c r="AW203" s="3156">
        <f t="shared" si="47"/>
        <v>5557</v>
      </c>
      <c r="AX203" s="3140"/>
    </row>
    <row r="204" spans="1:50" ht="51">
      <c r="A204" s="2418" t="s">
        <v>10984</v>
      </c>
      <c r="B204" s="338" t="s">
        <v>12447</v>
      </c>
      <c r="C204" s="321">
        <v>0</v>
      </c>
      <c r="D204" s="323">
        <v>45070</v>
      </c>
      <c r="E204" s="3058" t="s">
        <v>10324</v>
      </c>
      <c r="F204" s="830" t="s">
        <v>10101</v>
      </c>
      <c r="G204" s="5356">
        <v>1.1100000000000001</v>
      </c>
      <c r="H204" s="332" t="s">
        <v>11305</v>
      </c>
      <c r="I204" s="339" t="s">
        <v>1433</v>
      </c>
      <c r="J204" s="322" t="s">
        <v>1434</v>
      </c>
      <c r="K204" s="340" t="s">
        <v>11289</v>
      </c>
      <c r="L204" s="339" t="s">
        <v>11306</v>
      </c>
      <c r="M204" s="322" t="s">
        <v>9594</v>
      </c>
      <c r="N204" s="339" t="s">
        <v>11307</v>
      </c>
      <c r="O204" s="332" t="s">
        <v>11308</v>
      </c>
      <c r="P204" s="345"/>
      <c r="Q204" s="322" t="s">
        <v>11309</v>
      </c>
      <c r="R204" s="322" t="s">
        <v>11310</v>
      </c>
      <c r="S204" s="346"/>
      <c r="T204" s="347"/>
      <c r="U204" s="326"/>
      <c r="V204" s="348"/>
      <c r="W204" s="347"/>
      <c r="X204" s="326"/>
      <c r="Y204" s="348"/>
      <c r="Z204" s="347"/>
      <c r="AA204" s="326"/>
      <c r="AB204" s="348"/>
      <c r="AC204" s="820"/>
      <c r="AD204" s="821"/>
      <c r="AE204" s="822"/>
      <c r="AF204" s="820"/>
      <c r="AG204" s="821"/>
      <c r="AH204" s="822"/>
      <c r="AI204" s="482">
        <v>5328</v>
      </c>
      <c r="AJ204" s="326">
        <v>0</v>
      </c>
      <c r="AK204" s="3917">
        <v>0</v>
      </c>
      <c r="AL204" s="349">
        <f t="shared" si="46"/>
        <v>5328</v>
      </c>
      <c r="AM204" s="2002"/>
      <c r="AN204" s="3357"/>
      <c r="AO204" s="695"/>
      <c r="AP204" s="3362" t="str">
        <f t="shared" ref="AP204:AQ223" si="48">AP$2</f>
        <v>Planning Reg 2023-2024</v>
      </c>
      <c r="AQ204" s="3555">
        <f t="shared" si="48"/>
        <v>1.1576249999999999</v>
      </c>
      <c r="AR204" s="333"/>
      <c r="AS204" s="330"/>
      <c r="AT204" s="330"/>
      <c r="AU204" s="849"/>
      <c r="AV204" s="849"/>
      <c r="AW204" s="3156">
        <f t="shared" si="47"/>
        <v>5557</v>
      </c>
      <c r="AX204" s="3140"/>
    </row>
    <row r="205" spans="1:50" ht="76.5">
      <c r="A205" s="2418" t="s">
        <v>10984</v>
      </c>
      <c r="B205" s="338" t="s">
        <v>10551</v>
      </c>
      <c r="C205" s="321">
        <v>0</v>
      </c>
      <c r="D205" s="323">
        <v>44705</v>
      </c>
      <c r="E205" s="3058" t="s">
        <v>10324</v>
      </c>
      <c r="F205" s="830" t="s">
        <v>10101</v>
      </c>
      <c r="G205" s="5356">
        <v>1.1100000000000001</v>
      </c>
      <c r="H205" s="2273" t="s">
        <v>11311</v>
      </c>
      <c r="I205" s="339" t="s">
        <v>11312</v>
      </c>
      <c r="J205" s="2399" t="s">
        <v>4306</v>
      </c>
      <c r="K205" s="340">
        <v>45801</v>
      </c>
      <c r="L205" s="339" t="s">
        <v>9191</v>
      </c>
      <c r="M205" s="322" t="s">
        <v>6149</v>
      </c>
      <c r="N205" s="339" t="s">
        <v>11313</v>
      </c>
      <c r="O205" s="332" t="s">
        <v>11314</v>
      </c>
      <c r="P205" s="345"/>
      <c r="Q205" s="6094" t="s">
        <v>9071</v>
      </c>
      <c r="R205" s="322" t="s">
        <v>536</v>
      </c>
      <c r="S205" s="346"/>
      <c r="T205" s="347"/>
      <c r="U205" s="326"/>
      <c r="V205" s="348"/>
      <c r="W205" s="347"/>
      <c r="X205" s="326"/>
      <c r="Y205" s="348"/>
      <c r="Z205" s="347"/>
      <c r="AA205" s="326"/>
      <c r="AB205" s="348"/>
      <c r="AC205" s="820"/>
      <c r="AD205" s="821"/>
      <c r="AE205" s="822"/>
      <c r="AF205" s="820"/>
      <c r="AG205" s="821"/>
      <c r="AH205" s="822"/>
      <c r="AI205" s="482">
        <v>6619</v>
      </c>
      <c r="AJ205" s="326">
        <v>0</v>
      </c>
      <c r="AK205" s="3917">
        <v>0</v>
      </c>
      <c r="AL205" s="349">
        <f t="shared" si="46"/>
        <v>6619</v>
      </c>
      <c r="AM205" s="2002"/>
      <c r="AN205" s="3357"/>
      <c r="AO205" s="695"/>
      <c r="AP205" s="3362" t="str">
        <f t="shared" si="48"/>
        <v>Planning Reg 2023-2024</v>
      </c>
      <c r="AQ205" s="3555">
        <f t="shared" si="48"/>
        <v>1.1576249999999999</v>
      </c>
      <c r="AR205" s="333"/>
      <c r="AS205" s="330"/>
      <c r="AT205" s="330"/>
      <c r="AU205" s="849"/>
      <c r="AV205" s="849"/>
      <c r="AW205" s="3156">
        <f t="shared" si="47"/>
        <v>6903</v>
      </c>
      <c r="AX205" s="3140"/>
    </row>
    <row r="206" spans="1:50" ht="89.25">
      <c r="A206" s="2418" t="s">
        <v>10984</v>
      </c>
      <c r="B206" s="338" t="s">
        <v>12446</v>
      </c>
      <c r="C206" s="321">
        <v>0</v>
      </c>
      <c r="D206" s="323">
        <v>45071</v>
      </c>
      <c r="E206" s="3058" t="s">
        <v>10324</v>
      </c>
      <c r="F206" s="830" t="s">
        <v>10101</v>
      </c>
      <c r="G206" s="5356">
        <v>1.1100000000000001</v>
      </c>
      <c r="H206" s="332" t="s">
        <v>11315</v>
      </c>
      <c r="I206" s="339" t="s">
        <v>1433</v>
      </c>
      <c r="J206" s="322" t="s">
        <v>1434</v>
      </c>
      <c r="K206" s="340">
        <v>47262</v>
      </c>
      <c r="L206" s="339" t="s">
        <v>11316</v>
      </c>
      <c r="M206" s="322" t="s">
        <v>8102</v>
      </c>
      <c r="N206" s="339" t="s">
        <v>11317</v>
      </c>
      <c r="O206" s="332" t="s">
        <v>11318</v>
      </c>
      <c r="P206" s="345"/>
      <c r="Q206" s="322" t="s">
        <v>9657</v>
      </c>
      <c r="R206" s="322" t="s">
        <v>536</v>
      </c>
      <c r="S206" s="346" t="s">
        <v>11319</v>
      </c>
      <c r="T206" s="347"/>
      <c r="U206" s="326"/>
      <c r="V206" s="348"/>
      <c r="W206" s="347"/>
      <c r="X206" s="326"/>
      <c r="Y206" s="348"/>
      <c r="Z206" s="347"/>
      <c r="AA206" s="326"/>
      <c r="AB206" s="348"/>
      <c r="AC206" s="820"/>
      <c r="AD206" s="821"/>
      <c r="AE206" s="822"/>
      <c r="AF206" s="820"/>
      <c r="AG206" s="821"/>
      <c r="AH206" s="822"/>
      <c r="AI206" s="482">
        <v>18648</v>
      </c>
      <c r="AJ206" s="326">
        <v>0</v>
      </c>
      <c r="AK206" s="3917">
        <f>4857*2</f>
        <v>9714</v>
      </c>
      <c r="AL206" s="349">
        <f t="shared" si="46"/>
        <v>8934</v>
      </c>
      <c r="AM206" s="2002"/>
      <c r="AN206" s="3357"/>
      <c r="AO206" s="695"/>
      <c r="AP206" s="3362" t="str">
        <f t="shared" si="48"/>
        <v>Planning Reg 2023-2024</v>
      </c>
      <c r="AQ206" s="3555">
        <f t="shared" si="48"/>
        <v>1.1576249999999999</v>
      </c>
      <c r="AR206" s="333"/>
      <c r="AS206" s="330"/>
      <c r="AT206" s="330"/>
      <c r="AU206" s="849"/>
      <c r="AV206" s="849"/>
      <c r="AW206" s="3156">
        <f t="shared" si="47"/>
        <v>9317</v>
      </c>
      <c r="AX206" s="3140"/>
    </row>
    <row r="207" spans="1:50" ht="76.5">
      <c r="A207" s="2418" t="s">
        <v>10984</v>
      </c>
      <c r="B207" s="338" t="s">
        <v>10552</v>
      </c>
      <c r="C207" s="321">
        <v>0</v>
      </c>
      <c r="D207" s="323">
        <v>45079</v>
      </c>
      <c r="E207" s="3058" t="s">
        <v>10324</v>
      </c>
      <c r="F207" s="830" t="s">
        <v>10101</v>
      </c>
      <c r="G207" s="5356">
        <v>1.1100000000000001</v>
      </c>
      <c r="H207" s="332" t="s">
        <v>11377</v>
      </c>
      <c r="I207" s="339" t="s">
        <v>9560</v>
      </c>
      <c r="J207" s="2399" t="s">
        <v>4306</v>
      </c>
      <c r="K207" s="340">
        <v>45810</v>
      </c>
      <c r="L207" s="339" t="s">
        <v>11378</v>
      </c>
      <c r="M207" s="322" t="s">
        <v>11379</v>
      </c>
      <c r="N207" s="339" t="s">
        <v>11380</v>
      </c>
      <c r="O207" s="332" t="s">
        <v>11381</v>
      </c>
      <c r="P207" s="345"/>
      <c r="Q207" s="6094" t="s">
        <v>9071</v>
      </c>
      <c r="R207" s="322" t="s">
        <v>536</v>
      </c>
      <c r="S207" s="346"/>
      <c r="T207" s="347"/>
      <c r="U207" s="326"/>
      <c r="V207" s="348"/>
      <c r="W207" s="347"/>
      <c r="X207" s="326"/>
      <c r="Y207" s="348"/>
      <c r="Z207" s="347"/>
      <c r="AA207" s="326"/>
      <c r="AB207" s="348"/>
      <c r="AC207" s="820"/>
      <c r="AD207" s="821"/>
      <c r="AE207" s="822"/>
      <c r="AF207" s="820"/>
      <c r="AG207" s="821"/>
      <c r="AH207" s="822"/>
      <c r="AI207" s="482">
        <v>7943</v>
      </c>
      <c r="AJ207" s="326">
        <v>0</v>
      </c>
      <c r="AK207" s="3917">
        <v>0</v>
      </c>
      <c r="AL207" s="349">
        <f t="shared" si="46"/>
        <v>7943</v>
      </c>
      <c r="AM207" s="2002"/>
      <c r="AN207" s="3357"/>
      <c r="AO207" s="695"/>
      <c r="AP207" s="3362" t="str">
        <f t="shared" si="48"/>
        <v>Planning Reg 2023-2024</v>
      </c>
      <c r="AQ207" s="3555">
        <f t="shared" si="48"/>
        <v>1.1576249999999999</v>
      </c>
      <c r="AR207" s="333"/>
      <c r="AS207" s="330"/>
      <c r="AT207" s="330"/>
      <c r="AU207" s="849"/>
      <c r="AV207" s="849"/>
      <c r="AW207" s="3156">
        <f t="shared" si="47"/>
        <v>8284</v>
      </c>
      <c r="AX207" s="3140"/>
    </row>
    <row r="208" spans="1:50" ht="76.5">
      <c r="A208" s="2418" t="s">
        <v>10984</v>
      </c>
      <c r="B208" s="338" t="s">
        <v>12445</v>
      </c>
      <c r="C208" s="321">
        <v>0</v>
      </c>
      <c r="D208" s="323">
        <v>45084</v>
      </c>
      <c r="E208" s="3058" t="s">
        <v>10324</v>
      </c>
      <c r="F208" s="830" t="s">
        <v>10101</v>
      </c>
      <c r="G208" s="5356">
        <v>1.1100000000000001</v>
      </c>
      <c r="H208" s="332" t="s">
        <v>11520</v>
      </c>
      <c r="I208" s="339" t="s">
        <v>9560</v>
      </c>
      <c r="J208" s="2399" t="s">
        <v>4306</v>
      </c>
      <c r="K208" s="340">
        <v>45815</v>
      </c>
      <c r="L208" s="339" t="s">
        <v>8446</v>
      </c>
      <c r="M208" s="322" t="s">
        <v>11383</v>
      </c>
      <c r="N208" s="6156" t="s">
        <v>11385</v>
      </c>
      <c r="O208" s="5943" t="s">
        <v>11384</v>
      </c>
      <c r="P208" s="345"/>
      <c r="Q208" s="6094" t="s">
        <v>9071</v>
      </c>
      <c r="R208" s="322" t="s">
        <v>536</v>
      </c>
      <c r="S208" s="346"/>
      <c r="T208" s="347"/>
      <c r="U208" s="326"/>
      <c r="V208" s="348"/>
      <c r="W208" s="347"/>
      <c r="X208" s="326"/>
      <c r="Y208" s="348"/>
      <c r="Z208" s="347"/>
      <c r="AA208" s="326"/>
      <c r="AB208" s="348"/>
      <c r="AC208" s="820"/>
      <c r="AD208" s="821"/>
      <c r="AE208" s="822"/>
      <c r="AF208" s="820"/>
      <c r="AG208" s="821"/>
      <c r="AH208" s="822"/>
      <c r="AI208" s="482">
        <v>5639</v>
      </c>
      <c r="AJ208" s="326">
        <v>0</v>
      </c>
      <c r="AK208" s="3917">
        <v>0</v>
      </c>
      <c r="AL208" s="349">
        <f t="shared" si="46"/>
        <v>5639</v>
      </c>
      <c r="AM208" s="2002"/>
      <c r="AN208" s="3357"/>
      <c r="AO208" s="695"/>
      <c r="AP208" s="3362" t="str">
        <f t="shared" si="48"/>
        <v>Planning Reg 2023-2024</v>
      </c>
      <c r="AQ208" s="3555">
        <f t="shared" si="48"/>
        <v>1.1576249999999999</v>
      </c>
      <c r="AR208" s="333"/>
      <c r="AS208" s="330"/>
      <c r="AT208" s="330"/>
      <c r="AU208" s="849"/>
      <c r="AV208" s="849"/>
      <c r="AW208" s="3156">
        <f t="shared" si="47"/>
        <v>5881</v>
      </c>
      <c r="AX208" s="3140"/>
    </row>
    <row r="209" spans="1:50" ht="51">
      <c r="A209" s="2418" t="s">
        <v>10984</v>
      </c>
      <c r="B209" s="338" t="s">
        <v>10554</v>
      </c>
      <c r="C209" s="321">
        <v>0</v>
      </c>
      <c r="D209" s="323">
        <v>45089</v>
      </c>
      <c r="E209" s="3058" t="s">
        <v>10324</v>
      </c>
      <c r="F209" s="830" t="s">
        <v>10101</v>
      </c>
      <c r="G209" s="5356">
        <v>1.1100000000000001</v>
      </c>
      <c r="H209" s="332" t="s">
        <v>11395</v>
      </c>
      <c r="I209" s="339" t="s">
        <v>1433</v>
      </c>
      <c r="J209" s="322" t="s">
        <v>1434</v>
      </c>
      <c r="K209" s="340" t="s">
        <v>11396</v>
      </c>
      <c r="L209" s="339" t="s">
        <v>11397</v>
      </c>
      <c r="M209" s="322" t="s">
        <v>8102</v>
      </c>
      <c r="N209" s="339" t="s">
        <v>11399</v>
      </c>
      <c r="O209" s="332" t="s">
        <v>11398</v>
      </c>
      <c r="P209" s="345"/>
      <c r="Q209" s="322" t="s">
        <v>11400</v>
      </c>
      <c r="R209" s="322" t="s">
        <v>11401</v>
      </c>
      <c r="S209" s="346"/>
      <c r="T209" s="347"/>
      <c r="U209" s="326"/>
      <c r="V209" s="348"/>
      <c r="W209" s="347"/>
      <c r="X209" s="326"/>
      <c r="Y209" s="348"/>
      <c r="Z209" s="347"/>
      <c r="AA209" s="326"/>
      <c r="AB209" s="348"/>
      <c r="AC209" s="820"/>
      <c r="AD209" s="821"/>
      <c r="AE209" s="822"/>
      <c r="AF209" s="820"/>
      <c r="AG209" s="821"/>
      <c r="AH209" s="822"/>
      <c r="AI209" s="482">
        <v>339</v>
      </c>
      <c r="AJ209" s="326">
        <v>0</v>
      </c>
      <c r="AK209" s="3917">
        <v>0</v>
      </c>
      <c r="AL209" s="349">
        <f t="shared" si="46"/>
        <v>339</v>
      </c>
      <c r="AM209" s="2002"/>
      <c r="AN209" s="3357"/>
      <c r="AO209" s="695"/>
      <c r="AP209" s="3362" t="str">
        <f t="shared" si="48"/>
        <v>Planning Reg 2023-2024</v>
      </c>
      <c r="AQ209" s="3555">
        <f t="shared" si="48"/>
        <v>1.1576249999999999</v>
      </c>
      <c r="AR209" s="333"/>
      <c r="AS209" s="330"/>
      <c r="AT209" s="330"/>
      <c r="AU209" s="849"/>
      <c r="AV209" s="849"/>
      <c r="AW209" s="3156">
        <f t="shared" si="47"/>
        <v>354</v>
      </c>
      <c r="AX209" s="3140"/>
    </row>
    <row r="210" spans="1:50" ht="51">
      <c r="A210" s="2418" t="s">
        <v>10984</v>
      </c>
      <c r="B210" s="338" t="s">
        <v>10555</v>
      </c>
      <c r="C210" s="321">
        <v>0</v>
      </c>
      <c r="D210" s="323">
        <v>45096</v>
      </c>
      <c r="E210" s="3058" t="s">
        <v>10324</v>
      </c>
      <c r="F210" s="830" t="s">
        <v>10101</v>
      </c>
      <c r="G210" s="5356">
        <v>1.1100000000000001</v>
      </c>
      <c r="H210" s="332" t="s">
        <v>11413</v>
      </c>
      <c r="I210" s="339" t="s">
        <v>1433</v>
      </c>
      <c r="J210" s="322" t="s">
        <v>1434</v>
      </c>
      <c r="K210" s="340" t="s">
        <v>11396</v>
      </c>
      <c r="L210" s="339" t="s">
        <v>3841</v>
      </c>
      <c r="M210" s="322" t="s">
        <v>11414</v>
      </c>
      <c r="N210" s="339" t="s">
        <v>11416</v>
      </c>
      <c r="O210" s="332" t="s">
        <v>11415</v>
      </c>
      <c r="P210" s="345"/>
      <c r="Q210" s="322" t="s">
        <v>11418</v>
      </c>
      <c r="R210" s="322" t="s">
        <v>11417</v>
      </c>
      <c r="S210" s="346"/>
      <c r="T210" s="347"/>
      <c r="U210" s="326"/>
      <c r="V210" s="348"/>
      <c r="W210" s="347"/>
      <c r="X210" s="326"/>
      <c r="Y210" s="348"/>
      <c r="Z210" s="347"/>
      <c r="AA210" s="326"/>
      <c r="AB210" s="348"/>
      <c r="AC210" s="820"/>
      <c r="AD210" s="821"/>
      <c r="AE210" s="822"/>
      <c r="AF210" s="820"/>
      <c r="AG210" s="821"/>
      <c r="AH210" s="822"/>
      <c r="AI210" s="482">
        <v>8146</v>
      </c>
      <c r="AJ210" s="326">
        <v>0</v>
      </c>
      <c r="AK210" s="3917">
        <v>0</v>
      </c>
      <c r="AL210" s="349">
        <f t="shared" si="46"/>
        <v>8146</v>
      </c>
      <c r="AM210" s="2002"/>
      <c r="AN210" s="3357"/>
      <c r="AO210" s="695"/>
      <c r="AP210" s="3362" t="str">
        <f t="shared" si="48"/>
        <v>Planning Reg 2023-2024</v>
      </c>
      <c r="AQ210" s="3555">
        <f t="shared" si="48"/>
        <v>1.1576249999999999</v>
      </c>
      <c r="AR210" s="333"/>
      <c r="AS210" s="330"/>
      <c r="AT210" s="330"/>
      <c r="AU210" s="849"/>
      <c r="AV210" s="849"/>
      <c r="AW210" s="3156">
        <f t="shared" si="47"/>
        <v>8496</v>
      </c>
      <c r="AX210" s="3140"/>
    </row>
    <row r="211" spans="1:50" ht="51">
      <c r="A211" s="2418" t="s">
        <v>10984</v>
      </c>
      <c r="B211" s="338" t="s">
        <v>10556</v>
      </c>
      <c r="C211" s="321">
        <v>0</v>
      </c>
      <c r="D211" s="323">
        <v>45096</v>
      </c>
      <c r="E211" s="3058" t="s">
        <v>10324</v>
      </c>
      <c r="F211" s="830" t="s">
        <v>10101</v>
      </c>
      <c r="G211" s="5356">
        <v>1.1100000000000001</v>
      </c>
      <c r="H211" s="332" t="s">
        <v>11422</v>
      </c>
      <c r="I211" s="339" t="s">
        <v>5753</v>
      </c>
      <c r="J211" s="322" t="s">
        <v>2712</v>
      </c>
      <c r="K211" s="340">
        <v>46550</v>
      </c>
      <c r="L211" s="339" t="s">
        <v>11423</v>
      </c>
      <c r="M211" s="322" t="s">
        <v>3046</v>
      </c>
      <c r="N211" s="339" t="s">
        <v>11425</v>
      </c>
      <c r="O211" s="332" t="s">
        <v>11424</v>
      </c>
      <c r="P211" s="345"/>
      <c r="Q211" s="322" t="s">
        <v>11426</v>
      </c>
      <c r="R211" s="322" t="s">
        <v>11427</v>
      </c>
      <c r="S211" s="346"/>
      <c r="T211" s="347"/>
      <c r="U211" s="326"/>
      <c r="V211" s="348"/>
      <c r="W211" s="347"/>
      <c r="X211" s="326"/>
      <c r="Y211" s="348"/>
      <c r="Z211" s="347"/>
      <c r="AA211" s="326"/>
      <c r="AB211" s="348"/>
      <c r="AC211" s="820"/>
      <c r="AD211" s="821"/>
      <c r="AE211" s="822"/>
      <c r="AF211" s="820"/>
      <c r="AG211" s="821"/>
      <c r="AH211" s="822"/>
      <c r="AI211" s="482">
        <v>47665</v>
      </c>
      <c r="AJ211" s="326">
        <v>0</v>
      </c>
      <c r="AK211" s="3917">
        <v>0</v>
      </c>
      <c r="AL211" s="349">
        <f t="shared" si="46"/>
        <v>47665</v>
      </c>
      <c r="AM211" s="2002"/>
      <c r="AN211" s="3357"/>
      <c r="AO211" s="695"/>
      <c r="AP211" s="3362" t="str">
        <f t="shared" si="48"/>
        <v>Planning Reg 2023-2024</v>
      </c>
      <c r="AQ211" s="3555">
        <f t="shared" si="48"/>
        <v>1.1576249999999999</v>
      </c>
      <c r="AR211" s="333"/>
      <c r="AS211" s="330"/>
      <c r="AT211" s="330"/>
      <c r="AU211" s="849"/>
      <c r="AV211" s="849"/>
      <c r="AW211" s="3156">
        <f t="shared" si="47"/>
        <v>49710</v>
      </c>
      <c r="AX211" s="3140"/>
    </row>
    <row r="212" spans="1:50" ht="51">
      <c r="A212" s="2418" t="s">
        <v>10984</v>
      </c>
      <c r="B212" s="338" t="s">
        <v>12444</v>
      </c>
      <c r="C212" s="321">
        <v>0</v>
      </c>
      <c r="D212" s="323">
        <v>45097</v>
      </c>
      <c r="E212" s="3058" t="s">
        <v>10324</v>
      </c>
      <c r="F212" s="830" t="s">
        <v>10101</v>
      </c>
      <c r="G212" s="5356">
        <v>1.1100000000000001</v>
      </c>
      <c r="H212" s="332" t="s">
        <v>11430</v>
      </c>
      <c r="I212" s="339" t="s">
        <v>1433</v>
      </c>
      <c r="J212" s="322" t="s">
        <v>1434</v>
      </c>
      <c r="K212" s="340">
        <v>47284</v>
      </c>
      <c r="L212" s="339" t="s">
        <v>11431</v>
      </c>
      <c r="M212" s="322" t="s">
        <v>11300</v>
      </c>
      <c r="N212" s="339" t="s">
        <v>11433</v>
      </c>
      <c r="O212" s="332" t="s">
        <v>11432</v>
      </c>
      <c r="P212" s="345"/>
      <c r="Q212" s="322" t="s">
        <v>9657</v>
      </c>
      <c r="R212" s="322" t="s">
        <v>581</v>
      </c>
      <c r="S212" s="346"/>
      <c r="T212" s="347"/>
      <c r="U212" s="326"/>
      <c r="V212" s="348"/>
      <c r="W212" s="347"/>
      <c r="X212" s="326"/>
      <c r="Y212" s="348"/>
      <c r="Z212" s="347"/>
      <c r="AA212" s="326"/>
      <c r="AB212" s="348"/>
      <c r="AC212" s="820"/>
      <c r="AD212" s="821"/>
      <c r="AE212" s="822"/>
      <c r="AF212" s="820"/>
      <c r="AG212" s="821"/>
      <c r="AH212" s="822"/>
      <c r="AI212" s="482">
        <v>18648</v>
      </c>
      <c r="AJ212" s="326">
        <v>0</v>
      </c>
      <c r="AK212" s="3917">
        <v>0</v>
      </c>
      <c r="AL212" s="349">
        <f t="shared" si="46"/>
        <v>18648</v>
      </c>
      <c r="AM212" s="2002"/>
      <c r="AN212" s="3357"/>
      <c r="AO212" s="695"/>
      <c r="AP212" s="3362" t="str">
        <f t="shared" si="48"/>
        <v>Planning Reg 2023-2024</v>
      </c>
      <c r="AQ212" s="3555">
        <f t="shared" si="48"/>
        <v>1.1576249999999999</v>
      </c>
      <c r="AR212" s="333"/>
      <c r="AS212" s="330"/>
      <c r="AT212" s="330"/>
      <c r="AU212" s="849"/>
      <c r="AV212" s="849"/>
      <c r="AW212" s="3156">
        <f t="shared" si="47"/>
        <v>19448</v>
      </c>
      <c r="AX212" s="3140"/>
    </row>
    <row r="213" spans="1:50" ht="76.5">
      <c r="A213" s="2418" t="s">
        <v>10984</v>
      </c>
      <c r="B213" s="338" t="s">
        <v>12363</v>
      </c>
      <c r="C213" s="321">
        <v>0</v>
      </c>
      <c r="D213" s="323">
        <v>45098</v>
      </c>
      <c r="E213" s="3058" t="s">
        <v>10324</v>
      </c>
      <c r="F213" s="830" t="s">
        <v>10101</v>
      </c>
      <c r="G213" s="5356">
        <v>1.1100000000000001</v>
      </c>
      <c r="H213" s="2273" t="s">
        <v>11442</v>
      </c>
      <c r="I213" s="339" t="s">
        <v>11443</v>
      </c>
      <c r="J213" s="2399" t="s">
        <v>4306</v>
      </c>
      <c r="K213" s="340">
        <v>45829</v>
      </c>
      <c r="L213" s="339" t="s">
        <v>11444</v>
      </c>
      <c r="M213" s="322" t="s">
        <v>11445</v>
      </c>
      <c r="N213" s="339" t="s">
        <v>11446</v>
      </c>
      <c r="O213" s="322" t="s">
        <v>11445</v>
      </c>
      <c r="P213" s="345"/>
      <c r="Q213" s="6094" t="s">
        <v>9071</v>
      </c>
      <c r="R213" s="322" t="s">
        <v>536</v>
      </c>
      <c r="S213" s="346"/>
      <c r="T213" s="347"/>
      <c r="U213" s="326"/>
      <c r="V213" s="348"/>
      <c r="W213" s="347"/>
      <c r="X213" s="326"/>
      <c r="Y213" s="348"/>
      <c r="Z213" s="347"/>
      <c r="AA213" s="326"/>
      <c r="AB213" s="348"/>
      <c r="AC213" s="820"/>
      <c r="AD213" s="821"/>
      <c r="AE213" s="822"/>
      <c r="AF213" s="820"/>
      <c r="AG213" s="821"/>
      <c r="AH213" s="822"/>
      <c r="AI213" s="482">
        <v>6619</v>
      </c>
      <c r="AJ213" s="326">
        <v>0</v>
      </c>
      <c r="AK213" s="3917">
        <v>0</v>
      </c>
      <c r="AL213" s="349">
        <f t="shared" si="46"/>
        <v>6619</v>
      </c>
      <c r="AM213" s="2002"/>
      <c r="AN213" s="3357"/>
      <c r="AO213" s="695"/>
      <c r="AP213" s="3362" t="str">
        <f t="shared" si="48"/>
        <v>Planning Reg 2023-2024</v>
      </c>
      <c r="AQ213" s="3555">
        <f t="shared" si="48"/>
        <v>1.1576249999999999</v>
      </c>
      <c r="AR213" s="333"/>
      <c r="AS213" s="330"/>
      <c r="AT213" s="330"/>
      <c r="AU213" s="849"/>
      <c r="AV213" s="849"/>
      <c r="AW213" s="3156">
        <f t="shared" si="47"/>
        <v>6903</v>
      </c>
      <c r="AX213" s="3140"/>
    </row>
    <row r="214" spans="1:50" ht="76.5">
      <c r="A214" s="2418" t="s">
        <v>10984</v>
      </c>
      <c r="B214" s="338" t="s">
        <v>10557</v>
      </c>
      <c r="C214" s="321">
        <v>0</v>
      </c>
      <c r="D214" s="323">
        <v>45098</v>
      </c>
      <c r="E214" s="3058" t="s">
        <v>10324</v>
      </c>
      <c r="F214" s="830" t="s">
        <v>10101</v>
      </c>
      <c r="G214" s="5356">
        <v>1.1100000000000001</v>
      </c>
      <c r="H214" s="2273" t="s">
        <v>11462</v>
      </c>
      <c r="I214" s="339" t="s">
        <v>11453</v>
      </c>
      <c r="J214" s="2399" t="s">
        <v>4306</v>
      </c>
      <c r="K214" s="340">
        <v>45829</v>
      </c>
      <c r="L214" s="339" t="s">
        <v>11454</v>
      </c>
      <c r="M214" s="322" t="s">
        <v>11455</v>
      </c>
      <c r="N214" s="339" t="s">
        <v>11456</v>
      </c>
      <c r="O214" s="322" t="s">
        <v>11455</v>
      </c>
      <c r="P214" s="345"/>
      <c r="Q214" s="6094" t="s">
        <v>9071</v>
      </c>
      <c r="R214" s="322" t="s">
        <v>536</v>
      </c>
      <c r="S214" s="346"/>
      <c r="T214" s="347"/>
      <c r="U214" s="326"/>
      <c r="V214" s="348"/>
      <c r="W214" s="347"/>
      <c r="X214" s="326"/>
      <c r="Y214" s="348"/>
      <c r="Z214" s="347"/>
      <c r="AA214" s="326"/>
      <c r="AB214" s="348"/>
      <c r="AC214" s="820"/>
      <c r="AD214" s="821"/>
      <c r="AE214" s="822"/>
      <c r="AF214" s="820"/>
      <c r="AG214" s="821"/>
      <c r="AH214" s="822"/>
      <c r="AI214" s="482">
        <v>5639</v>
      </c>
      <c r="AJ214" s="326">
        <v>0</v>
      </c>
      <c r="AK214" s="3917">
        <v>0</v>
      </c>
      <c r="AL214" s="349">
        <f t="shared" si="46"/>
        <v>5639</v>
      </c>
      <c r="AM214" s="2002"/>
      <c r="AN214" s="3357"/>
      <c r="AO214" s="695"/>
      <c r="AP214" s="3362" t="str">
        <f t="shared" si="48"/>
        <v>Planning Reg 2023-2024</v>
      </c>
      <c r="AQ214" s="3555">
        <f t="shared" si="48"/>
        <v>1.1576249999999999</v>
      </c>
      <c r="AR214" s="333"/>
      <c r="AS214" s="330"/>
      <c r="AT214" s="330"/>
      <c r="AU214" s="849"/>
      <c r="AV214" s="849"/>
      <c r="AW214" s="3156">
        <f t="shared" si="47"/>
        <v>5881</v>
      </c>
      <c r="AX214" s="3140"/>
    </row>
    <row r="215" spans="1:50" ht="63.75">
      <c r="A215" s="2418" t="s">
        <v>10984</v>
      </c>
      <c r="B215" s="338" t="s">
        <v>10558</v>
      </c>
      <c r="C215" s="321">
        <v>0</v>
      </c>
      <c r="D215" s="323">
        <v>45099</v>
      </c>
      <c r="E215" s="3058" t="s">
        <v>10324</v>
      </c>
      <c r="F215" s="830" t="s">
        <v>10101</v>
      </c>
      <c r="G215" s="5356">
        <v>1.1100000000000001</v>
      </c>
      <c r="H215" s="332" t="s">
        <v>11435</v>
      </c>
      <c r="I215" s="339" t="s">
        <v>1433</v>
      </c>
      <c r="J215" s="322" t="s">
        <v>1434</v>
      </c>
      <c r="K215" s="340" t="s">
        <v>11396</v>
      </c>
      <c r="L215" s="339" t="s">
        <v>11436</v>
      </c>
      <c r="M215" s="322" t="s">
        <v>11437</v>
      </c>
      <c r="N215" s="339" t="s">
        <v>11439</v>
      </c>
      <c r="O215" s="332" t="s">
        <v>11438</v>
      </c>
      <c r="P215" s="345"/>
      <c r="Q215" s="322" t="s">
        <v>11441</v>
      </c>
      <c r="R215" s="322" t="s">
        <v>11440</v>
      </c>
      <c r="S215" s="346"/>
      <c r="T215" s="347"/>
      <c r="U215" s="326"/>
      <c r="V215" s="348"/>
      <c r="W215" s="347"/>
      <c r="X215" s="326"/>
      <c r="Y215" s="348"/>
      <c r="Z215" s="347"/>
      <c r="AA215" s="326"/>
      <c r="AB215" s="348"/>
      <c r="AC215" s="820"/>
      <c r="AD215" s="821"/>
      <c r="AE215" s="822"/>
      <c r="AF215" s="820"/>
      <c r="AG215" s="821"/>
      <c r="AH215" s="822"/>
      <c r="AI215" s="482">
        <v>12400</v>
      </c>
      <c r="AJ215" s="326">
        <v>0</v>
      </c>
      <c r="AK215" s="3917">
        <v>0</v>
      </c>
      <c r="AL215" s="349">
        <f t="shared" si="46"/>
        <v>12400</v>
      </c>
      <c r="AM215" s="2002"/>
      <c r="AN215" s="3357"/>
      <c r="AO215" s="695"/>
      <c r="AP215" s="3362" t="str">
        <f t="shared" si="48"/>
        <v>Planning Reg 2023-2024</v>
      </c>
      <c r="AQ215" s="3555">
        <f t="shared" si="48"/>
        <v>1.1576249999999999</v>
      </c>
      <c r="AR215" s="333"/>
      <c r="AS215" s="330"/>
      <c r="AT215" s="330"/>
      <c r="AU215" s="849"/>
      <c r="AV215" s="849"/>
      <c r="AW215" s="3156">
        <f t="shared" si="47"/>
        <v>12932</v>
      </c>
      <c r="AX215" s="3140"/>
    </row>
    <row r="216" spans="1:50" ht="76.5">
      <c r="A216" s="2418" t="s">
        <v>10984</v>
      </c>
      <c r="B216" s="338" t="s">
        <v>10559</v>
      </c>
      <c r="C216" s="321">
        <v>0</v>
      </c>
      <c r="D216" s="323">
        <v>45106</v>
      </c>
      <c r="E216" s="3058" t="s">
        <v>10324</v>
      </c>
      <c r="F216" s="830" t="s">
        <v>10101</v>
      </c>
      <c r="G216" s="5356">
        <v>1.1100000000000001</v>
      </c>
      <c r="H216" s="2273" t="s">
        <v>11474</v>
      </c>
      <c r="I216" s="339" t="s">
        <v>11465</v>
      </c>
      <c r="J216" s="2399" t="s">
        <v>4306</v>
      </c>
      <c r="K216" s="340">
        <v>45837</v>
      </c>
      <c r="L216" s="339" t="s">
        <v>11468</v>
      </c>
      <c r="M216" s="322" t="s">
        <v>11469</v>
      </c>
      <c r="N216" s="339" t="s">
        <v>11471</v>
      </c>
      <c r="O216" s="332" t="s">
        <v>11473</v>
      </c>
      <c r="P216" s="345"/>
      <c r="Q216" s="6094" t="s">
        <v>9071</v>
      </c>
      <c r="R216" s="322" t="s">
        <v>536</v>
      </c>
      <c r="S216" s="346"/>
      <c r="T216" s="347"/>
      <c r="U216" s="326"/>
      <c r="V216" s="348"/>
      <c r="W216" s="347"/>
      <c r="X216" s="326"/>
      <c r="Y216" s="348"/>
      <c r="Z216" s="347"/>
      <c r="AA216" s="326"/>
      <c r="AB216" s="348"/>
      <c r="AC216" s="820"/>
      <c r="AD216" s="821"/>
      <c r="AE216" s="822"/>
      <c r="AF216" s="820"/>
      <c r="AG216" s="821"/>
      <c r="AH216" s="822"/>
      <c r="AI216" s="482">
        <v>6619</v>
      </c>
      <c r="AJ216" s="326">
        <v>0</v>
      </c>
      <c r="AK216" s="3917">
        <v>0</v>
      </c>
      <c r="AL216" s="349">
        <f t="shared" si="46"/>
        <v>6619</v>
      </c>
      <c r="AM216" s="2002"/>
      <c r="AN216" s="3357"/>
      <c r="AO216" s="695"/>
      <c r="AP216" s="3362" t="str">
        <f t="shared" si="48"/>
        <v>Planning Reg 2023-2024</v>
      </c>
      <c r="AQ216" s="3555">
        <f t="shared" si="48"/>
        <v>1.1576249999999999</v>
      </c>
      <c r="AR216" s="333"/>
      <c r="AS216" s="330"/>
      <c r="AT216" s="330"/>
      <c r="AU216" s="849"/>
      <c r="AV216" s="849"/>
      <c r="AW216" s="3156">
        <f t="shared" si="47"/>
        <v>6903</v>
      </c>
      <c r="AX216" s="3140"/>
    </row>
    <row r="217" spans="1:50" ht="76.5">
      <c r="A217" s="2418" t="s">
        <v>10984</v>
      </c>
      <c r="B217" s="338" t="s">
        <v>10561</v>
      </c>
      <c r="C217" s="321">
        <v>0</v>
      </c>
      <c r="D217" s="323">
        <v>45113</v>
      </c>
      <c r="E217" s="3058" t="s">
        <v>10324</v>
      </c>
      <c r="F217" s="830" t="s">
        <v>11480</v>
      </c>
      <c r="G217" s="5356">
        <v>1.1576249999999999</v>
      </c>
      <c r="H217" s="2273" t="s">
        <v>11514</v>
      </c>
      <c r="I217" s="339" t="s">
        <v>11497</v>
      </c>
      <c r="J217" s="2399" t="s">
        <v>4306</v>
      </c>
      <c r="K217" s="340">
        <v>45801</v>
      </c>
      <c r="L217" s="339" t="s">
        <v>11498</v>
      </c>
      <c r="M217" s="322" t="s">
        <v>11499</v>
      </c>
      <c r="N217" s="339" t="s">
        <v>11500</v>
      </c>
      <c r="O217" s="322" t="s">
        <v>11499</v>
      </c>
      <c r="P217" s="345"/>
      <c r="Q217" s="6094" t="s">
        <v>9071</v>
      </c>
      <c r="R217" s="322" t="s">
        <v>536</v>
      </c>
      <c r="S217" s="346"/>
      <c r="T217" s="347"/>
      <c r="U217" s="326"/>
      <c r="V217" s="348"/>
      <c r="W217" s="347"/>
      <c r="X217" s="326"/>
      <c r="Y217" s="348"/>
      <c r="Z217" s="347"/>
      <c r="AA217" s="326"/>
      <c r="AB217" s="348"/>
      <c r="AC217" s="820"/>
      <c r="AD217" s="821"/>
      <c r="AE217" s="822"/>
      <c r="AF217" s="820"/>
      <c r="AG217" s="821"/>
      <c r="AH217" s="822"/>
      <c r="AI217" s="482">
        <v>5881</v>
      </c>
      <c r="AJ217" s="326">
        <v>0</v>
      </c>
      <c r="AK217" s="3917">
        <v>0</v>
      </c>
      <c r="AL217" s="349">
        <f t="shared" si="46"/>
        <v>5881</v>
      </c>
      <c r="AM217" s="2002"/>
      <c r="AN217" s="3357"/>
      <c r="AO217" s="695"/>
      <c r="AP217" s="3362" t="str">
        <f t="shared" si="48"/>
        <v>Planning Reg 2023-2024</v>
      </c>
      <c r="AQ217" s="3555">
        <f t="shared" si="48"/>
        <v>1.1576249999999999</v>
      </c>
      <c r="AR217" s="333"/>
      <c r="AS217" s="330"/>
      <c r="AT217" s="330"/>
      <c r="AU217" s="849"/>
      <c r="AV217" s="849"/>
      <c r="AW217" s="3156">
        <f t="shared" si="47"/>
        <v>5881</v>
      </c>
      <c r="AX217" s="3140"/>
    </row>
    <row r="218" spans="1:50" ht="76.5">
      <c r="A218" s="2418" t="s">
        <v>10984</v>
      </c>
      <c r="B218" s="338" t="s">
        <v>10562</v>
      </c>
      <c r="C218" s="321">
        <v>0</v>
      </c>
      <c r="D218" s="323">
        <v>45113</v>
      </c>
      <c r="E218" s="3058" t="s">
        <v>10324</v>
      </c>
      <c r="F218" s="830" t="s">
        <v>11480</v>
      </c>
      <c r="G218" s="5356">
        <v>1.1576249999999999</v>
      </c>
      <c r="H218" s="2273" t="s">
        <v>11515</v>
      </c>
      <c r="I218" s="339" t="s">
        <v>11501</v>
      </c>
      <c r="J218" s="2399" t="s">
        <v>4306</v>
      </c>
      <c r="K218" s="340">
        <v>45834</v>
      </c>
      <c r="L218" s="339" t="s">
        <v>11502</v>
      </c>
      <c r="M218" s="322" t="s">
        <v>11504</v>
      </c>
      <c r="N218" s="339" t="s">
        <v>11503</v>
      </c>
      <c r="O218" s="332" t="s">
        <v>11505</v>
      </c>
      <c r="P218" s="345"/>
      <c r="Q218" s="6094" t="s">
        <v>9071</v>
      </c>
      <c r="R218" s="322" t="s">
        <v>536</v>
      </c>
      <c r="S218" s="346"/>
      <c r="T218" s="347"/>
      <c r="U218" s="326"/>
      <c r="V218" s="348"/>
      <c r="W218" s="347"/>
      <c r="X218" s="326"/>
      <c r="Y218" s="348"/>
      <c r="Z218" s="347"/>
      <c r="AA218" s="326"/>
      <c r="AB218" s="348"/>
      <c r="AC218" s="820"/>
      <c r="AD218" s="821"/>
      <c r="AE218" s="822"/>
      <c r="AF218" s="820"/>
      <c r="AG218" s="821"/>
      <c r="AH218" s="822"/>
      <c r="AI218" s="482">
        <v>5881</v>
      </c>
      <c r="AJ218" s="326">
        <v>0</v>
      </c>
      <c r="AK218" s="3917">
        <v>0</v>
      </c>
      <c r="AL218" s="349">
        <f t="shared" si="46"/>
        <v>5881</v>
      </c>
      <c r="AM218" s="2002"/>
      <c r="AN218" s="3357"/>
      <c r="AO218" s="695"/>
      <c r="AP218" s="3362" t="str">
        <f t="shared" si="48"/>
        <v>Planning Reg 2023-2024</v>
      </c>
      <c r="AQ218" s="3555">
        <f t="shared" si="48"/>
        <v>1.1576249999999999</v>
      </c>
      <c r="AR218" s="333"/>
      <c r="AS218" s="330"/>
      <c r="AT218" s="330"/>
      <c r="AU218" s="849"/>
      <c r="AV218" s="849"/>
      <c r="AW218" s="3156">
        <f t="shared" si="47"/>
        <v>5881</v>
      </c>
      <c r="AX218" s="3140"/>
    </row>
    <row r="219" spans="1:50" ht="76.5">
      <c r="A219" s="2418" t="s">
        <v>10984</v>
      </c>
      <c r="B219" s="338" t="s">
        <v>10563</v>
      </c>
      <c r="C219" s="321">
        <v>0</v>
      </c>
      <c r="D219" s="323">
        <v>45113</v>
      </c>
      <c r="E219" s="3058" t="s">
        <v>10324</v>
      </c>
      <c r="F219" s="830" t="s">
        <v>11480</v>
      </c>
      <c r="G219" s="5356">
        <v>1.1576249999999999</v>
      </c>
      <c r="H219" s="2273" t="s">
        <v>11516</v>
      </c>
      <c r="I219" s="339" t="s">
        <v>11510</v>
      </c>
      <c r="J219" s="2399" t="s">
        <v>4306</v>
      </c>
      <c r="K219" s="340">
        <v>45808</v>
      </c>
      <c r="L219" s="339" t="s">
        <v>11511</v>
      </c>
      <c r="M219" s="322" t="s">
        <v>11512</v>
      </c>
      <c r="N219" s="339" t="s">
        <v>11513</v>
      </c>
      <c r="O219" s="322" t="s">
        <v>11512</v>
      </c>
      <c r="P219" s="345"/>
      <c r="Q219" s="6094" t="s">
        <v>9071</v>
      </c>
      <c r="R219" s="322" t="s">
        <v>536</v>
      </c>
      <c r="S219" s="346"/>
      <c r="T219" s="347"/>
      <c r="U219" s="326"/>
      <c r="V219" s="348"/>
      <c r="W219" s="347"/>
      <c r="X219" s="326"/>
      <c r="Y219" s="348"/>
      <c r="Z219" s="347"/>
      <c r="AA219" s="326"/>
      <c r="AB219" s="348"/>
      <c r="AC219" s="820"/>
      <c r="AD219" s="821"/>
      <c r="AE219" s="822"/>
      <c r="AF219" s="820"/>
      <c r="AG219" s="821"/>
      <c r="AH219" s="822"/>
      <c r="AI219" s="482">
        <v>6903</v>
      </c>
      <c r="AJ219" s="326">
        <v>0</v>
      </c>
      <c r="AK219" s="3917">
        <v>0</v>
      </c>
      <c r="AL219" s="349">
        <f t="shared" si="46"/>
        <v>6903</v>
      </c>
      <c r="AM219" s="2002"/>
      <c r="AN219" s="3357"/>
      <c r="AO219" s="695"/>
      <c r="AP219" s="3362" t="str">
        <f t="shared" si="48"/>
        <v>Planning Reg 2023-2024</v>
      </c>
      <c r="AQ219" s="3555">
        <f t="shared" si="48"/>
        <v>1.1576249999999999</v>
      </c>
      <c r="AR219" s="333"/>
      <c r="AS219" s="330"/>
      <c r="AT219" s="330"/>
      <c r="AU219" s="849"/>
      <c r="AV219" s="849"/>
      <c r="AW219" s="3156">
        <f t="shared" si="47"/>
        <v>6903</v>
      </c>
      <c r="AX219" s="3140"/>
    </row>
    <row r="220" spans="1:50" ht="51">
      <c r="A220" s="2418" t="s">
        <v>10984</v>
      </c>
      <c r="B220" s="338" t="s">
        <v>10566</v>
      </c>
      <c r="C220" s="321">
        <v>0</v>
      </c>
      <c r="D220" s="323">
        <v>45127</v>
      </c>
      <c r="E220" s="3058" t="s">
        <v>10324</v>
      </c>
      <c r="F220" s="830" t="s">
        <v>11480</v>
      </c>
      <c r="G220" s="5356">
        <v>1.1576249999999999</v>
      </c>
      <c r="H220" s="332" t="s">
        <v>11546</v>
      </c>
      <c r="I220" s="339" t="s">
        <v>1433</v>
      </c>
      <c r="J220" s="322" t="s">
        <v>1434</v>
      </c>
      <c r="K220" s="340">
        <v>47318</v>
      </c>
      <c r="L220" s="339" t="s">
        <v>11547</v>
      </c>
      <c r="M220" s="322" t="s">
        <v>11300</v>
      </c>
      <c r="N220" s="339" t="s">
        <v>11548</v>
      </c>
      <c r="O220" s="332" t="s">
        <v>11549</v>
      </c>
      <c r="P220" s="345"/>
      <c r="Q220" s="6094" t="s">
        <v>9071</v>
      </c>
      <c r="R220" s="322" t="s">
        <v>11550</v>
      </c>
      <c r="S220" s="346"/>
      <c r="T220" s="347"/>
      <c r="U220" s="326"/>
      <c r="V220" s="348"/>
      <c r="W220" s="347"/>
      <c r="X220" s="326"/>
      <c r="Y220" s="348"/>
      <c r="Z220" s="347"/>
      <c r="AA220" s="326"/>
      <c r="AB220" s="348"/>
      <c r="AC220" s="820"/>
      <c r="AD220" s="821"/>
      <c r="AE220" s="822"/>
      <c r="AF220" s="820"/>
      <c r="AG220" s="821"/>
      <c r="AH220" s="822"/>
      <c r="AI220" s="482">
        <v>5881</v>
      </c>
      <c r="AJ220" s="326">
        <v>0</v>
      </c>
      <c r="AK220" s="3917">
        <v>0</v>
      </c>
      <c r="AL220" s="349">
        <f t="shared" si="46"/>
        <v>5881</v>
      </c>
      <c r="AM220" s="2002"/>
      <c r="AN220" s="3357"/>
      <c r="AO220" s="695"/>
      <c r="AP220" s="3362" t="str">
        <f t="shared" si="48"/>
        <v>Planning Reg 2023-2024</v>
      </c>
      <c r="AQ220" s="3555">
        <f t="shared" si="48"/>
        <v>1.1576249999999999</v>
      </c>
      <c r="AR220" s="333"/>
      <c r="AS220" s="330"/>
      <c r="AT220" s="330"/>
      <c r="AU220" s="849"/>
      <c r="AV220" s="849"/>
      <c r="AW220" s="3156">
        <f t="shared" si="47"/>
        <v>5881</v>
      </c>
      <c r="AX220" s="3140"/>
    </row>
    <row r="221" spans="1:50" ht="76.5">
      <c r="A221" s="2418" t="s">
        <v>10984</v>
      </c>
      <c r="B221" s="338" t="s">
        <v>10567</v>
      </c>
      <c r="C221" s="321">
        <v>0</v>
      </c>
      <c r="D221" s="323">
        <v>45131</v>
      </c>
      <c r="E221" s="3058" t="s">
        <v>10324</v>
      </c>
      <c r="F221" s="830" t="s">
        <v>11480</v>
      </c>
      <c r="G221" s="5356">
        <v>1.1576249999999999</v>
      </c>
      <c r="H221" s="2273" t="s">
        <v>11557</v>
      </c>
      <c r="I221" s="339" t="s">
        <v>11552</v>
      </c>
      <c r="J221" s="2399" t="s">
        <v>4306</v>
      </c>
      <c r="K221" s="340">
        <v>45118</v>
      </c>
      <c r="L221" s="339" t="s">
        <v>11553</v>
      </c>
      <c r="M221" s="322" t="s">
        <v>11554</v>
      </c>
      <c r="N221" s="339" t="s">
        <v>11556</v>
      </c>
      <c r="O221" s="332" t="s">
        <v>11555</v>
      </c>
      <c r="P221" s="345"/>
      <c r="Q221" s="6094" t="s">
        <v>9071</v>
      </c>
      <c r="R221" s="322" t="s">
        <v>536</v>
      </c>
      <c r="S221" s="346"/>
      <c r="T221" s="347"/>
      <c r="U221" s="326"/>
      <c r="V221" s="348"/>
      <c r="W221" s="347"/>
      <c r="X221" s="326"/>
      <c r="Y221" s="348"/>
      <c r="Z221" s="347"/>
      <c r="AA221" s="326"/>
      <c r="AB221" s="348"/>
      <c r="AC221" s="820"/>
      <c r="AD221" s="821"/>
      <c r="AE221" s="822"/>
      <c r="AF221" s="820"/>
      <c r="AG221" s="821"/>
      <c r="AH221" s="822"/>
      <c r="AI221" s="482">
        <v>6903</v>
      </c>
      <c r="AJ221" s="326">
        <v>0</v>
      </c>
      <c r="AK221" s="3917">
        <v>0</v>
      </c>
      <c r="AL221" s="349">
        <f t="shared" si="46"/>
        <v>6903</v>
      </c>
      <c r="AM221" s="2002"/>
      <c r="AN221" s="3357"/>
      <c r="AO221" s="695"/>
      <c r="AP221" s="3362" t="str">
        <f t="shared" si="48"/>
        <v>Planning Reg 2023-2024</v>
      </c>
      <c r="AQ221" s="3555">
        <f t="shared" si="48"/>
        <v>1.1576249999999999</v>
      </c>
      <c r="AR221" s="333"/>
      <c r="AS221" s="330"/>
      <c r="AT221" s="330"/>
      <c r="AU221" s="849"/>
      <c r="AV221" s="849"/>
      <c r="AW221" s="3156">
        <f t="shared" si="47"/>
        <v>6903</v>
      </c>
      <c r="AX221" s="3140"/>
    </row>
    <row r="222" spans="1:50" ht="76.5">
      <c r="A222" s="2418" t="s">
        <v>10984</v>
      </c>
      <c r="B222" s="338" t="s">
        <v>10568</v>
      </c>
      <c r="C222" s="321">
        <v>0</v>
      </c>
      <c r="D222" s="323">
        <v>45131</v>
      </c>
      <c r="E222" s="3058" t="s">
        <v>10324</v>
      </c>
      <c r="F222" s="830" t="s">
        <v>11480</v>
      </c>
      <c r="G222" s="5356">
        <v>1.1576249999999999</v>
      </c>
      <c r="H222" s="2273" t="s">
        <v>11559</v>
      </c>
      <c r="I222" s="339" t="s">
        <v>11560</v>
      </c>
      <c r="J222" s="2399" t="s">
        <v>4306</v>
      </c>
      <c r="K222" s="340">
        <v>45119</v>
      </c>
      <c r="L222" s="339" t="s">
        <v>9084</v>
      </c>
      <c r="M222" s="322" t="s">
        <v>11561</v>
      </c>
      <c r="N222" s="339" t="s">
        <v>11563</v>
      </c>
      <c r="O222" s="332" t="s">
        <v>11562</v>
      </c>
      <c r="P222" s="345"/>
      <c r="Q222" s="6094" t="s">
        <v>9071</v>
      </c>
      <c r="R222" s="322" t="s">
        <v>536</v>
      </c>
      <c r="S222" s="346"/>
      <c r="T222" s="347"/>
      <c r="U222" s="326"/>
      <c r="V222" s="348"/>
      <c r="W222" s="347"/>
      <c r="X222" s="326"/>
      <c r="Y222" s="348"/>
      <c r="Z222" s="347"/>
      <c r="AA222" s="326"/>
      <c r="AB222" s="348"/>
      <c r="AC222" s="820"/>
      <c r="AD222" s="821"/>
      <c r="AE222" s="822"/>
      <c r="AF222" s="820"/>
      <c r="AG222" s="821"/>
      <c r="AH222" s="822"/>
      <c r="AI222" s="482">
        <v>6903</v>
      </c>
      <c r="AJ222" s="326">
        <v>0</v>
      </c>
      <c r="AK222" s="3917">
        <v>0</v>
      </c>
      <c r="AL222" s="349">
        <f t="shared" si="46"/>
        <v>6903</v>
      </c>
      <c r="AM222" s="2002"/>
      <c r="AN222" s="3357"/>
      <c r="AO222" s="695"/>
      <c r="AP222" s="3362" t="str">
        <f t="shared" si="48"/>
        <v>Planning Reg 2023-2024</v>
      </c>
      <c r="AQ222" s="3555">
        <f t="shared" si="48"/>
        <v>1.1576249999999999</v>
      </c>
      <c r="AR222" s="333"/>
      <c r="AS222" s="330"/>
      <c r="AT222" s="330"/>
      <c r="AU222" s="849"/>
      <c r="AV222" s="849"/>
      <c r="AW222" s="3156">
        <f t="shared" si="47"/>
        <v>6903</v>
      </c>
      <c r="AX222" s="3140"/>
    </row>
    <row r="223" spans="1:50" ht="63.75">
      <c r="A223" s="6191" t="s">
        <v>10984</v>
      </c>
      <c r="B223" s="5796" t="s">
        <v>10569</v>
      </c>
      <c r="C223" s="5797">
        <v>0</v>
      </c>
      <c r="D223" s="5798">
        <v>45132</v>
      </c>
      <c r="E223" s="5799" t="s">
        <v>10324</v>
      </c>
      <c r="F223" s="5800" t="s">
        <v>11480</v>
      </c>
      <c r="G223" s="5801">
        <v>1.1576249999999999</v>
      </c>
      <c r="H223" s="5802" t="s">
        <v>11564</v>
      </c>
      <c r="I223" s="5803" t="s">
        <v>1433</v>
      </c>
      <c r="J223" s="5804" t="s">
        <v>1434</v>
      </c>
      <c r="K223" s="5805" t="s">
        <v>11565</v>
      </c>
      <c r="L223" s="5803" t="s">
        <v>11566</v>
      </c>
      <c r="M223" s="5804" t="s">
        <v>11567</v>
      </c>
      <c r="N223" s="5803" t="s">
        <v>4238</v>
      </c>
      <c r="O223" s="5802" t="s">
        <v>11568</v>
      </c>
      <c r="P223" s="5806"/>
      <c r="Q223" s="5804" t="s">
        <v>11570</v>
      </c>
      <c r="R223" s="5804" t="s">
        <v>11569</v>
      </c>
      <c r="S223" s="5807" t="s">
        <v>3476</v>
      </c>
      <c r="T223" s="5808"/>
      <c r="U223" s="5809"/>
      <c r="V223" s="5810"/>
      <c r="W223" s="5808"/>
      <c r="X223" s="5809"/>
      <c r="Y223" s="5810"/>
      <c r="Z223" s="5808"/>
      <c r="AA223" s="5809"/>
      <c r="AB223" s="5810"/>
      <c r="AC223" s="5808"/>
      <c r="AD223" s="5809"/>
      <c r="AE223" s="5810"/>
      <c r="AF223" s="5808"/>
      <c r="AG223" s="5809"/>
      <c r="AH223" s="5810"/>
      <c r="AI223" s="5811">
        <f>2709-784</f>
        <v>1925</v>
      </c>
      <c r="AJ223" s="5809">
        <v>1925</v>
      </c>
      <c r="AK223" s="5812">
        <v>0</v>
      </c>
      <c r="AL223" s="5813">
        <f t="shared" si="46"/>
        <v>0</v>
      </c>
      <c r="AM223" s="5814"/>
      <c r="AN223" s="5815"/>
      <c r="AO223" s="5816"/>
      <c r="AP223" s="5817" t="str">
        <f t="shared" si="48"/>
        <v>Planning Reg 2023-2024</v>
      </c>
      <c r="AQ223" s="5818">
        <f t="shared" si="48"/>
        <v>1.1576249999999999</v>
      </c>
      <c r="AR223" s="5819"/>
      <c r="AS223" s="5820"/>
      <c r="AT223" s="5820"/>
      <c r="AU223" s="5820"/>
      <c r="AV223" s="5820"/>
      <c r="AW223" s="5821">
        <f t="shared" si="47"/>
        <v>0</v>
      </c>
      <c r="AX223" s="3140"/>
    </row>
    <row r="224" spans="1:50" ht="51">
      <c r="A224" s="6191" t="s">
        <v>10984</v>
      </c>
      <c r="B224" s="5796" t="s">
        <v>11578</v>
      </c>
      <c r="C224" s="5797">
        <v>0</v>
      </c>
      <c r="D224" s="5798">
        <v>45134</v>
      </c>
      <c r="E224" s="5799" t="s">
        <v>10324</v>
      </c>
      <c r="F224" s="5800" t="s">
        <v>11480</v>
      </c>
      <c r="G224" s="5801">
        <v>1.1576249999999999</v>
      </c>
      <c r="H224" s="5802" t="s">
        <v>11571</v>
      </c>
      <c r="I224" s="5803" t="s">
        <v>1433</v>
      </c>
      <c r="J224" s="5804" t="s">
        <v>1434</v>
      </c>
      <c r="K224" s="5805" t="s">
        <v>11565</v>
      </c>
      <c r="L224" s="5803" t="s">
        <v>11572</v>
      </c>
      <c r="M224" s="5804" t="s">
        <v>11573</v>
      </c>
      <c r="N224" s="5803" t="s">
        <v>11574</v>
      </c>
      <c r="O224" s="5802" t="s">
        <v>11575</v>
      </c>
      <c r="P224" s="5806"/>
      <c r="Q224" s="5804" t="s">
        <v>11576</v>
      </c>
      <c r="R224" s="5804" t="s">
        <v>11577</v>
      </c>
      <c r="S224" s="5807" t="s">
        <v>3476</v>
      </c>
      <c r="T224" s="5808"/>
      <c r="U224" s="5809"/>
      <c r="V224" s="5810"/>
      <c r="W224" s="5808"/>
      <c r="X224" s="5809"/>
      <c r="Y224" s="5810"/>
      <c r="Z224" s="5808"/>
      <c r="AA224" s="5809"/>
      <c r="AB224" s="5810"/>
      <c r="AC224" s="5808"/>
      <c r="AD224" s="5809"/>
      <c r="AE224" s="5810"/>
      <c r="AF224" s="5808"/>
      <c r="AG224" s="5809"/>
      <c r="AH224" s="5810"/>
      <c r="AI224" s="5811">
        <v>228397</v>
      </c>
      <c r="AJ224" s="5809">
        <v>228397</v>
      </c>
      <c r="AK224" s="5812">
        <v>0</v>
      </c>
      <c r="AL224" s="5813">
        <f t="shared" si="46"/>
        <v>0</v>
      </c>
      <c r="AM224" s="5814"/>
      <c r="AN224" s="5815"/>
      <c r="AO224" s="5816"/>
      <c r="AP224" s="5817" t="str">
        <f t="shared" ref="AP224:AQ243" si="49">AP$2</f>
        <v>Planning Reg 2023-2024</v>
      </c>
      <c r="AQ224" s="5818">
        <f t="shared" si="49"/>
        <v>1.1576249999999999</v>
      </c>
      <c r="AR224" s="5819"/>
      <c r="AS224" s="5820"/>
      <c r="AT224" s="5820"/>
      <c r="AU224" s="5820"/>
      <c r="AV224" s="5820"/>
      <c r="AW224" s="5821">
        <f t="shared" si="47"/>
        <v>0</v>
      </c>
      <c r="AX224" s="3140"/>
    </row>
    <row r="225" spans="1:50" ht="153">
      <c r="A225" s="2418" t="s">
        <v>10984</v>
      </c>
      <c r="B225" s="338" t="s">
        <v>12440</v>
      </c>
      <c r="C225" s="321">
        <v>0</v>
      </c>
      <c r="D225" s="323">
        <v>45134</v>
      </c>
      <c r="E225" s="3058" t="s">
        <v>10324</v>
      </c>
      <c r="F225" s="830" t="s">
        <v>11480</v>
      </c>
      <c r="G225" s="5356">
        <v>1.1576249999999999</v>
      </c>
      <c r="H225" s="332" t="s">
        <v>11579</v>
      </c>
      <c r="I225" s="339" t="s">
        <v>1433</v>
      </c>
      <c r="J225" s="322" t="s">
        <v>1434</v>
      </c>
      <c r="K225" s="340">
        <v>47326</v>
      </c>
      <c r="L225" s="339" t="s">
        <v>11582</v>
      </c>
      <c r="M225" s="322" t="s">
        <v>11300</v>
      </c>
      <c r="N225" s="339" t="s">
        <v>11581</v>
      </c>
      <c r="O225" s="332" t="s">
        <v>11580</v>
      </c>
      <c r="P225" s="345"/>
      <c r="Q225" s="322" t="s">
        <v>11583</v>
      </c>
      <c r="R225" s="322" t="s">
        <v>11584</v>
      </c>
      <c r="S225" s="346"/>
      <c r="T225" s="347"/>
      <c r="U225" s="326"/>
      <c r="V225" s="348"/>
      <c r="W225" s="347"/>
      <c r="X225" s="326"/>
      <c r="Y225" s="348"/>
      <c r="Z225" s="347"/>
      <c r="AA225" s="326"/>
      <c r="AB225" s="348"/>
      <c r="AC225" s="820"/>
      <c r="AD225" s="821"/>
      <c r="AE225" s="822"/>
      <c r="AF225" s="820"/>
      <c r="AG225" s="821"/>
      <c r="AH225" s="822"/>
      <c r="AI225" s="482">
        <v>0</v>
      </c>
      <c r="AJ225" s="326">
        <v>0</v>
      </c>
      <c r="AK225" s="3917">
        <v>0</v>
      </c>
      <c r="AL225" s="349">
        <f t="shared" si="46"/>
        <v>0</v>
      </c>
      <c r="AM225" s="2002"/>
      <c r="AN225" s="3357"/>
      <c r="AO225" s="695"/>
      <c r="AP225" s="3362" t="str">
        <f t="shared" si="49"/>
        <v>Planning Reg 2023-2024</v>
      </c>
      <c r="AQ225" s="3555">
        <f t="shared" si="49"/>
        <v>1.1576249999999999</v>
      </c>
      <c r="AR225" s="333"/>
      <c r="AS225" s="330"/>
      <c r="AT225" s="330"/>
      <c r="AU225" s="849"/>
      <c r="AV225" s="849"/>
      <c r="AW225" s="3156">
        <f t="shared" si="47"/>
        <v>0</v>
      </c>
      <c r="AX225" s="3140"/>
    </row>
    <row r="226" spans="1:50" ht="51">
      <c r="A226" s="2418" t="s">
        <v>10984</v>
      </c>
      <c r="B226" s="338" t="s">
        <v>11328</v>
      </c>
      <c r="C226" s="321">
        <v>0</v>
      </c>
      <c r="D226" s="323">
        <v>45135</v>
      </c>
      <c r="E226" s="3058" t="s">
        <v>10324</v>
      </c>
      <c r="F226" s="830" t="s">
        <v>11480</v>
      </c>
      <c r="G226" s="5356">
        <v>1.1576249999999999</v>
      </c>
      <c r="H226" s="332" t="s">
        <v>11585</v>
      </c>
      <c r="I226" s="339" t="s">
        <v>1433</v>
      </c>
      <c r="J226" s="322" t="s">
        <v>1434</v>
      </c>
      <c r="K226" s="340">
        <v>47320</v>
      </c>
      <c r="L226" s="339" t="s">
        <v>11586</v>
      </c>
      <c r="M226" s="322" t="s">
        <v>11300</v>
      </c>
      <c r="N226" s="339" t="s">
        <v>11587</v>
      </c>
      <c r="O226" s="332" t="s">
        <v>11588</v>
      </c>
      <c r="P226" s="345"/>
      <c r="Q226" s="322" t="s">
        <v>11589</v>
      </c>
      <c r="R226" s="322" t="s">
        <v>581</v>
      </c>
      <c r="S226" s="346"/>
      <c r="T226" s="347"/>
      <c r="U226" s="326"/>
      <c r="V226" s="348"/>
      <c r="W226" s="347"/>
      <c r="X226" s="326"/>
      <c r="Y226" s="348"/>
      <c r="Z226" s="347"/>
      <c r="AA226" s="326"/>
      <c r="AB226" s="348"/>
      <c r="AC226" s="820"/>
      <c r="AD226" s="821"/>
      <c r="AE226" s="822"/>
      <c r="AF226" s="820"/>
      <c r="AG226" s="821"/>
      <c r="AH226" s="822"/>
      <c r="AI226" s="482">
        <v>27783</v>
      </c>
      <c r="AJ226" s="326">
        <v>0</v>
      </c>
      <c r="AK226" s="3917">
        <v>0</v>
      </c>
      <c r="AL226" s="349">
        <f t="shared" si="46"/>
        <v>27783</v>
      </c>
      <c r="AM226" s="2002"/>
      <c r="AN226" s="3357"/>
      <c r="AO226" s="695"/>
      <c r="AP226" s="3362" t="str">
        <f t="shared" si="49"/>
        <v>Planning Reg 2023-2024</v>
      </c>
      <c r="AQ226" s="3555">
        <f t="shared" si="49"/>
        <v>1.1576249999999999</v>
      </c>
      <c r="AR226" s="333"/>
      <c r="AS226" s="330"/>
      <c r="AT226" s="330"/>
      <c r="AU226" s="849"/>
      <c r="AV226" s="849"/>
      <c r="AW226" s="3156">
        <f t="shared" si="47"/>
        <v>27783</v>
      </c>
      <c r="AX226" s="3140"/>
    </row>
    <row r="227" spans="1:50" ht="51">
      <c r="A227" s="2418" t="s">
        <v>10984</v>
      </c>
      <c r="B227" s="338" t="s">
        <v>11329</v>
      </c>
      <c r="C227" s="321">
        <v>0</v>
      </c>
      <c r="D227" s="323">
        <v>45138</v>
      </c>
      <c r="E227" s="3058" t="s">
        <v>10324</v>
      </c>
      <c r="F227" s="830" t="s">
        <v>11480</v>
      </c>
      <c r="G227" s="5356">
        <v>1.1576249999999999</v>
      </c>
      <c r="H227" s="332" t="s">
        <v>11604</v>
      </c>
      <c r="I227" s="339" t="s">
        <v>5753</v>
      </c>
      <c r="J227" s="322" t="s">
        <v>2712</v>
      </c>
      <c r="K227" s="340">
        <v>46592</v>
      </c>
      <c r="L227" s="339" t="s">
        <v>11603</v>
      </c>
      <c r="M227" s="322" t="s">
        <v>9660</v>
      </c>
      <c r="N227" s="339" t="s">
        <v>11606</v>
      </c>
      <c r="O227" s="332" t="s">
        <v>11605</v>
      </c>
      <c r="P227" s="345"/>
      <c r="Q227" s="322" t="s">
        <v>4127</v>
      </c>
      <c r="R227" s="322" t="s">
        <v>11607</v>
      </c>
      <c r="S227" s="346"/>
      <c r="T227" s="347"/>
      <c r="U227" s="326"/>
      <c r="V227" s="348"/>
      <c r="W227" s="347"/>
      <c r="X227" s="326"/>
      <c r="Y227" s="348"/>
      <c r="Z227" s="347"/>
      <c r="AA227" s="326"/>
      <c r="AB227" s="348"/>
      <c r="AC227" s="820"/>
      <c r="AD227" s="821"/>
      <c r="AE227" s="822"/>
      <c r="AF227" s="820"/>
      <c r="AG227" s="821"/>
      <c r="AH227" s="822"/>
      <c r="AI227" s="482">
        <v>16570</v>
      </c>
      <c r="AJ227" s="326">
        <v>0</v>
      </c>
      <c r="AK227" s="3917">
        <v>0</v>
      </c>
      <c r="AL227" s="349">
        <f t="shared" si="46"/>
        <v>16570</v>
      </c>
      <c r="AM227" s="2002"/>
      <c r="AN227" s="3357"/>
      <c r="AO227" s="695"/>
      <c r="AP227" s="3362" t="str">
        <f t="shared" si="49"/>
        <v>Planning Reg 2023-2024</v>
      </c>
      <c r="AQ227" s="3555">
        <f t="shared" si="49"/>
        <v>1.1576249999999999</v>
      </c>
      <c r="AR227" s="333"/>
      <c r="AS227" s="330"/>
      <c r="AT227" s="330"/>
      <c r="AU227" s="849"/>
      <c r="AV227" s="849"/>
      <c r="AW227" s="3156">
        <f t="shared" si="47"/>
        <v>16570</v>
      </c>
      <c r="AX227" s="3140"/>
    </row>
    <row r="228" spans="1:50" ht="76.5">
      <c r="A228" s="2418" t="s">
        <v>10984</v>
      </c>
      <c r="B228" s="338" t="s">
        <v>11330</v>
      </c>
      <c r="C228" s="321">
        <v>0</v>
      </c>
      <c r="D228" s="323" t="s">
        <v>11608</v>
      </c>
      <c r="E228" s="3058" t="s">
        <v>10324</v>
      </c>
      <c r="F228" s="830" t="s">
        <v>11480</v>
      </c>
      <c r="G228" s="5356">
        <v>1.1576249999999999</v>
      </c>
      <c r="H228" s="332" t="s">
        <v>11609</v>
      </c>
      <c r="I228" s="339" t="s">
        <v>9560</v>
      </c>
      <c r="J228" s="2399" t="s">
        <v>4306</v>
      </c>
      <c r="K228" s="340">
        <v>45869</v>
      </c>
      <c r="L228" s="339" t="s">
        <v>11610</v>
      </c>
      <c r="M228" s="322" t="s">
        <v>9660</v>
      </c>
      <c r="N228" s="339" t="s">
        <v>11611</v>
      </c>
      <c r="O228" s="332" t="s">
        <v>11612</v>
      </c>
      <c r="P228" s="345"/>
      <c r="Q228" s="6094" t="s">
        <v>9071</v>
      </c>
      <c r="R228" s="322" t="s">
        <v>536</v>
      </c>
      <c r="S228" s="346"/>
      <c r="T228" s="347"/>
      <c r="U228" s="326"/>
      <c r="V228" s="348"/>
      <c r="W228" s="347"/>
      <c r="X228" s="326"/>
      <c r="Y228" s="348"/>
      <c r="Z228" s="347"/>
      <c r="AA228" s="326"/>
      <c r="AB228" s="348"/>
      <c r="AC228" s="820"/>
      <c r="AD228" s="821"/>
      <c r="AE228" s="822"/>
      <c r="AF228" s="820"/>
      <c r="AG228" s="821"/>
      <c r="AH228" s="822"/>
      <c r="AI228" s="482">
        <v>5881</v>
      </c>
      <c r="AJ228" s="326">
        <v>0</v>
      </c>
      <c r="AK228" s="3917">
        <v>0</v>
      </c>
      <c r="AL228" s="349">
        <f t="shared" si="46"/>
        <v>5881</v>
      </c>
      <c r="AM228" s="2002"/>
      <c r="AN228" s="3357"/>
      <c r="AO228" s="695"/>
      <c r="AP228" s="3362" t="str">
        <f t="shared" si="49"/>
        <v>Planning Reg 2023-2024</v>
      </c>
      <c r="AQ228" s="3555">
        <f t="shared" si="49"/>
        <v>1.1576249999999999</v>
      </c>
      <c r="AR228" s="333"/>
      <c r="AS228" s="330"/>
      <c r="AT228" s="330"/>
      <c r="AU228" s="849"/>
      <c r="AV228" s="849"/>
      <c r="AW228" s="3156">
        <f t="shared" si="47"/>
        <v>5881</v>
      </c>
      <c r="AX228" s="3140"/>
    </row>
    <row r="229" spans="1:50" ht="76.5">
      <c r="A229" s="2418" t="s">
        <v>10984</v>
      </c>
      <c r="B229" s="338" t="s">
        <v>11332</v>
      </c>
      <c r="C229" s="321">
        <v>0</v>
      </c>
      <c r="D229" s="323">
        <v>45148</v>
      </c>
      <c r="E229" s="3058" t="s">
        <v>10324</v>
      </c>
      <c r="F229" s="830" t="s">
        <v>11480</v>
      </c>
      <c r="G229" s="5356">
        <v>1.1576249999999999</v>
      </c>
      <c r="H229" s="2273" t="s">
        <v>11684</v>
      </c>
      <c r="I229" s="339" t="s">
        <v>11685</v>
      </c>
      <c r="J229" s="2399" t="s">
        <v>4306</v>
      </c>
      <c r="K229" s="340">
        <v>45879</v>
      </c>
      <c r="L229" s="339" t="s">
        <v>11628</v>
      </c>
      <c r="M229" s="322" t="s">
        <v>11631</v>
      </c>
      <c r="N229" s="339" t="s">
        <v>11629</v>
      </c>
      <c r="O229" s="322" t="s">
        <v>11632</v>
      </c>
      <c r="P229" s="345"/>
      <c r="Q229" s="6094" t="s">
        <v>11630</v>
      </c>
      <c r="R229" s="322" t="s">
        <v>11550</v>
      </c>
      <c r="S229" s="346"/>
      <c r="T229" s="347"/>
      <c r="U229" s="326"/>
      <c r="V229" s="348"/>
      <c r="W229" s="347"/>
      <c r="X229" s="326"/>
      <c r="Y229" s="348"/>
      <c r="Z229" s="347"/>
      <c r="AA229" s="326"/>
      <c r="AB229" s="348"/>
      <c r="AC229" s="820"/>
      <c r="AD229" s="821"/>
      <c r="AE229" s="822"/>
      <c r="AF229" s="820"/>
      <c r="AG229" s="821"/>
      <c r="AH229" s="822"/>
      <c r="AI229" s="482">
        <v>1201</v>
      </c>
      <c r="AJ229" s="326">
        <v>0</v>
      </c>
      <c r="AK229" s="3917">
        <v>0</v>
      </c>
      <c r="AL229" s="349">
        <f t="shared" si="46"/>
        <v>1201</v>
      </c>
      <c r="AM229" s="2002"/>
      <c r="AN229" s="3357"/>
      <c r="AO229" s="695"/>
      <c r="AP229" s="3362" t="str">
        <f t="shared" si="49"/>
        <v>Planning Reg 2023-2024</v>
      </c>
      <c r="AQ229" s="3555">
        <f t="shared" si="49"/>
        <v>1.1576249999999999</v>
      </c>
      <c r="AR229" s="333"/>
      <c r="AS229" s="330"/>
      <c r="AT229" s="330"/>
      <c r="AU229" s="849"/>
      <c r="AV229" s="849"/>
      <c r="AW229" s="3156">
        <f t="shared" si="47"/>
        <v>1201</v>
      </c>
      <c r="AX229" s="3140"/>
    </row>
    <row r="230" spans="1:50" ht="51">
      <c r="A230" s="2418" t="s">
        <v>10984</v>
      </c>
      <c r="B230" s="338" t="s">
        <v>11333</v>
      </c>
      <c r="C230" s="321">
        <v>0</v>
      </c>
      <c r="D230" s="323">
        <v>45154</v>
      </c>
      <c r="E230" s="3058" t="s">
        <v>10324</v>
      </c>
      <c r="F230" s="830" t="s">
        <v>11480</v>
      </c>
      <c r="G230" s="5356">
        <v>1.1576249999999999</v>
      </c>
      <c r="H230" s="332" t="s">
        <v>11639</v>
      </c>
      <c r="I230" s="339" t="s">
        <v>1433</v>
      </c>
      <c r="J230" s="322" t="s">
        <v>1434</v>
      </c>
      <c r="K230" s="340">
        <v>47344</v>
      </c>
      <c r="L230" s="339" t="s">
        <v>11640</v>
      </c>
      <c r="M230" s="322" t="s">
        <v>5461</v>
      </c>
      <c r="N230" s="339" t="s">
        <v>11642</v>
      </c>
      <c r="O230" s="332" t="s">
        <v>11641</v>
      </c>
      <c r="P230" s="345"/>
      <c r="Q230" s="322" t="s">
        <v>11643</v>
      </c>
      <c r="R230" s="322" t="s">
        <v>11550</v>
      </c>
      <c r="S230" s="346"/>
      <c r="T230" s="347"/>
      <c r="U230" s="326"/>
      <c r="V230" s="348"/>
      <c r="W230" s="347"/>
      <c r="X230" s="326"/>
      <c r="Y230" s="348"/>
      <c r="Z230" s="347"/>
      <c r="AA230" s="326"/>
      <c r="AB230" s="348"/>
      <c r="AC230" s="820"/>
      <c r="AD230" s="821"/>
      <c r="AE230" s="822"/>
      <c r="AF230" s="820"/>
      <c r="AG230" s="821"/>
      <c r="AH230" s="822"/>
      <c r="AI230" s="482">
        <v>38896</v>
      </c>
      <c r="AJ230" s="326">
        <v>0</v>
      </c>
      <c r="AK230" s="3917">
        <v>0</v>
      </c>
      <c r="AL230" s="349">
        <f t="shared" si="46"/>
        <v>38896</v>
      </c>
      <c r="AM230" s="2002"/>
      <c r="AN230" s="3357"/>
      <c r="AO230" s="695"/>
      <c r="AP230" s="3362" t="str">
        <f t="shared" si="49"/>
        <v>Planning Reg 2023-2024</v>
      </c>
      <c r="AQ230" s="3555">
        <f t="shared" si="49"/>
        <v>1.1576249999999999</v>
      </c>
      <c r="AR230" s="333"/>
      <c r="AS230" s="330"/>
      <c r="AT230" s="330"/>
      <c r="AU230" s="849"/>
      <c r="AV230" s="849"/>
      <c r="AW230" s="3156">
        <f t="shared" si="47"/>
        <v>38896</v>
      </c>
      <c r="AX230" s="3140"/>
    </row>
    <row r="231" spans="1:50" ht="51">
      <c r="A231" s="2418" t="s">
        <v>10984</v>
      </c>
      <c r="B231" s="338" t="s">
        <v>11334</v>
      </c>
      <c r="C231" s="321">
        <v>0</v>
      </c>
      <c r="D231" s="323">
        <v>45160</v>
      </c>
      <c r="E231" s="3058" t="s">
        <v>10324</v>
      </c>
      <c r="F231" s="830" t="s">
        <v>11480</v>
      </c>
      <c r="G231" s="5356">
        <v>1.1576249999999999</v>
      </c>
      <c r="H231" s="332" t="s">
        <v>11644</v>
      </c>
      <c r="I231" s="339" t="s">
        <v>1433</v>
      </c>
      <c r="J231" s="322" t="s">
        <v>1434</v>
      </c>
      <c r="K231" s="340">
        <v>47352</v>
      </c>
      <c r="L231" s="339" t="s">
        <v>11645</v>
      </c>
      <c r="M231" s="322" t="s">
        <v>11300</v>
      </c>
      <c r="N231" s="339" t="s">
        <v>11646</v>
      </c>
      <c r="O231" s="332" t="s">
        <v>11647</v>
      </c>
      <c r="P231" s="345"/>
      <c r="Q231" s="322" t="s">
        <v>11648</v>
      </c>
      <c r="R231" s="322" t="s">
        <v>11649</v>
      </c>
      <c r="S231" s="346" t="s">
        <v>11650</v>
      </c>
      <c r="T231" s="347"/>
      <c r="U231" s="326"/>
      <c r="V231" s="348"/>
      <c r="W231" s="347"/>
      <c r="X231" s="326"/>
      <c r="Y231" s="348"/>
      <c r="Z231" s="347"/>
      <c r="AA231" s="326"/>
      <c r="AB231" s="348"/>
      <c r="AC231" s="820"/>
      <c r="AD231" s="821"/>
      <c r="AE231" s="822"/>
      <c r="AF231" s="820"/>
      <c r="AG231" s="821"/>
      <c r="AH231" s="822"/>
      <c r="AI231" s="482">
        <v>20569</v>
      </c>
      <c r="AJ231" s="326">
        <v>0</v>
      </c>
      <c r="AK231" s="3917">
        <v>4518</v>
      </c>
      <c r="AL231" s="349">
        <f t="shared" si="46"/>
        <v>16051</v>
      </c>
      <c r="AM231" s="2002"/>
      <c r="AN231" s="3357"/>
      <c r="AO231" s="695"/>
      <c r="AP231" s="3362" t="str">
        <f t="shared" si="49"/>
        <v>Planning Reg 2023-2024</v>
      </c>
      <c r="AQ231" s="3555">
        <f t="shared" si="49"/>
        <v>1.1576249999999999</v>
      </c>
      <c r="AR231" s="333"/>
      <c r="AS231" s="330"/>
      <c r="AT231" s="330"/>
      <c r="AU231" s="849"/>
      <c r="AV231" s="849"/>
      <c r="AW231" s="3156">
        <f t="shared" si="47"/>
        <v>16051</v>
      </c>
      <c r="AX231" s="3140"/>
    </row>
    <row r="232" spans="1:50" ht="76.5">
      <c r="A232" s="2418" t="s">
        <v>10984</v>
      </c>
      <c r="B232" s="338" t="s">
        <v>11337</v>
      </c>
      <c r="C232" s="321">
        <v>0</v>
      </c>
      <c r="D232" s="323">
        <v>45169</v>
      </c>
      <c r="E232" s="3058" t="s">
        <v>10324</v>
      </c>
      <c r="F232" s="830" t="s">
        <v>11480</v>
      </c>
      <c r="G232" s="5356">
        <v>1.1576249999999999</v>
      </c>
      <c r="H232" s="2273" t="s">
        <v>11674</v>
      </c>
      <c r="I232" s="339" t="s">
        <v>11676</v>
      </c>
      <c r="J232" s="2399" t="s">
        <v>4306</v>
      </c>
      <c r="K232" s="340">
        <v>45900</v>
      </c>
      <c r="L232" s="339" t="s">
        <v>11677</v>
      </c>
      <c r="M232" s="322" t="s">
        <v>11678</v>
      </c>
      <c r="N232" s="339" t="s">
        <v>11679</v>
      </c>
      <c r="O232" s="332" t="s">
        <v>11680</v>
      </c>
      <c r="P232" s="345"/>
      <c r="Q232" s="6094" t="s">
        <v>9071</v>
      </c>
      <c r="R232" s="322" t="s">
        <v>536</v>
      </c>
      <c r="S232" s="346"/>
      <c r="T232" s="347"/>
      <c r="U232" s="326"/>
      <c r="V232" s="348"/>
      <c r="W232" s="347"/>
      <c r="X232" s="326"/>
      <c r="Y232" s="348"/>
      <c r="Z232" s="347"/>
      <c r="AA232" s="326"/>
      <c r="AB232" s="348"/>
      <c r="AC232" s="820"/>
      <c r="AD232" s="821"/>
      <c r="AE232" s="822"/>
      <c r="AF232" s="820"/>
      <c r="AG232" s="821"/>
      <c r="AH232" s="822"/>
      <c r="AI232" s="482">
        <v>6903</v>
      </c>
      <c r="AJ232" s="326">
        <v>0</v>
      </c>
      <c r="AK232" s="3917">
        <v>0</v>
      </c>
      <c r="AL232" s="349">
        <f t="shared" si="46"/>
        <v>6903</v>
      </c>
      <c r="AM232" s="2002"/>
      <c r="AN232" s="3357"/>
      <c r="AO232" s="695"/>
      <c r="AP232" s="3362" t="str">
        <f t="shared" si="49"/>
        <v>Planning Reg 2023-2024</v>
      </c>
      <c r="AQ232" s="3555">
        <f t="shared" si="49"/>
        <v>1.1576249999999999</v>
      </c>
      <c r="AR232" s="333"/>
      <c r="AS232" s="330"/>
      <c r="AT232" s="330"/>
      <c r="AU232" s="849"/>
      <c r="AV232" s="849"/>
      <c r="AW232" s="3156">
        <f t="shared" si="47"/>
        <v>6903</v>
      </c>
      <c r="AX232" s="3140"/>
    </row>
    <row r="233" spans="1:50" ht="76.5">
      <c r="A233" s="2418" t="s">
        <v>10984</v>
      </c>
      <c r="B233" s="338" t="s">
        <v>11338</v>
      </c>
      <c r="C233" s="321">
        <v>0</v>
      </c>
      <c r="D233" s="323">
        <v>45187</v>
      </c>
      <c r="E233" s="3058" t="s">
        <v>10324</v>
      </c>
      <c r="F233" s="830" t="s">
        <v>11480</v>
      </c>
      <c r="G233" s="5356">
        <v>1.1576249999999999</v>
      </c>
      <c r="H233" s="2273" t="s">
        <v>11697</v>
      </c>
      <c r="I233" s="339" t="s">
        <v>11698</v>
      </c>
      <c r="J233" s="2399" t="s">
        <v>4306</v>
      </c>
      <c r="K233" s="340">
        <v>45918</v>
      </c>
      <c r="L233" s="339" t="s">
        <v>11699</v>
      </c>
      <c r="M233" s="322" t="s">
        <v>11700</v>
      </c>
      <c r="N233" s="339" t="s">
        <v>11701</v>
      </c>
      <c r="O233" s="322" t="s">
        <v>11700</v>
      </c>
      <c r="P233" s="345"/>
      <c r="Q233" s="6094" t="s">
        <v>9071</v>
      </c>
      <c r="R233" s="322" t="s">
        <v>536</v>
      </c>
      <c r="S233" s="346"/>
      <c r="T233" s="347"/>
      <c r="U233" s="326"/>
      <c r="V233" s="348"/>
      <c r="W233" s="347"/>
      <c r="X233" s="326"/>
      <c r="Y233" s="348"/>
      <c r="Z233" s="347"/>
      <c r="AA233" s="326"/>
      <c r="AB233" s="348"/>
      <c r="AC233" s="820"/>
      <c r="AD233" s="821"/>
      <c r="AE233" s="822"/>
      <c r="AF233" s="820"/>
      <c r="AG233" s="821"/>
      <c r="AH233" s="822"/>
      <c r="AI233" s="482">
        <v>6903</v>
      </c>
      <c r="AJ233" s="326">
        <v>0</v>
      </c>
      <c r="AK233" s="3917">
        <v>0</v>
      </c>
      <c r="AL233" s="349">
        <f t="shared" si="46"/>
        <v>6903</v>
      </c>
      <c r="AM233" s="2002"/>
      <c r="AN233" s="3357"/>
      <c r="AO233" s="695"/>
      <c r="AP233" s="3362" t="str">
        <f t="shared" si="49"/>
        <v>Planning Reg 2023-2024</v>
      </c>
      <c r="AQ233" s="3555">
        <f t="shared" si="49"/>
        <v>1.1576249999999999</v>
      </c>
      <c r="AR233" s="333"/>
      <c r="AS233" s="330"/>
      <c r="AT233" s="330"/>
      <c r="AU233" s="849"/>
      <c r="AV233" s="849"/>
      <c r="AW233" s="3156">
        <f t="shared" si="47"/>
        <v>6903</v>
      </c>
      <c r="AX233" s="3140"/>
    </row>
    <row r="234" spans="1:50" ht="76.5">
      <c r="A234" s="2418" t="s">
        <v>10984</v>
      </c>
      <c r="B234" s="338" t="s">
        <v>11340</v>
      </c>
      <c r="C234" s="321">
        <v>0</v>
      </c>
      <c r="D234" s="323">
        <v>45195</v>
      </c>
      <c r="E234" s="3058" t="s">
        <v>10324</v>
      </c>
      <c r="F234" s="830" t="s">
        <v>11480</v>
      </c>
      <c r="G234" s="5356">
        <v>1.1576249999999999</v>
      </c>
      <c r="H234" s="2273" t="s">
        <v>11721</v>
      </c>
      <c r="I234" s="339" t="s">
        <v>11725</v>
      </c>
      <c r="J234" s="2399" t="s">
        <v>4306</v>
      </c>
      <c r="K234" s="340">
        <v>45926</v>
      </c>
      <c r="L234" s="339" t="s">
        <v>11722</v>
      </c>
      <c r="M234" s="322" t="s">
        <v>11723</v>
      </c>
      <c r="N234" s="339" t="s">
        <v>11724</v>
      </c>
      <c r="O234" s="322" t="s">
        <v>11723</v>
      </c>
      <c r="P234" s="345"/>
      <c r="Q234" s="6094" t="s">
        <v>9071</v>
      </c>
      <c r="R234" s="322" t="s">
        <v>536</v>
      </c>
      <c r="S234" s="346"/>
      <c r="T234" s="347"/>
      <c r="U234" s="326"/>
      <c r="V234" s="348"/>
      <c r="W234" s="347"/>
      <c r="X234" s="326"/>
      <c r="Y234" s="348"/>
      <c r="Z234" s="347"/>
      <c r="AA234" s="326"/>
      <c r="AB234" s="348"/>
      <c r="AC234" s="820"/>
      <c r="AD234" s="821"/>
      <c r="AE234" s="822"/>
      <c r="AF234" s="820"/>
      <c r="AG234" s="821"/>
      <c r="AH234" s="822"/>
      <c r="AI234" s="482">
        <v>5881</v>
      </c>
      <c r="AJ234" s="326">
        <v>0</v>
      </c>
      <c r="AK234" s="3917">
        <v>0</v>
      </c>
      <c r="AL234" s="349">
        <f t="shared" si="46"/>
        <v>5881</v>
      </c>
      <c r="AM234" s="2002"/>
      <c r="AN234" s="3357"/>
      <c r="AO234" s="695"/>
      <c r="AP234" s="3362" t="str">
        <f t="shared" si="49"/>
        <v>Planning Reg 2023-2024</v>
      </c>
      <c r="AQ234" s="3555">
        <f t="shared" si="49"/>
        <v>1.1576249999999999</v>
      </c>
      <c r="AR234" s="333"/>
      <c r="AS234" s="330"/>
      <c r="AT234" s="330"/>
      <c r="AU234" s="849"/>
      <c r="AV234" s="849"/>
      <c r="AW234" s="3156">
        <f t="shared" si="47"/>
        <v>5881</v>
      </c>
      <c r="AX234" s="3140"/>
    </row>
    <row r="235" spans="1:50" ht="76.5">
      <c r="A235" s="2418" t="s">
        <v>10984</v>
      </c>
      <c r="B235" s="338" t="s">
        <v>11341</v>
      </c>
      <c r="C235" s="321">
        <v>0</v>
      </c>
      <c r="D235" s="323">
        <v>45195</v>
      </c>
      <c r="E235" s="3058" t="s">
        <v>10324</v>
      </c>
      <c r="F235" s="830" t="s">
        <v>11480</v>
      </c>
      <c r="G235" s="5356">
        <v>1.1576249999999999</v>
      </c>
      <c r="H235" s="2273" t="s">
        <v>11760</v>
      </c>
      <c r="I235" s="339" t="s">
        <v>11726</v>
      </c>
      <c r="J235" s="2399" t="s">
        <v>4306</v>
      </c>
      <c r="K235" s="340">
        <v>45926</v>
      </c>
      <c r="L235" s="339" t="s">
        <v>11727</v>
      </c>
      <c r="M235" s="322" t="s">
        <v>11728</v>
      </c>
      <c r="N235" s="339" t="s">
        <v>11729</v>
      </c>
      <c r="O235" s="332" t="s">
        <v>11730</v>
      </c>
      <c r="P235" s="345"/>
      <c r="Q235" s="6094" t="s">
        <v>9071</v>
      </c>
      <c r="R235" s="322" t="s">
        <v>536</v>
      </c>
      <c r="S235" s="346"/>
      <c r="T235" s="347"/>
      <c r="U235" s="326"/>
      <c r="V235" s="348"/>
      <c r="W235" s="347"/>
      <c r="X235" s="326"/>
      <c r="Y235" s="348"/>
      <c r="Z235" s="347"/>
      <c r="AA235" s="326"/>
      <c r="AB235" s="348"/>
      <c r="AC235" s="820"/>
      <c r="AD235" s="821"/>
      <c r="AE235" s="822"/>
      <c r="AF235" s="820"/>
      <c r="AG235" s="821"/>
      <c r="AH235" s="822"/>
      <c r="AI235" s="482">
        <v>5881</v>
      </c>
      <c r="AJ235" s="326">
        <v>0</v>
      </c>
      <c r="AK235" s="3917">
        <v>0</v>
      </c>
      <c r="AL235" s="349">
        <f t="shared" si="46"/>
        <v>5881</v>
      </c>
      <c r="AM235" s="2002"/>
      <c r="AN235" s="3357"/>
      <c r="AO235" s="695"/>
      <c r="AP235" s="3362" t="str">
        <f t="shared" si="49"/>
        <v>Planning Reg 2023-2024</v>
      </c>
      <c r="AQ235" s="3555">
        <f t="shared" si="49"/>
        <v>1.1576249999999999</v>
      </c>
      <c r="AR235" s="333"/>
      <c r="AS235" s="330"/>
      <c r="AT235" s="330"/>
      <c r="AU235" s="849"/>
      <c r="AV235" s="849"/>
      <c r="AW235" s="3156">
        <f t="shared" si="47"/>
        <v>5881</v>
      </c>
      <c r="AX235" s="3140"/>
    </row>
    <row r="236" spans="1:50" ht="76.5">
      <c r="A236" s="2418" t="s">
        <v>10984</v>
      </c>
      <c r="B236" s="338" t="s">
        <v>12443</v>
      </c>
      <c r="C236" s="321">
        <v>0</v>
      </c>
      <c r="D236" s="323">
        <v>45204</v>
      </c>
      <c r="E236" s="3058" t="s">
        <v>10324</v>
      </c>
      <c r="F236" s="830" t="s">
        <v>11480</v>
      </c>
      <c r="G236" s="5356">
        <v>1.1576249999999999</v>
      </c>
      <c r="H236" s="332" t="s">
        <v>11761</v>
      </c>
      <c r="I236" s="339" t="s">
        <v>9560</v>
      </c>
      <c r="J236" s="2399" t="s">
        <v>4306</v>
      </c>
      <c r="K236" s="340">
        <v>45940</v>
      </c>
      <c r="L236" s="339" t="s">
        <v>11762</v>
      </c>
      <c r="M236" s="322" t="s">
        <v>5742</v>
      </c>
      <c r="N236" s="339" t="s">
        <v>11763</v>
      </c>
      <c r="O236" s="332" t="s">
        <v>10365</v>
      </c>
      <c r="P236" s="345"/>
      <c r="Q236" s="6094" t="s">
        <v>9071</v>
      </c>
      <c r="R236" s="322" t="s">
        <v>536</v>
      </c>
      <c r="S236" s="346"/>
      <c r="T236" s="347"/>
      <c r="U236" s="326"/>
      <c r="V236" s="348"/>
      <c r="W236" s="347"/>
      <c r="X236" s="326"/>
      <c r="Y236" s="348"/>
      <c r="Z236" s="347"/>
      <c r="AA236" s="326"/>
      <c r="AB236" s="348"/>
      <c r="AC236" s="820"/>
      <c r="AD236" s="821"/>
      <c r="AE236" s="822"/>
      <c r="AF236" s="820"/>
      <c r="AG236" s="821"/>
      <c r="AH236" s="822"/>
      <c r="AI236" s="482">
        <v>5881</v>
      </c>
      <c r="AJ236" s="326">
        <v>0</v>
      </c>
      <c r="AK236" s="3917">
        <v>0</v>
      </c>
      <c r="AL236" s="349">
        <f t="shared" si="46"/>
        <v>5881</v>
      </c>
      <c r="AM236" s="2002"/>
      <c r="AN236" s="3357"/>
      <c r="AO236" s="695"/>
      <c r="AP236" s="3362" t="str">
        <f t="shared" si="49"/>
        <v>Planning Reg 2023-2024</v>
      </c>
      <c r="AQ236" s="3555">
        <f t="shared" si="49"/>
        <v>1.1576249999999999</v>
      </c>
      <c r="AR236" s="333"/>
      <c r="AS236" s="330"/>
      <c r="AT236" s="330"/>
      <c r="AU236" s="849"/>
      <c r="AV236" s="849"/>
      <c r="AW236" s="3156">
        <f t="shared" si="47"/>
        <v>5881</v>
      </c>
      <c r="AX236" s="3140"/>
    </row>
    <row r="237" spans="1:50" ht="76.5">
      <c r="A237" s="2418" t="s">
        <v>10984</v>
      </c>
      <c r="B237" s="338" t="s">
        <v>11343</v>
      </c>
      <c r="C237" s="321">
        <v>0</v>
      </c>
      <c r="D237" s="323">
        <v>45217</v>
      </c>
      <c r="E237" s="3058" t="s">
        <v>10324</v>
      </c>
      <c r="F237" s="830" t="s">
        <v>11480</v>
      </c>
      <c r="G237" s="5356">
        <v>1.1576249999999999</v>
      </c>
      <c r="H237" s="2273" t="s">
        <v>11767</v>
      </c>
      <c r="I237" s="339" t="s">
        <v>11768</v>
      </c>
      <c r="J237" s="2399" t="s">
        <v>4306</v>
      </c>
      <c r="K237" s="340">
        <v>45948</v>
      </c>
      <c r="L237" s="339" t="s">
        <v>11769</v>
      </c>
      <c r="M237" s="322" t="s">
        <v>11770</v>
      </c>
      <c r="N237" s="339" t="s">
        <v>11771</v>
      </c>
      <c r="O237" s="332" t="s">
        <v>11772</v>
      </c>
      <c r="P237" s="345"/>
      <c r="Q237" s="6094" t="s">
        <v>9071</v>
      </c>
      <c r="R237" s="322" t="s">
        <v>536</v>
      </c>
      <c r="S237" s="346"/>
      <c r="T237" s="347"/>
      <c r="U237" s="326"/>
      <c r="V237" s="348"/>
      <c r="W237" s="347"/>
      <c r="X237" s="326"/>
      <c r="Y237" s="348"/>
      <c r="Z237" s="347"/>
      <c r="AA237" s="326"/>
      <c r="AB237" s="348"/>
      <c r="AC237" s="820"/>
      <c r="AD237" s="821"/>
      <c r="AE237" s="822"/>
      <c r="AF237" s="820"/>
      <c r="AG237" s="821"/>
      <c r="AH237" s="822"/>
      <c r="AI237" s="482">
        <v>5881</v>
      </c>
      <c r="AJ237" s="326">
        <v>0</v>
      </c>
      <c r="AK237" s="3917">
        <v>0</v>
      </c>
      <c r="AL237" s="349">
        <f t="shared" si="46"/>
        <v>5881</v>
      </c>
      <c r="AM237" s="2002"/>
      <c r="AN237" s="3357"/>
      <c r="AO237" s="695"/>
      <c r="AP237" s="3362" t="str">
        <f t="shared" si="49"/>
        <v>Planning Reg 2023-2024</v>
      </c>
      <c r="AQ237" s="3555">
        <f t="shared" si="49"/>
        <v>1.1576249999999999</v>
      </c>
      <c r="AR237" s="333"/>
      <c r="AS237" s="330"/>
      <c r="AT237" s="330"/>
      <c r="AU237" s="849"/>
      <c r="AV237" s="849"/>
      <c r="AW237" s="3156">
        <f t="shared" si="47"/>
        <v>5881</v>
      </c>
      <c r="AX237" s="3140"/>
    </row>
    <row r="238" spans="1:50" ht="76.5">
      <c r="A238" s="2418" t="s">
        <v>10984</v>
      </c>
      <c r="B238" s="338" t="s">
        <v>12441</v>
      </c>
      <c r="C238" s="321">
        <v>0</v>
      </c>
      <c r="D238" s="323">
        <v>45216</v>
      </c>
      <c r="E238" s="3058" t="s">
        <v>10324</v>
      </c>
      <c r="F238" s="830" t="s">
        <v>11480</v>
      </c>
      <c r="G238" s="5356">
        <v>1.1576249999999999</v>
      </c>
      <c r="H238" s="332" t="s">
        <v>11780</v>
      </c>
      <c r="I238" s="339" t="s">
        <v>9560</v>
      </c>
      <c r="J238" s="2399" t="s">
        <v>4306</v>
      </c>
      <c r="K238" s="340">
        <v>45947</v>
      </c>
      <c r="L238" s="339" t="s">
        <v>8424</v>
      </c>
      <c r="M238" s="322" t="s">
        <v>8334</v>
      </c>
      <c r="N238" s="339" t="s">
        <v>11782</v>
      </c>
      <c r="O238" s="332" t="s">
        <v>11781</v>
      </c>
      <c r="P238" s="345"/>
      <c r="Q238" s="6094" t="s">
        <v>9071</v>
      </c>
      <c r="R238" s="322" t="s">
        <v>536</v>
      </c>
      <c r="S238" s="346"/>
      <c r="T238" s="347"/>
      <c r="U238" s="326"/>
      <c r="V238" s="348"/>
      <c r="W238" s="347"/>
      <c r="X238" s="326"/>
      <c r="Y238" s="348"/>
      <c r="Z238" s="347"/>
      <c r="AA238" s="326"/>
      <c r="AB238" s="348"/>
      <c r="AC238" s="820"/>
      <c r="AD238" s="821"/>
      <c r="AE238" s="822"/>
      <c r="AF238" s="820"/>
      <c r="AG238" s="821"/>
      <c r="AH238" s="822"/>
      <c r="AI238" s="482">
        <v>5881</v>
      </c>
      <c r="AJ238" s="326">
        <v>0</v>
      </c>
      <c r="AK238" s="3917">
        <v>0</v>
      </c>
      <c r="AL238" s="349">
        <f t="shared" si="46"/>
        <v>5881</v>
      </c>
      <c r="AM238" s="2002"/>
      <c r="AN238" s="3357"/>
      <c r="AO238" s="695"/>
      <c r="AP238" s="3362" t="str">
        <f t="shared" si="49"/>
        <v>Planning Reg 2023-2024</v>
      </c>
      <c r="AQ238" s="3555">
        <f t="shared" si="49"/>
        <v>1.1576249999999999</v>
      </c>
      <c r="AR238" s="333"/>
      <c r="AS238" s="330"/>
      <c r="AT238" s="330"/>
      <c r="AU238" s="849"/>
      <c r="AV238" s="849"/>
      <c r="AW238" s="3156">
        <f t="shared" si="47"/>
        <v>5881</v>
      </c>
      <c r="AX238" s="3140"/>
    </row>
    <row r="239" spans="1:50" ht="76.5">
      <c r="A239" s="2418" t="s">
        <v>10984</v>
      </c>
      <c r="B239" s="338" t="s">
        <v>11344</v>
      </c>
      <c r="C239" s="321">
        <v>0</v>
      </c>
      <c r="D239" s="323">
        <v>45223</v>
      </c>
      <c r="E239" s="3058" t="s">
        <v>10324</v>
      </c>
      <c r="F239" s="830" t="s">
        <v>11480</v>
      </c>
      <c r="G239" s="5356">
        <v>1.1576249999999999</v>
      </c>
      <c r="H239" s="2273" t="s">
        <v>11791</v>
      </c>
      <c r="I239" s="339" t="s">
        <v>11792</v>
      </c>
      <c r="J239" s="2399" t="s">
        <v>4306</v>
      </c>
      <c r="K239" s="340">
        <v>45803</v>
      </c>
      <c r="L239" s="339" t="s">
        <v>10513</v>
      </c>
      <c r="M239" s="322" t="s">
        <v>11795</v>
      </c>
      <c r="N239" s="339" t="s">
        <v>11793</v>
      </c>
      <c r="O239" s="332" t="s">
        <v>11794</v>
      </c>
      <c r="P239" s="345"/>
      <c r="Q239" s="6094" t="s">
        <v>9071</v>
      </c>
      <c r="R239" s="322" t="s">
        <v>536</v>
      </c>
      <c r="S239" s="346"/>
      <c r="T239" s="347"/>
      <c r="U239" s="326"/>
      <c r="V239" s="348"/>
      <c r="W239" s="347"/>
      <c r="X239" s="326"/>
      <c r="Y239" s="348"/>
      <c r="Z239" s="347"/>
      <c r="AA239" s="326"/>
      <c r="AB239" s="348"/>
      <c r="AC239" s="820"/>
      <c r="AD239" s="821"/>
      <c r="AE239" s="822"/>
      <c r="AF239" s="820"/>
      <c r="AG239" s="821"/>
      <c r="AH239" s="822"/>
      <c r="AI239" s="482">
        <v>5881</v>
      </c>
      <c r="AJ239" s="326">
        <v>0</v>
      </c>
      <c r="AK239" s="3917">
        <v>0</v>
      </c>
      <c r="AL239" s="349">
        <f t="shared" si="46"/>
        <v>5881</v>
      </c>
      <c r="AM239" s="2002"/>
      <c r="AN239" s="3357"/>
      <c r="AO239" s="695"/>
      <c r="AP239" s="3362" t="str">
        <f t="shared" si="49"/>
        <v>Planning Reg 2023-2024</v>
      </c>
      <c r="AQ239" s="3555">
        <f t="shared" si="49"/>
        <v>1.1576249999999999</v>
      </c>
      <c r="AR239" s="333"/>
      <c r="AS239" s="330"/>
      <c r="AT239" s="330"/>
      <c r="AU239" s="849"/>
      <c r="AV239" s="849"/>
      <c r="AW239" s="3156">
        <f t="shared" si="47"/>
        <v>5881</v>
      </c>
      <c r="AX239" s="3140"/>
    </row>
    <row r="240" spans="1:50" ht="51">
      <c r="A240" s="2418" t="s">
        <v>10984</v>
      </c>
      <c r="B240" s="338" t="s">
        <v>11345</v>
      </c>
      <c r="C240" s="321">
        <v>0</v>
      </c>
      <c r="D240" s="323">
        <v>45229</v>
      </c>
      <c r="E240" s="3058" t="s">
        <v>10324</v>
      </c>
      <c r="F240" s="830" t="s">
        <v>11480</v>
      </c>
      <c r="G240" s="5356">
        <v>1.1576249999999999</v>
      </c>
      <c r="H240" s="332" t="s">
        <v>11797</v>
      </c>
      <c r="I240" s="339" t="s">
        <v>5753</v>
      </c>
      <c r="J240" s="322" t="s">
        <v>2712</v>
      </c>
      <c r="K240" s="340">
        <v>46687</v>
      </c>
      <c r="L240" s="339" t="s">
        <v>11798</v>
      </c>
      <c r="M240" s="322" t="s">
        <v>9660</v>
      </c>
      <c r="N240" s="339" t="s">
        <v>11799</v>
      </c>
      <c r="O240" s="332" t="s">
        <v>11800</v>
      </c>
      <c r="P240" s="345"/>
      <c r="Q240" s="322" t="s">
        <v>4127</v>
      </c>
      <c r="R240" s="322" t="s">
        <v>7249</v>
      </c>
      <c r="S240" s="346"/>
      <c r="T240" s="347"/>
      <c r="U240" s="326"/>
      <c r="V240" s="348"/>
      <c r="W240" s="347"/>
      <c r="X240" s="326"/>
      <c r="Y240" s="348"/>
      <c r="Z240" s="347"/>
      <c r="AA240" s="326"/>
      <c r="AB240" s="348"/>
      <c r="AC240" s="820"/>
      <c r="AD240" s="821"/>
      <c r="AE240" s="822"/>
      <c r="AF240" s="820"/>
      <c r="AG240" s="821"/>
      <c r="AH240" s="822"/>
      <c r="AI240" s="482">
        <v>19448</v>
      </c>
      <c r="AJ240" s="326">
        <v>0</v>
      </c>
      <c r="AK240" s="3917">
        <v>0</v>
      </c>
      <c r="AL240" s="349">
        <f t="shared" si="46"/>
        <v>19448</v>
      </c>
      <c r="AM240" s="2002"/>
      <c r="AN240" s="3357"/>
      <c r="AO240" s="695"/>
      <c r="AP240" s="3362" t="str">
        <f t="shared" si="49"/>
        <v>Planning Reg 2023-2024</v>
      </c>
      <c r="AQ240" s="3555">
        <f t="shared" si="49"/>
        <v>1.1576249999999999</v>
      </c>
      <c r="AR240" s="333"/>
      <c r="AS240" s="330"/>
      <c r="AT240" s="330"/>
      <c r="AU240" s="849"/>
      <c r="AV240" s="849"/>
      <c r="AW240" s="3156">
        <f t="shared" si="47"/>
        <v>19448</v>
      </c>
      <c r="AX240" s="3140"/>
    </row>
    <row r="241" spans="1:50" ht="76.5">
      <c r="A241" s="2418" t="s">
        <v>10984</v>
      </c>
      <c r="B241" s="338" t="s">
        <v>11346</v>
      </c>
      <c r="C241" s="321">
        <v>0</v>
      </c>
      <c r="D241" s="323">
        <v>45231</v>
      </c>
      <c r="E241" s="3058" t="s">
        <v>10324</v>
      </c>
      <c r="F241" s="830" t="s">
        <v>11480</v>
      </c>
      <c r="G241" s="5356">
        <v>1.1576249999999999</v>
      </c>
      <c r="H241" s="2273" t="s">
        <v>11809</v>
      </c>
      <c r="I241" s="339" t="s">
        <v>11810</v>
      </c>
      <c r="J241" s="2399" t="s">
        <v>4306</v>
      </c>
      <c r="K241" s="340">
        <v>45913</v>
      </c>
      <c r="L241" s="339" t="s">
        <v>11811</v>
      </c>
      <c r="M241" s="322" t="s">
        <v>11812</v>
      </c>
      <c r="N241" s="339" t="s">
        <v>11813</v>
      </c>
      <c r="O241" s="322" t="s">
        <v>11812</v>
      </c>
      <c r="P241" s="345"/>
      <c r="Q241" s="6094" t="s">
        <v>9071</v>
      </c>
      <c r="R241" s="322" t="s">
        <v>536</v>
      </c>
      <c r="S241" s="346"/>
      <c r="T241" s="347"/>
      <c r="U241" s="326"/>
      <c r="V241" s="348"/>
      <c r="W241" s="347"/>
      <c r="X241" s="326"/>
      <c r="Y241" s="348"/>
      <c r="Z241" s="347"/>
      <c r="AA241" s="326"/>
      <c r="AB241" s="348"/>
      <c r="AC241" s="820"/>
      <c r="AD241" s="821"/>
      <c r="AE241" s="822"/>
      <c r="AF241" s="820"/>
      <c r="AG241" s="821"/>
      <c r="AH241" s="822"/>
      <c r="AI241" s="482">
        <v>5881</v>
      </c>
      <c r="AJ241" s="326">
        <v>0</v>
      </c>
      <c r="AK241" s="3917">
        <v>0</v>
      </c>
      <c r="AL241" s="349">
        <f t="shared" si="46"/>
        <v>5881</v>
      </c>
      <c r="AM241" s="2002"/>
      <c r="AN241" s="3357"/>
      <c r="AO241" s="695"/>
      <c r="AP241" s="3362" t="str">
        <f t="shared" si="49"/>
        <v>Planning Reg 2023-2024</v>
      </c>
      <c r="AQ241" s="3555">
        <f t="shared" si="49"/>
        <v>1.1576249999999999</v>
      </c>
      <c r="AR241" s="333"/>
      <c r="AS241" s="330"/>
      <c r="AT241" s="330"/>
      <c r="AU241" s="849"/>
      <c r="AV241" s="849"/>
      <c r="AW241" s="3156">
        <f t="shared" si="47"/>
        <v>5881</v>
      </c>
      <c r="AX241" s="3140"/>
    </row>
    <row r="242" spans="1:50" ht="76.5">
      <c r="A242" s="2418" t="s">
        <v>10984</v>
      </c>
      <c r="B242" s="338" t="s">
        <v>11347</v>
      </c>
      <c r="C242" s="321">
        <v>0</v>
      </c>
      <c r="D242" s="323">
        <v>45231</v>
      </c>
      <c r="E242" s="3058" t="s">
        <v>10324</v>
      </c>
      <c r="F242" s="830" t="s">
        <v>11480</v>
      </c>
      <c r="G242" s="5356">
        <v>1.1576249999999999</v>
      </c>
      <c r="H242" s="2273" t="s">
        <v>11814</v>
      </c>
      <c r="I242" s="339" t="s">
        <v>11815</v>
      </c>
      <c r="J242" s="2399" t="s">
        <v>4306</v>
      </c>
      <c r="K242" s="340">
        <v>45891</v>
      </c>
      <c r="L242" s="339" t="s">
        <v>11816</v>
      </c>
      <c r="M242" s="322" t="s">
        <v>11817</v>
      </c>
      <c r="N242" s="339" t="s">
        <v>11818</v>
      </c>
      <c r="O242" s="332" t="s">
        <v>11819</v>
      </c>
      <c r="P242" s="345"/>
      <c r="Q242" s="6094" t="s">
        <v>9071</v>
      </c>
      <c r="R242" s="322" t="s">
        <v>536</v>
      </c>
      <c r="S242" s="346"/>
      <c r="T242" s="347"/>
      <c r="U242" s="326"/>
      <c r="V242" s="348"/>
      <c r="W242" s="347"/>
      <c r="X242" s="326"/>
      <c r="Y242" s="348"/>
      <c r="Z242" s="347"/>
      <c r="AA242" s="326"/>
      <c r="AB242" s="348"/>
      <c r="AC242" s="820"/>
      <c r="AD242" s="821"/>
      <c r="AE242" s="822"/>
      <c r="AF242" s="820"/>
      <c r="AG242" s="821"/>
      <c r="AH242" s="822"/>
      <c r="AI242" s="482">
        <v>5881</v>
      </c>
      <c r="AJ242" s="326">
        <v>0</v>
      </c>
      <c r="AK242" s="3917">
        <v>0</v>
      </c>
      <c r="AL242" s="349">
        <f t="shared" si="46"/>
        <v>5881</v>
      </c>
      <c r="AM242" s="2002"/>
      <c r="AN242" s="3357"/>
      <c r="AO242" s="695"/>
      <c r="AP242" s="3362" t="str">
        <f t="shared" si="49"/>
        <v>Planning Reg 2023-2024</v>
      </c>
      <c r="AQ242" s="3555">
        <f t="shared" si="49"/>
        <v>1.1576249999999999</v>
      </c>
      <c r="AR242" s="333"/>
      <c r="AS242" s="330"/>
      <c r="AT242" s="330"/>
      <c r="AU242" s="849"/>
      <c r="AV242" s="849"/>
      <c r="AW242" s="3156">
        <f t="shared" si="47"/>
        <v>5881</v>
      </c>
      <c r="AX242" s="3140"/>
    </row>
    <row r="243" spans="1:50" ht="63.75">
      <c r="A243" s="2418" t="s">
        <v>10984</v>
      </c>
      <c r="B243" s="338" t="s">
        <v>11348</v>
      </c>
      <c r="C243" s="321">
        <v>0</v>
      </c>
      <c r="D243" s="323">
        <v>45232</v>
      </c>
      <c r="E243" s="3058" t="s">
        <v>10324</v>
      </c>
      <c r="F243" s="830" t="s">
        <v>11480</v>
      </c>
      <c r="G243" s="5356">
        <v>1.1576249999999999</v>
      </c>
      <c r="H243" s="332" t="s">
        <v>11802</v>
      </c>
      <c r="I243" s="339" t="s">
        <v>1433</v>
      </c>
      <c r="J243" s="322" t="s">
        <v>1434</v>
      </c>
      <c r="K243" s="340">
        <v>47417</v>
      </c>
      <c r="L243" s="339" t="s">
        <v>11803</v>
      </c>
      <c r="M243" s="322" t="s">
        <v>11804</v>
      </c>
      <c r="N243" s="339" t="s">
        <v>11805</v>
      </c>
      <c r="O243" s="332" t="s">
        <v>11806</v>
      </c>
      <c r="P243" s="345"/>
      <c r="Q243" s="322" t="s">
        <v>11808</v>
      </c>
      <c r="R243" s="322" t="s">
        <v>11807</v>
      </c>
      <c r="S243" s="346"/>
      <c r="T243" s="347"/>
      <c r="U243" s="326"/>
      <c r="V243" s="348"/>
      <c r="W243" s="347"/>
      <c r="X243" s="326"/>
      <c r="Y243" s="348"/>
      <c r="Z243" s="347"/>
      <c r="AA243" s="326"/>
      <c r="AB243" s="348"/>
      <c r="AC243" s="820"/>
      <c r="AD243" s="821"/>
      <c r="AE243" s="822"/>
      <c r="AF243" s="820"/>
      <c r="AG243" s="821"/>
      <c r="AH243" s="822"/>
      <c r="AI243" s="482">
        <v>191600</v>
      </c>
      <c r="AJ243" s="326">
        <v>0</v>
      </c>
      <c r="AK243" s="3917">
        <v>0</v>
      </c>
      <c r="AL243" s="349">
        <f t="shared" si="46"/>
        <v>191600</v>
      </c>
      <c r="AM243" s="2002"/>
      <c r="AN243" s="3357"/>
      <c r="AO243" s="695"/>
      <c r="AP243" s="3362" t="str">
        <f t="shared" si="49"/>
        <v>Planning Reg 2023-2024</v>
      </c>
      <c r="AQ243" s="3555">
        <f t="shared" si="49"/>
        <v>1.1576249999999999</v>
      </c>
      <c r="AR243" s="333"/>
      <c r="AS243" s="330"/>
      <c r="AT243" s="330"/>
      <c r="AU243" s="849"/>
      <c r="AV243" s="849"/>
      <c r="AW243" s="3156">
        <f t="shared" si="47"/>
        <v>191600</v>
      </c>
      <c r="AX243" s="3140"/>
    </row>
    <row r="244" spans="1:50" ht="76.5">
      <c r="A244" s="2418" t="s">
        <v>10984</v>
      </c>
      <c r="B244" s="338" t="s">
        <v>11349</v>
      </c>
      <c r="C244" s="321">
        <v>0</v>
      </c>
      <c r="D244" s="323">
        <v>45239</v>
      </c>
      <c r="E244" s="3058" t="s">
        <v>10324</v>
      </c>
      <c r="F244" s="830" t="s">
        <v>11480</v>
      </c>
      <c r="G244" s="5356">
        <v>1.1576249999999999</v>
      </c>
      <c r="H244" s="2273" t="s">
        <v>11831</v>
      </c>
      <c r="I244" s="339" t="s">
        <v>11834</v>
      </c>
      <c r="J244" s="2399" t="s">
        <v>4306</v>
      </c>
      <c r="K244" s="340">
        <v>45955</v>
      </c>
      <c r="L244" s="339" t="s">
        <v>10513</v>
      </c>
      <c r="M244" s="322" t="s">
        <v>10118</v>
      </c>
      <c r="N244" s="339" t="s">
        <v>11839</v>
      </c>
      <c r="O244" s="332" t="s">
        <v>11840</v>
      </c>
      <c r="P244" s="345"/>
      <c r="Q244" s="6094" t="s">
        <v>9071</v>
      </c>
      <c r="R244" s="322" t="s">
        <v>536</v>
      </c>
      <c r="S244" s="346"/>
      <c r="T244" s="347"/>
      <c r="U244" s="326"/>
      <c r="V244" s="348"/>
      <c r="W244" s="347"/>
      <c r="X244" s="326"/>
      <c r="Y244" s="348"/>
      <c r="Z244" s="347"/>
      <c r="AA244" s="326"/>
      <c r="AB244" s="348"/>
      <c r="AC244" s="820"/>
      <c r="AD244" s="821"/>
      <c r="AE244" s="822"/>
      <c r="AF244" s="820"/>
      <c r="AG244" s="821"/>
      <c r="AH244" s="822"/>
      <c r="AI244" s="482">
        <v>5881</v>
      </c>
      <c r="AJ244" s="326">
        <v>0</v>
      </c>
      <c r="AK244" s="3917">
        <v>0</v>
      </c>
      <c r="AL244" s="349">
        <f t="shared" si="46"/>
        <v>5881</v>
      </c>
      <c r="AM244" s="2002"/>
      <c r="AN244" s="3357"/>
      <c r="AO244" s="695"/>
      <c r="AP244" s="3362" t="str">
        <f t="shared" ref="AP244:AQ263" si="50">AP$2</f>
        <v>Planning Reg 2023-2024</v>
      </c>
      <c r="AQ244" s="3555">
        <f t="shared" si="50"/>
        <v>1.1576249999999999</v>
      </c>
      <c r="AR244" s="333"/>
      <c r="AS244" s="330"/>
      <c r="AT244" s="330"/>
      <c r="AU244" s="849"/>
      <c r="AV244" s="849"/>
      <c r="AW244" s="3156">
        <f t="shared" si="47"/>
        <v>5881</v>
      </c>
      <c r="AX244" s="3140"/>
    </row>
    <row r="245" spans="1:50" ht="76.5">
      <c r="A245" s="2418" t="s">
        <v>10984</v>
      </c>
      <c r="B245" s="338" t="s">
        <v>11350</v>
      </c>
      <c r="C245" s="321">
        <v>0</v>
      </c>
      <c r="D245" s="323">
        <v>45239</v>
      </c>
      <c r="E245" s="3058" t="s">
        <v>10324</v>
      </c>
      <c r="F245" s="830" t="s">
        <v>11480</v>
      </c>
      <c r="G245" s="5356">
        <v>1.1576249999999999</v>
      </c>
      <c r="H245" s="2273" t="s">
        <v>11832</v>
      </c>
      <c r="I245" s="339" t="s">
        <v>11835</v>
      </c>
      <c r="J245" s="2399" t="s">
        <v>4306</v>
      </c>
      <c r="K245" s="340">
        <v>45953</v>
      </c>
      <c r="L245" s="339" t="s">
        <v>11841</v>
      </c>
      <c r="M245" s="322" t="s">
        <v>11842</v>
      </c>
      <c r="N245" s="339" t="s">
        <v>11843</v>
      </c>
      <c r="O245" s="332" t="s">
        <v>11844</v>
      </c>
      <c r="P245" s="345"/>
      <c r="Q245" s="6094" t="s">
        <v>9071</v>
      </c>
      <c r="R245" s="322" t="s">
        <v>536</v>
      </c>
      <c r="S245" s="346"/>
      <c r="T245" s="347"/>
      <c r="U245" s="326"/>
      <c r="V245" s="348"/>
      <c r="W245" s="347"/>
      <c r="X245" s="326"/>
      <c r="Y245" s="348"/>
      <c r="Z245" s="347"/>
      <c r="AA245" s="326"/>
      <c r="AB245" s="348"/>
      <c r="AC245" s="820"/>
      <c r="AD245" s="821"/>
      <c r="AE245" s="822"/>
      <c r="AF245" s="820"/>
      <c r="AG245" s="821"/>
      <c r="AH245" s="822"/>
      <c r="AI245" s="482">
        <v>5881</v>
      </c>
      <c r="AJ245" s="326">
        <v>0</v>
      </c>
      <c r="AK245" s="3917">
        <v>0</v>
      </c>
      <c r="AL245" s="349">
        <f t="shared" si="46"/>
        <v>5881</v>
      </c>
      <c r="AM245" s="2002"/>
      <c r="AN245" s="3357"/>
      <c r="AO245" s="695"/>
      <c r="AP245" s="3362" t="str">
        <f t="shared" si="50"/>
        <v>Planning Reg 2023-2024</v>
      </c>
      <c r="AQ245" s="3555">
        <f t="shared" si="50"/>
        <v>1.1576249999999999</v>
      </c>
      <c r="AR245" s="333"/>
      <c r="AS245" s="330"/>
      <c r="AT245" s="330"/>
      <c r="AU245" s="849"/>
      <c r="AV245" s="849"/>
      <c r="AW245" s="3156">
        <f t="shared" si="47"/>
        <v>5881</v>
      </c>
      <c r="AX245" s="3140"/>
    </row>
    <row r="246" spans="1:50" ht="63.75">
      <c r="A246" s="2418" t="s">
        <v>10984</v>
      </c>
      <c r="B246" s="338" t="s">
        <v>11351</v>
      </c>
      <c r="C246" s="321">
        <v>0</v>
      </c>
      <c r="D246" s="323">
        <v>45240</v>
      </c>
      <c r="E246" s="3058" t="s">
        <v>10324</v>
      </c>
      <c r="F246" s="830" t="s">
        <v>11480</v>
      </c>
      <c r="G246" s="5356">
        <v>1.1576249999999999</v>
      </c>
      <c r="H246" s="332" t="s">
        <v>11940</v>
      </c>
      <c r="I246" s="339" t="s">
        <v>1433</v>
      </c>
      <c r="J246" s="322" t="s">
        <v>1434</v>
      </c>
      <c r="K246" s="340" t="s">
        <v>11396</v>
      </c>
      <c r="L246" s="339" t="s">
        <v>11851</v>
      </c>
      <c r="M246" s="322" t="s">
        <v>9328</v>
      </c>
      <c r="N246" s="339" t="s">
        <v>11853</v>
      </c>
      <c r="O246" s="332" t="s">
        <v>11852</v>
      </c>
      <c r="P246" s="345"/>
      <c r="Q246" s="322" t="s">
        <v>11854</v>
      </c>
      <c r="R246" s="322" t="s">
        <v>11855</v>
      </c>
      <c r="S246" s="346"/>
      <c r="T246" s="347"/>
      <c r="U246" s="326"/>
      <c r="V246" s="348"/>
      <c r="W246" s="347"/>
      <c r="X246" s="326"/>
      <c r="Y246" s="348"/>
      <c r="Z246" s="347"/>
      <c r="AA246" s="326"/>
      <c r="AB246" s="348"/>
      <c r="AC246" s="820"/>
      <c r="AD246" s="821"/>
      <c r="AE246" s="822"/>
      <c r="AF246" s="820"/>
      <c r="AG246" s="821"/>
      <c r="AH246" s="822"/>
      <c r="AI246" s="482">
        <v>5557</v>
      </c>
      <c r="AJ246" s="326">
        <v>0</v>
      </c>
      <c r="AK246" s="3917">
        <v>0</v>
      </c>
      <c r="AL246" s="349">
        <f t="shared" si="46"/>
        <v>5557</v>
      </c>
      <c r="AM246" s="2002"/>
      <c r="AN246" s="3357"/>
      <c r="AO246" s="695"/>
      <c r="AP246" s="3362" t="str">
        <f t="shared" si="50"/>
        <v>Planning Reg 2023-2024</v>
      </c>
      <c r="AQ246" s="3555">
        <f t="shared" si="50"/>
        <v>1.1576249999999999</v>
      </c>
      <c r="AR246" s="333"/>
      <c r="AS246" s="330"/>
      <c r="AT246" s="330"/>
      <c r="AU246" s="849"/>
      <c r="AV246" s="849"/>
      <c r="AW246" s="3156">
        <f t="shared" si="47"/>
        <v>5557</v>
      </c>
      <c r="AX246" s="3140"/>
    </row>
    <row r="247" spans="1:50" ht="76.5">
      <c r="A247" s="2418" t="s">
        <v>10984</v>
      </c>
      <c r="B247" s="338" t="s">
        <v>11352</v>
      </c>
      <c r="C247" s="321">
        <v>0</v>
      </c>
      <c r="D247" s="323">
        <v>45227</v>
      </c>
      <c r="E247" s="3058" t="s">
        <v>10324</v>
      </c>
      <c r="F247" s="830" t="s">
        <v>11480</v>
      </c>
      <c r="G247" s="5356">
        <v>1.1576249999999999</v>
      </c>
      <c r="H247" s="332" t="s">
        <v>11880</v>
      </c>
      <c r="I247" s="339" t="s">
        <v>9560</v>
      </c>
      <c r="J247" s="2399" t="s">
        <v>4306</v>
      </c>
      <c r="K247" s="340">
        <v>45988</v>
      </c>
      <c r="L247" s="339" t="s">
        <v>11881</v>
      </c>
      <c r="M247" s="322" t="s">
        <v>11882</v>
      </c>
      <c r="N247" s="339" t="s">
        <v>11884</v>
      </c>
      <c r="O247" s="332" t="s">
        <v>11883</v>
      </c>
      <c r="P247" s="345"/>
      <c r="Q247" s="6094" t="s">
        <v>9071</v>
      </c>
      <c r="R247" s="322" t="s">
        <v>11885</v>
      </c>
      <c r="S247" s="346"/>
      <c r="T247" s="347"/>
      <c r="U247" s="326"/>
      <c r="V247" s="348"/>
      <c r="W247" s="347"/>
      <c r="X247" s="326"/>
      <c r="Y247" s="348"/>
      <c r="Z247" s="347"/>
      <c r="AA247" s="326"/>
      <c r="AB247" s="348"/>
      <c r="AC247" s="820"/>
      <c r="AD247" s="821"/>
      <c r="AE247" s="822"/>
      <c r="AF247" s="820"/>
      <c r="AG247" s="821"/>
      <c r="AH247" s="822"/>
      <c r="AI247" s="482">
        <v>5881</v>
      </c>
      <c r="AJ247" s="326">
        <v>0</v>
      </c>
      <c r="AK247" s="3917">
        <v>0</v>
      </c>
      <c r="AL247" s="349">
        <f t="shared" si="46"/>
        <v>5881</v>
      </c>
      <c r="AM247" s="2002"/>
      <c r="AN247" s="3357"/>
      <c r="AO247" s="695"/>
      <c r="AP247" s="3362" t="str">
        <f t="shared" si="50"/>
        <v>Planning Reg 2023-2024</v>
      </c>
      <c r="AQ247" s="3555">
        <f t="shared" si="50"/>
        <v>1.1576249999999999</v>
      </c>
      <c r="AR247" s="333"/>
      <c r="AS247" s="330"/>
      <c r="AT247" s="330"/>
      <c r="AU247" s="849"/>
      <c r="AV247" s="849"/>
      <c r="AW247" s="3156">
        <f t="shared" si="47"/>
        <v>5881</v>
      </c>
      <c r="AX247" s="3140"/>
    </row>
    <row r="248" spans="1:50" ht="76.5">
      <c r="A248" s="2418" t="s">
        <v>10984</v>
      </c>
      <c r="B248" s="338" t="s">
        <v>12430</v>
      </c>
      <c r="C248" s="321">
        <v>0</v>
      </c>
      <c r="D248" s="323">
        <v>45257</v>
      </c>
      <c r="E248" s="3058" t="s">
        <v>10324</v>
      </c>
      <c r="F248" s="830" t="s">
        <v>11480</v>
      </c>
      <c r="G248" s="5356">
        <v>1.1576249999999999</v>
      </c>
      <c r="H248" s="2273" t="s">
        <v>11912</v>
      </c>
      <c r="I248" s="339" t="s">
        <v>11888</v>
      </c>
      <c r="J248" s="2399" t="s">
        <v>4306</v>
      </c>
      <c r="K248" s="340">
        <v>45981</v>
      </c>
      <c r="L248" s="339" t="s">
        <v>8739</v>
      </c>
      <c r="M248" s="322" t="s">
        <v>11889</v>
      </c>
      <c r="N248" s="339" t="s">
        <v>11890</v>
      </c>
      <c r="O248" s="332" t="s">
        <v>11891</v>
      </c>
      <c r="P248" s="345"/>
      <c r="Q248" s="6094" t="s">
        <v>9071</v>
      </c>
      <c r="R248" s="322" t="s">
        <v>536</v>
      </c>
      <c r="S248" s="346"/>
      <c r="T248" s="347"/>
      <c r="U248" s="326"/>
      <c r="V248" s="348"/>
      <c r="W248" s="347"/>
      <c r="X248" s="326"/>
      <c r="Y248" s="348"/>
      <c r="Z248" s="347"/>
      <c r="AA248" s="326"/>
      <c r="AB248" s="348"/>
      <c r="AC248" s="820"/>
      <c r="AD248" s="821"/>
      <c r="AE248" s="822"/>
      <c r="AF248" s="820"/>
      <c r="AG248" s="821"/>
      <c r="AH248" s="822"/>
      <c r="AI248" s="482">
        <v>5881</v>
      </c>
      <c r="AJ248" s="326">
        <v>0</v>
      </c>
      <c r="AK248" s="3917">
        <v>0</v>
      </c>
      <c r="AL248" s="349">
        <f t="shared" si="46"/>
        <v>5881</v>
      </c>
      <c r="AM248" s="2002"/>
      <c r="AN248" s="3357"/>
      <c r="AO248" s="695"/>
      <c r="AP248" s="3362" t="str">
        <f t="shared" si="50"/>
        <v>Planning Reg 2023-2024</v>
      </c>
      <c r="AQ248" s="3555">
        <f t="shared" si="50"/>
        <v>1.1576249999999999</v>
      </c>
      <c r="AR248" s="333"/>
      <c r="AS248" s="330"/>
      <c r="AT248" s="330"/>
      <c r="AU248" s="849"/>
      <c r="AV248" s="849"/>
      <c r="AW248" s="3156">
        <f t="shared" si="47"/>
        <v>5881</v>
      </c>
      <c r="AX248" s="3140"/>
    </row>
    <row r="249" spans="1:50" ht="51">
      <c r="A249" s="2418" t="s">
        <v>10984</v>
      </c>
      <c r="B249" s="338" t="s">
        <v>12442</v>
      </c>
      <c r="C249" s="321">
        <v>0</v>
      </c>
      <c r="D249" s="323">
        <v>45259</v>
      </c>
      <c r="E249" s="3058" t="s">
        <v>10324</v>
      </c>
      <c r="F249" s="830" t="s">
        <v>11480</v>
      </c>
      <c r="G249" s="5356">
        <v>1.1576249999999999</v>
      </c>
      <c r="H249" s="332" t="s">
        <v>11892</v>
      </c>
      <c r="I249" s="339" t="s">
        <v>1433</v>
      </c>
      <c r="J249" s="322" t="s">
        <v>1434</v>
      </c>
      <c r="K249" s="340">
        <v>47444</v>
      </c>
      <c r="L249" s="339" t="s">
        <v>11893</v>
      </c>
      <c r="M249" s="322" t="s">
        <v>11300</v>
      </c>
      <c r="N249" s="339" t="s">
        <v>11895</v>
      </c>
      <c r="O249" s="332" t="s">
        <v>11894</v>
      </c>
      <c r="P249" s="345"/>
      <c r="Q249" s="322" t="s">
        <v>11896</v>
      </c>
      <c r="R249" s="322" t="s">
        <v>536</v>
      </c>
      <c r="S249" s="346"/>
      <c r="T249" s="347"/>
      <c r="U249" s="326"/>
      <c r="V249" s="348"/>
      <c r="W249" s="347"/>
      <c r="X249" s="326"/>
      <c r="Y249" s="348"/>
      <c r="Z249" s="347"/>
      <c r="AA249" s="326"/>
      <c r="AB249" s="348"/>
      <c r="AC249" s="820"/>
      <c r="AD249" s="821"/>
      <c r="AE249" s="822"/>
      <c r="AF249" s="820"/>
      <c r="AG249" s="821"/>
      <c r="AH249" s="822"/>
      <c r="AI249" s="482">
        <v>19448</v>
      </c>
      <c r="AJ249" s="326">
        <v>0</v>
      </c>
      <c r="AK249" s="3917">
        <v>0</v>
      </c>
      <c r="AL249" s="349">
        <f t="shared" si="46"/>
        <v>19448</v>
      </c>
      <c r="AM249" s="2002"/>
      <c r="AN249" s="3357"/>
      <c r="AO249" s="695"/>
      <c r="AP249" s="3362" t="str">
        <f t="shared" si="50"/>
        <v>Planning Reg 2023-2024</v>
      </c>
      <c r="AQ249" s="3555">
        <f t="shared" si="50"/>
        <v>1.1576249999999999</v>
      </c>
      <c r="AR249" s="333"/>
      <c r="AS249" s="330"/>
      <c r="AT249" s="330"/>
      <c r="AU249" s="849"/>
      <c r="AV249" s="849"/>
      <c r="AW249" s="3156">
        <f t="shared" si="47"/>
        <v>19448</v>
      </c>
      <c r="AX249" s="3140"/>
    </row>
    <row r="250" spans="1:50" ht="76.5">
      <c r="A250" s="2418" t="s">
        <v>10984</v>
      </c>
      <c r="B250" s="338" t="s">
        <v>11354</v>
      </c>
      <c r="C250" s="321">
        <v>0</v>
      </c>
      <c r="D250" s="323">
        <v>45265</v>
      </c>
      <c r="E250" s="3058" t="s">
        <v>10324</v>
      </c>
      <c r="F250" s="324" t="s">
        <v>11480</v>
      </c>
      <c r="G250" s="2621">
        <v>1.1576249999999999</v>
      </c>
      <c r="H250" s="2273" t="s">
        <v>11914</v>
      </c>
      <c r="I250" s="339" t="s">
        <v>11913</v>
      </c>
      <c r="J250" s="2399" t="s">
        <v>4306</v>
      </c>
      <c r="K250" s="340">
        <v>46014</v>
      </c>
      <c r="L250" s="339" t="s">
        <v>5527</v>
      </c>
      <c r="M250" s="322" t="s">
        <v>11718</v>
      </c>
      <c r="N250" s="339" t="s">
        <v>11915</v>
      </c>
      <c r="O250" s="332" t="s">
        <v>11916</v>
      </c>
      <c r="P250" s="345"/>
      <c r="Q250" s="6094" t="s">
        <v>9071</v>
      </c>
      <c r="R250" s="322" t="s">
        <v>536</v>
      </c>
      <c r="S250" s="346"/>
      <c r="T250" s="347"/>
      <c r="U250" s="326"/>
      <c r="V250" s="348"/>
      <c r="W250" s="347"/>
      <c r="X250" s="326"/>
      <c r="Y250" s="348"/>
      <c r="Z250" s="347"/>
      <c r="AA250" s="326"/>
      <c r="AB250" s="348"/>
      <c r="AC250" s="820"/>
      <c r="AD250" s="821"/>
      <c r="AE250" s="822"/>
      <c r="AF250" s="820"/>
      <c r="AG250" s="821"/>
      <c r="AH250" s="822"/>
      <c r="AI250" s="482">
        <v>5881</v>
      </c>
      <c r="AJ250" s="326">
        <v>0</v>
      </c>
      <c r="AK250" s="3917">
        <v>0</v>
      </c>
      <c r="AL250" s="349">
        <f t="shared" si="46"/>
        <v>5881</v>
      </c>
      <c r="AM250" s="2002"/>
      <c r="AN250" s="3357"/>
      <c r="AO250" s="695"/>
      <c r="AP250" s="3362" t="str">
        <f t="shared" si="50"/>
        <v>Planning Reg 2023-2024</v>
      </c>
      <c r="AQ250" s="3555">
        <f t="shared" si="50"/>
        <v>1.1576249999999999</v>
      </c>
      <c r="AR250" s="333"/>
      <c r="AS250" s="330"/>
      <c r="AT250" s="330"/>
      <c r="AU250" s="849"/>
      <c r="AV250" s="849"/>
      <c r="AW250" s="3156">
        <f t="shared" si="47"/>
        <v>5881</v>
      </c>
      <c r="AX250" s="3140"/>
    </row>
    <row r="251" spans="1:50" ht="76.5">
      <c r="A251" s="2418" t="s">
        <v>10984</v>
      </c>
      <c r="B251" s="338" t="s">
        <v>11355</v>
      </c>
      <c r="C251" s="321">
        <v>0</v>
      </c>
      <c r="D251" s="323">
        <v>45265</v>
      </c>
      <c r="E251" s="3058" t="s">
        <v>10324</v>
      </c>
      <c r="F251" s="830" t="s">
        <v>11480</v>
      </c>
      <c r="G251" s="5356">
        <v>1.1576249999999999</v>
      </c>
      <c r="H251" s="2273" t="s">
        <v>11917</v>
      </c>
      <c r="I251" s="339" t="s">
        <v>11918</v>
      </c>
      <c r="J251" s="2399" t="s">
        <v>4306</v>
      </c>
      <c r="K251" s="340">
        <v>45976</v>
      </c>
      <c r="L251" s="339" t="s">
        <v>11919</v>
      </c>
      <c r="M251" s="322" t="s">
        <v>11920</v>
      </c>
      <c r="N251" s="339" t="s">
        <v>11921</v>
      </c>
      <c r="O251" s="322" t="s">
        <v>11920</v>
      </c>
      <c r="P251" s="345"/>
      <c r="Q251" s="6094" t="s">
        <v>9071</v>
      </c>
      <c r="R251" s="322" t="s">
        <v>536</v>
      </c>
      <c r="S251" s="346"/>
      <c r="T251" s="347"/>
      <c r="U251" s="326"/>
      <c r="V251" s="348"/>
      <c r="W251" s="347"/>
      <c r="X251" s="326"/>
      <c r="Y251" s="348"/>
      <c r="Z251" s="347"/>
      <c r="AA251" s="326"/>
      <c r="AB251" s="348"/>
      <c r="AC251" s="820"/>
      <c r="AD251" s="821"/>
      <c r="AE251" s="822"/>
      <c r="AF251" s="820"/>
      <c r="AG251" s="821"/>
      <c r="AH251" s="822"/>
      <c r="AI251" s="482">
        <v>5881</v>
      </c>
      <c r="AJ251" s="326">
        <v>0</v>
      </c>
      <c r="AK251" s="3917">
        <v>0</v>
      </c>
      <c r="AL251" s="349">
        <f t="shared" si="46"/>
        <v>5881</v>
      </c>
      <c r="AM251" s="2002"/>
      <c r="AN251" s="3357"/>
      <c r="AO251" s="695"/>
      <c r="AP251" s="3362" t="str">
        <f t="shared" si="50"/>
        <v>Planning Reg 2023-2024</v>
      </c>
      <c r="AQ251" s="3555">
        <f t="shared" si="50"/>
        <v>1.1576249999999999</v>
      </c>
      <c r="AR251" s="333"/>
      <c r="AS251" s="330"/>
      <c r="AT251" s="330"/>
      <c r="AU251" s="849"/>
      <c r="AV251" s="849"/>
      <c r="AW251" s="3156">
        <f t="shared" si="47"/>
        <v>5881</v>
      </c>
      <c r="AX251" s="3140"/>
    </row>
    <row r="252" spans="1:50" ht="76.5">
      <c r="A252" s="2418" t="s">
        <v>10984</v>
      </c>
      <c r="B252" s="338" t="s">
        <v>11358</v>
      </c>
      <c r="C252" s="321">
        <v>0</v>
      </c>
      <c r="D252" s="323">
        <v>45265</v>
      </c>
      <c r="E252" s="3058" t="s">
        <v>10324</v>
      </c>
      <c r="F252" s="830" t="s">
        <v>11480</v>
      </c>
      <c r="G252" s="5356">
        <v>1.1576249999999999</v>
      </c>
      <c r="H252" s="332" t="s">
        <v>11905</v>
      </c>
      <c r="I252" s="339" t="s">
        <v>9560</v>
      </c>
      <c r="J252" s="2399" t="s">
        <v>4306</v>
      </c>
      <c r="K252" s="340">
        <v>45995</v>
      </c>
      <c r="L252" s="339" t="s">
        <v>11906</v>
      </c>
      <c r="M252" s="322" t="s">
        <v>11907</v>
      </c>
      <c r="N252" s="339" t="s">
        <v>11908</v>
      </c>
      <c r="O252" s="332" t="s">
        <v>11909</v>
      </c>
      <c r="P252" s="345"/>
      <c r="Q252" s="6094" t="s">
        <v>9071</v>
      </c>
      <c r="R252" s="322" t="s">
        <v>11885</v>
      </c>
      <c r="S252" s="346"/>
      <c r="T252" s="347"/>
      <c r="U252" s="326"/>
      <c r="V252" s="348"/>
      <c r="W252" s="347"/>
      <c r="X252" s="326"/>
      <c r="Y252" s="348"/>
      <c r="Z252" s="347"/>
      <c r="AA252" s="326"/>
      <c r="AB252" s="348"/>
      <c r="AC252" s="820"/>
      <c r="AD252" s="821"/>
      <c r="AE252" s="822"/>
      <c r="AF252" s="820"/>
      <c r="AG252" s="821"/>
      <c r="AH252" s="822"/>
      <c r="AI252" s="482">
        <v>5881</v>
      </c>
      <c r="AJ252" s="326">
        <v>0</v>
      </c>
      <c r="AK252" s="3917">
        <v>0</v>
      </c>
      <c r="AL252" s="349">
        <f t="shared" si="46"/>
        <v>5881</v>
      </c>
      <c r="AM252" s="2002"/>
      <c r="AN252" s="3357"/>
      <c r="AO252" s="695"/>
      <c r="AP252" s="3362" t="str">
        <f t="shared" si="50"/>
        <v>Planning Reg 2023-2024</v>
      </c>
      <c r="AQ252" s="3555">
        <f t="shared" si="50"/>
        <v>1.1576249999999999</v>
      </c>
      <c r="AR252" s="333"/>
      <c r="AS252" s="330"/>
      <c r="AT252" s="330"/>
      <c r="AU252" s="849"/>
      <c r="AV252" s="849"/>
      <c r="AW252" s="3156">
        <f t="shared" si="47"/>
        <v>5881</v>
      </c>
      <c r="AX252" s="3140"/>
    </row>
    <row r="253" spans="1:50" ht="51">
      <c r="A253" s="2418" t="s">
        <v>10984</v>
      </c>
      <c r="B253" s="338" t="s">
        <v>11970</v>
      </c>
      <c r="C253" s="321">
        <v>0</v>
      </c>
      <c r="D253" s="323">
        <v>45275</v>
      </c>
      <c r="E253" s="3058" t="s">
        <v>10324</v>
      </c>
      <c r="F253" s="830" t="s">
        <v>11480</v>
      </c>
      <c r="G253" s="5356">
        <v>1.1576249999999999</v>
      </c>
      <c r="H253" s="332" t="s">
        <v>11965</v>
      </c>
      <c r="I253" s="339" t="s">
        <v>1433</v>
      </c>
      <c r="J253" s="322" t="s">
        <v>1434</v>
      </c>
      <c r="K253" s="340">
        <v>47464</v>
      </c>
      <c r="L253" s="339" t="s">
        <v>11966</v>
      </c>
      <c r="M253" s="322" t="s">
        <v>11967</v>
      </c>
      <c r="N253" s="339" t="s">
        <v>11968</v>
      </c>
      <c r="O253" s="332" t="s">
        <v>11969</v>
      </c>
      <c r="P253" s="930" t="s">
        <v>11971</v>
      </c>
      <c r="Q253" s="322" t="s">
        <v>11974</v>
      </c>
      <c r="R253" s="322" t="s">
        <v>7157</v>
      </c>
      <c r="S253" s="346"/>
      <c r="T253" s="347"/>
      <c r="U253" s="326"/>
      <c r="V253" s="348"/>
      <c r="W253" s="347"/>
      <c r="X253" s="326"/>
      <c r="Y253" s="348"/>
      <c r="Z253" s="347"/>
      <c r="AA253" s="326"/>
      <c r="AB253" s="348"/>
      <c r="AC253" s="820"/>
      <c r="AD253" s="821"/>
      <c r="AE253" s="822"/>
      <c r="AF253" s="820"/>
      <c r="AG253" s="821"/>
      <c r="AH253" s="822"/>
      <c r="AI253" s="482">
        <v>11835</v>
      </c>
      <c r="AJ253" s="326">
        <v>0</v>
      </c>
      <c r="AK253" s="3917">
        <v>0</v>
      </c>
      <c r="AL253" s="349">
        <f t="shared" si="46"/>
        <v>11835</v>
      </c>
      <c r="AM253" s="2002"/>
      <c r="AN253" s="3357"/>
      <c r="AO253" s="695"/>
      <c r="AP253" s="3362" t="str">
        <f t="shared" si="50"/>
        <v>Planning Reg 2023-2024</v>
      </c>
      <c r="AQ253" s="3555">
        <f t="shared" si="50"/>
        <v>1.1576249999999999</v>
      </c>
      <c r="AR253" s="333"/>
      <c r="AS253" s="330"/>
      <c r="AT253" s="330"/>
      <c r="AU253" s="849"/>
      <c r="AV253" s="849"/>
      <c r="AW253" s="3156">
        <f t="shared" si="47"/>
        <v>11835</v>
      </c>
      <c r="AX253" s="3140"/>
    </row>
    <row r="254" spans="1:50" ht="51">
      <c r="A254" s="2418" t="s">
        <v>10984</v>
      </c>
      <c r="B254" s="338" t="s">
        <v>11972</v>
      </c>
      <c r="C254" s="321">
        <v>0</v>
      </c>
      <c r="D254" s="323">
        <v>45275</v>
      </c>
      <c r="E254" s="3058" t="s">
        <v>10324</v>
      </c>
      <c r="F254" s="830" t="s">
        <v>11480</v>
      </c>
      <c r="G254" s="5356">
        <v>1.1576249999999999</v>
      </c>
      <c r="H254" s="332" t="s">
        <v>11965</v>
      </c>
      <c r="I254" s="339" t="s">
        <v>1433</v>
      </c>
      <c r="J254" s="322" t="s">
        <v>1434</v>
      </c>
      <c r="K254" s="340">
        <v>47464</v>
      </c>
      <c r="L254" s="339" t="s">
        <v>11966</v>
      </c>
      <c r="M254" s="322" t="s">
        <v>11967</v>
      </c>
      <c r="N254" s="339" t="s">
        <v>11968</v>
      </c>
      <c r="O254" s="332" t="s">
        <v>11969</v>
      </c>
      <c r="P254" s="930" t="s">
        <v>11973</v>
      </c>
      <c r="Q254" s="322" t="s">
        <v>11975</v>
      </c>
      <c r="R254" s="322" t="s">
        <v>7157</v>
      </c>
      <c r="S254" s="346"/>
      <c r="T254" s="347"/>
      <c r="U254" s="326"/>
      <c r="V254" s="348"/>
      <c r="W254" s="347"/>
      <c r="X254" s="326"/>
      <c r="Y254" s="348"/>
      <c r="Z254" s="347"/>
      <c r="AA254" s="326"/>
      <c r="AB254" s="348"/>
      <c r="AC254" s="820"/>
      <c r="AD254" s="821"/>
      <c r="AE254" s="822"/>
      <c r="AF254" s="820"/>
      <c r="AG254" s="821"/>
      <c r="AH254" s="822"/>
      <c r="AI254" s="482">
        <v>5916</v>
      </c>
      <c r="AJ254" s="326">
        <v>0</v>
      </c>
      <c r="AK254" s="3917">
        <v>0</v>
      </c>
      <c r="AL254" s="349">
        <f t="shared" si="46"/>
        <v>5916</v>
      </c>
      <c r="AM254" s="2002"/>
      <c r="AN254" s="3357"/>
      <c r="AO254" s="695"/>
      <c r="AP254" s="3362" t="str">
        <f t="shared" si="50"/>
        <v>Planning Reg 2023-2024</v>
      </c>
      <c r="AQ254" s="3555">
        <f t="shared" si="50"/>
        <v>1.1576249999999999</v>
      </c>
      <c r="AR254" s="333"/>
      <c r="AS254" s="330"/>
      <c r="AT254" s="330"/>
      <c r="AU254" s="849"/>
      <c r="AV254" s="849"/>
      <c r="AW254" s="3156">
        <f t="shared" si="47"/>
        <v>5916</v>
      </c>
      <c r="AX254" s="3140"/>
    </row>
    <row r="255" spans="1:50" ht="76.5">
      <c r="A255" s="2418" t="s">
        <v>10984</v>
      </c>
      <c r="B255" s="338" t="s">
        <v>11360</v>
      </c>
      <c r="C255" s="321">
        <v>0</v>
      </c>
      <c r="D255" s="323">
        <v>45294</v>
      </c>
      <c r="E255" s="3058" t="s">
        <v>10324</v>
      </c>
      <c r="F255" s="830" t="s">
        <v>11480</v>
      </c>
      <c r="G255" s="5356">
        <v>1.1576249999999999</v>
      </c>
      <c r="H255" s="332" t="s">
        <v>12015</v>
      </c>
      <c r="I255" s="339" t="s">
        <v>9560</v>
      </c>
      <c r="J255" s="2399" t="s">
        <v>4306</v>
      </c>
      <c r="K255" s="340">
        <v>46011</v>
      </c>
      <c r="L255" s="339" t="s">
        <v>12016</v>
      </c>
      <c r="M255" s="322" t="s">
        <v>12017</v>
      </c>
      <c r="N255" s="339" t="s">
        <v>12018</v>
      </c>
      <c r="O255" s="332" t="s">
        <v>12019</v>
      </c>
      <c r="P255" s="345"/>
      <c r="Q255" s="6094" t="s">
        <v>9071</v>
      </c>
      <c r="R255" s="322" t="s">
        <v>536</v>
      </c>
      <c r="S255" s="346"/>
      <c r="T255" s="347"/>
      <c r="U255" s="326"/>
      <c r="V255" s="348"/>
      <c r="W255" s="347"/>
      <c r="X255" s="326"/>
      <c r="Y255" s="348"/>
      <c r="Z255" s="347"/>
      <c r="AA255" s="326"/>
      <c r="AB255" s="348"/>
      <c r="AC255" s="820"/>
      <c r="AD255" s="821"/>
      <c r="AE255" s="822"/>
      <c r="AF255" s="820"/>
      <c r="AG255" s="821"/>
      <c r="AH255" s="822"/>
      <c r="AI255" s="482">
        <v>5881</v>
      </c>
      <c r="AJ255" s="326">
        <v>0</v>
      </c>
      <c r="AK255" s="3917">
        <v>0</v>
      </c>
      <c r="AL255" s="349">
        <f t="shared" si="46"/>
        <v>5881</v>
      </c>
      <c r="AM255" s="2002"/>
      <c r="AN255" s="3357"/>
      <c r="AO255" s="695"/>
      <c r="AP255" s="3362" t="str">
        <f t="shared" si="50"/>
        <v>Planning Reg 2023-2024</v>
      </c>
      <c r="AQ255" s="3555">
        <f t="shared" si="50"/>
        <v>1.1576249999999999</v>
      </c>
      <c r="AR255" s="333"/>
      <c r="AS255" s="330"/>
      <c r="AT255" s="330"/>
      <c r="AU255" s="849"/>
      <c r="AV255" s="849"/>
      <c r="AW255" s="3156">
        <f t="shared" si="47"/>
        <v>5881</v>
      </c>
      <c r="AX255" s="3140"/>
    </row>
    <row r="256" spans="1:50" ht="51">
      <c r="A256" s="2418" t="s">
        <v>10984</v>
      </c>
      <c r="B256" s="338" t="s">
        <v>11362</v>
      </c>
      <c r="C256" s="321">
        <v>0</v>
      </c>
      <c r="D256" s="323">
        <v>45303</v>
      </c>
      <c r="E256" s="3058" t="s">
        <v>10324</v>
      </c>
      <c r="F256" s="830" t="s">
        <v>11480</v>
      </c>
      <c r="G256" s="5356">
        <v>1.1576249999999999</v>
      </c>
      <c r="H256" s="332" t="s">
        <v>12031</v>
      </c>
      <c r="I256" s="339" t="s">
        <v>1433</v>
      </c>
      <c r="J256" s="322" t="s">
        <v>1434</v>
      </c>
      <c r="K256" s="340">
        <v>47491</v>
      </c>
      <c r="L256" s="339" t="s">
        <v>10828</v>
      </c>
      <c r="M256" s="322" t="s">
        <v>11300</v>
      </c>
      <c r="N256" s="339" t="s">
        <v>12033</v>
      </c>
      <c r="O256" s="332" t="s">
        <v>12032</v>
      </c>
      <c r="P256" s="345"/>
      <c r="Q256" s="322" t="s">
        <v>12034</v>
      </c>
      <c r="R256" s="322" t="s">
        <v>12035</v>
      </c>
      <c r="S256" s="346"/>
      <c r="T256" s="347"/>
      <c r="U256" s="326"/>
      <c r="V256" s="348"/>
      <c r="W256" s="347"/>
      <c r="X256" s="326"/>
      <c r="Y256" s="348"/>
      <c r="Z256" s="347"/>
      <c r="AA256" s="326"/>
      <c r="AB256" s="348"/>
      <c r="AC256" s="820"/>
      <c r="AD256" s="821"/>
      <c r="AE256" s="822"/>
      <c r="AF256" s="820"/>
      <c r="AG256" s="821"/>
      <c r="AH256" s="822"/>
      <c r="AI256" s="482">
        <v>461198</v>
      </c>
      <c r="AJ256" s="326">
        <v>0</v>
      </c>
      <c r="AK256" s="3917">
        <v>24592</v>
      </c>
      <c r="AL256" s="349">
        <f t="shared" si="46"/>
        <v>436606</v>
      </c>
      <c r="AM256" s="2002"/>
      <c r="AN256" s="3357"/>
      <c r="AO256" s="695"/>
      <c r="AP256" s="3362" t="str">
        <f t="shared" si="50"/>
        <v>Planning Reg 2023-2024</v>
      </c>
      <c r="AQ256" s="3555">
        <f t="shared" si="50"/>
        <v>1.1576249999999999</v>
      </c>
      <c r="AR256" s="333"/>
      <c r="AS256" s="330"/>
      <c r="AT256" s="330"/>
      <c r="AU256" s="849"/>
      <c r="AV256" s="849"/>
      <c r="AW256" s="3156">
        <f t="shared" si="47"/>
        <v>436606</v>
      </c>
      <c r="AX256" s="3140"/>
    </row>
    <row r="257" spans="1:50" ht="51">
      <c r="A257" s="2418" t="s">
        <v>10984</v>
      </c>
      <c r="B257" s="338" t="s">
        <v>12043</v>
      </c>
      <c r="C257" s="321">
        <v>0</v>
      </c>
      <c r="D257" s="323">
        <v>45307</v>
      </c>
      <c r="E257" s="3058" t="s">
        <v>10324</v>
      </c>
      <c r="F257" s="830" t="s">
        <v>11480</v>
      </c>
      <c r="G257" s="5356">
        <v>1.1576249999999999</v>
      </c>
      <c r="H257" s="332" t="s">
        <v>12038</v>
      </c>
      <c r="I257" s="339" t="s">
        <v>5753</v>
      </c>
      <c r="J257" s="322" t="s">
        <v>2712</v>
      </c>
      <c r="K257" s="340">
        <v>46768</v>
      </c>
      <c r="L257" s="339" t="s">
        <v>12039</v>
      </c>
      <c r="M257" s="322" t="s">
        <v>3161</v>
      </c>
      <c r="N257" s="339" t="s">
        <v>12040</v>
      </c>
      <c r="O257" s="332" t="s">
        <v>12041</v>
      </c>
      <c r="P257" s="345" t="s">
        <v>12045</v>
      </c>
      <c r="Q257" s="322" t="s">
        <v>12042</v>
      </c>
      <c r="R257" s="322" t="s">
        <v>5361</v>
      </c>
      <c r="S257" s="346"/>
      <c r="T257" s="347"/>
      <c r="U257" s="326"/>
      <c r="V257" s="348"/>
      <c r="W257" s="347"/>
      <c r="X257" s="326"/>
      <c r="Y257" s="348"/>
      <c r="Z257" s="347"/>
      <c r="AA257" s="326"/>
      <c r="AB257" s="348"/>
      <c r="AC257" s="820"/>
      <c r="AD257" s="821"/>
      <c r="AE257" s="822"/>
      <c r="AF257" s="820"/>
      <c r="AG257" s="821"/>
      <c r="AH257" s="822"/>
      <c r="AI257" s="482">
        <v>144472</v>
      </c>
      <c r="AJ257" s="326">
        <v>0</v>
      </c>
      <c r="AK257" s="3917">
        <v>0</v>
      </c>
      <c r="AL257" s="349">
        <f t="shared" si="46"/>
        <v>144472</v>
      </c>
      <c r="AM257" s="2002"/>
      <c r="AN257" s="3357"/>
      <c r="AO257" s="695"/>
      <c r="AP257" s="3362" t="str">
        <f t="shared" si="50"/>
        <v>Planning Reg 2023-2024</v>
      </c>
      <c r="AQ257" s="3555">
        <f t="shared" si="50"/>
        <v>1.1576249999999999</v>
      </c>
      <c r="AR257" s="333"/>
      <c r="AS257" s="330"/>
      <c r="AT257" s="330"/>
      <c r="AU257" s="849"/>
      <c r="AV257" s="849"/>
      <c r="AW257" s="3156">
        <f t="shared" si="47"/>
        <v>144472</v>
      </c>
      <c r="AX257" s="3140"/>
    </row>
    <row r="258" spans="1:50" ht="51">
      <c r="A258" s="2418" t="s">
        <v>10984</v>
      </c>
      <c r="B258" s="338" t="s">
        <v>12044</v>
      </c>
      <c r="C258" s="321">
        <v>0</v>
      </c>
      <c r="D258" s="323">
        <v>45307</v>
      </c>
      <c r="E258" s="3058" t="s">
        <v>10324</v>
      </c>
      <c r="F258" s="830" t="s">
        <v>11480</v>
      </c>
      <c r="G258" s="5356">
        <v>1.1576249999999999</v>
      </c>
      <c r="H258" s="332" t="s">
        <v>12038</v>
      </c>
      <c r="I258" s="339" t="s">
        <v>5753</v>
      </c>
      <c r="J258" s="322" t="s">
        <v>2712</v>
      </c>
      <c r="K258" s="340">
        <v>46768</v>
      </c>
      <c r="L258" s="339" t="s">
        <v>12039</v>
      </c>
      <c r="M258" s="322" t="s">
        <v>3161</v>
      </c>
      <c r="N258" s="339" t="s">
        <v>12040</v>
      </c>
      <c r="O258" s="332" t="s">
        <v>12041</v>
      </c>
      <c r="P258" s="345" t="s">
        <v>12045</v>
      </c>
      <c r="Q258" s="322" t="s">
        <v>12046</v>
      </c>
      <c r="R258" s="322" t="s">
        <v>12049</v>
      </c>
      <c r="S258" s="346"/>
      <c r="T258" s="347"/>
      <c r="U258" s="326"/>
      <c r="V258" s="348"/>
      <c r="W258" s="347"/>
      <c r="X258" s="326"/>
      <c r="Y258" s="348"/>
      <c r="Z258" s="347"/>
      <c r="AA258" s="326"/>
      <c r="AB258" s="348"/>
      <c r="AC258" s="820"/>
      <c r="AD258" s="821"/>
      <c r="AE258" s="822"/>
      <c r="AF258" s="820"/>
      <c r="AG258" s="821"/>
      <c r="AH258" s="822"/>
      <c r="AI258" s="482">
        <v>100019</v>
      </c>
      <c r="AJ258" s="326">
        <v>0</v>
      </c>
      <c r="AK258" s="3917">
        <v>0</v>
      </c>
      <c r="AL258" s="349">
        <f t="shared" si="46"/>
        <v>100019</v>
      </c>
      <c r="AM258" s="2002"/>
      <c r="AN258" s="3357"/>
      <c r="AO258" s="695"/>
      <c r="AP258" s="3362" t="str">
        <f t="shared" si="50"/>
        <v>Planning Reg 2023-2024</v>
      </c>
      <c r="AQ258" s="3555">
        <f t="shared" si="50"/>
        <v>1.1576249999999999</v>
      </c>
      <c r="AR258" s="333"/>
      <c r="AS258" s="330"/>
      <c r="AT258" s="330"/>
      <c r="AU258" s="849"/>
      <c r="AV258" s="849"/>
      <c r="AW258" s="3156">
        <f t="shared" si="47"/>
        <v>100019</v>
      </c>
      <c r="AX258" s="3140"/>
    </row>
    <row r="259" spans="1:50" ht="76.5">
      <c r="A259" s="2418" t="s">
        <v>10984</v>
      </c>
      <c r="B259" s="5788" t="s">
        <v>12415</v>
      </c>
      <c r="C259" s="695">
        <v>1</v>
      </c>
      <c r="D259" s="323" t="s">
        <v>12090</v>
      </c>
      <c r="E259" s="3058" t="s">
        <v>10324</v>
      </c>
      <c r="F259" s="830" t="s">
        <v>11480</v>
      </c>
      <c r="G259" s="5356">
        <v>1.1576249999999999</v>
      </c>
      <c r="H259" s="332" t="s">
        <v>12065</v>
      </c>
      <c r="I259" s="339" t="s">
        <v>1433</v>
      </c>
      <c r="J259" s="322" t="s">
        <v>12066</v>
      </c>
      <c r="K259" s="340" t="s">
        <v>11396</v>
      </c>
      <c r="L259" s="339" t="s">
        <v>12067</v>
      </c>
      <c r="M259" s="322" t="s">
        <v>12068</v>
      </c>
      <c r="N259" s="339" t="s">
        <v>12069</v>
      </c>
      <c r="O259" s="332" t="s">
        <v>12070</v>
      </c>
      <c r="P259" s="345" t="s">
        <v>12091</v>
      </c>
      <c r="Q259" s="322" t="s">
        <v>12071</v>
      </c>
      <c r="R259" s="322" t="s">
        <v>11569</v>
      </c>
      <c r="S259" s="346"/>
      <c r="T259" s="347"/>
      <c r="U259" s="326"/>
      <c r="V259" s="348"/>
      <c r="W259" s="347"/>
      <c r="X259" s="326"/>
      <c r="Y259" s="348"/>
      <c r="Z259" s="347"/>
      <c r="AA259" s="326"/>
      <c r="AB259" s="348"/>
      <c r="AC259" s="820"/>
      <c r="AD259" s="821"/>
      <c r="AE259" s="822"/>
      <c r="AF259" s="820"/>
      <c r="AG259" s="821"/>
      <c r="AH259" s="822"/>
      <c r="AI259" s="482">
        <v>15095</v>
      </c>
      <c r="AJ259" s="326">
        <v>0</v>
      </c>
      <c r="AK259" s="3917">
        <v>0</v>
      </c>
      <c r="AL259" s="349">
        <f t="shared" ref="AL259:AL316" si="51">AI259-AJ259-AK259</f>
        <v>15095</v>
      </c>
      <c r="AM259" s="2002"/>
      <c r="AN259" s="3357"/>
      <c r="AO259" s="695"/>
      <c r="AP259" s="3362" t="str">
        <f t="shared" si="50"/>
        <v>Planning Reg 2023-2024</v>
      </c>
      <c r="AQ259" s="3555">
        <f t="shared" si="50"/>
        <v>1.1576249999999999</v>
      </c>
      <c r="AR259" s="333"/>
      <c r="AS259" s="330"/>
      <c r="AT259" s="330"/>
      <c r="AU259" s="849"/>
      <c r="AV259" s="849"/>
      <c r="AW259" s="3156">
        <f t="shared" ref="AW259:AW316" si="52">ROUND(AL259*AQ259/G259,0)</f>
        <v>15095</v>
      </c>
      <c r="AX259" s="3140"/>
    </row>
    <row r="260" spans="1:50" ht="76.5">
      <c r="A260" s="2418" t="s">
        <v>10984</v>
      </c>
      <c r="B260" s="338" t="s">
        <v>11943</v>
      </c>
      <c r="C260" s="321">
        <v>0</v>
      </c>
      <c r="D260" s="323">
        <v>45323</v>
      </c>
      <c r="E260" s="3058" t="s">
        <v>10324</v>
      </c>
      <c r="F260" s="830" t="s">
        <v>11480</v>
      </c>
      <c r="G260" s="5356">
        <v>1.1576249999999999</v>
      </c>
      <c r="H260" s="332" t="s">
        <v>12075</v>
      </c>
      <c r="I260" s="339" t="s">
        <v>9560</v>
      </c>
      <c r="J260" s="2399" t="s">
        <v>4306</v>
      </c>
      <c r="K260" s="340">
        <v>46046</v>
      </c>
      <c r="L260" s="339" t="s">
        <v>12076</v>
      </c>
      <c r="M260" s="322" t="s">
        <v>12077</v>
      </c>
      <c r="N260" s="339" t="s">
        <v>12078</v>
      </c>
      <c r="O260" s="332" t="s">
        <v>12079</v>
      </c>
      <c r="P260" s="345"/>
      <c r="Q260" s="6094" t="s">
        <v>9071</v>
      </c>
      <c r="R260" s="322" t="s">
        <v>536</v>
      </c>
      <c r="S260" s="346"/>
      <c r="T260" s="347"/>
      <c r="U260" s="326"/>
      <c r="V260" s="348"/>
      <c r="W260" s="347"/>
      <c r="X260" s="326"/>
      <c r="Y260" s="348"/>
      <c r="Z260" s="347"/>
      <c r="AA260" s="326"/>
      <c r="AB260" s="348"/>
      <c r="AC260" s="820"/>
      <c r="AD260" s="821"/>
      <c r="AE260" s="822"/>
      <c r="AF260" s="820"/>
      <c r="AG260" s="821"/>
      <c r="AH260" s="822"/>
      <c r="AI260" s="482">
        <v>6903</v>
      </c>
      <c r="AJ260" s="326">
        <v>0</v>
      </c>
      <c r="AK260" s="3917">
        <v>0</v>
      </c>
      <c r="AL260" s="349">
        <f t="shared" si="51"/>
        <v>6903</v>
      </c>
      <c r="AM260" s="2002"/>
      <c r="AN260" s="3357"/>
      <c r="AO260" s="695"/>
      <c r="AP260" s="3362" t="str">
        <f t="shared" si="50"/>
        <v>Planning Reg 2023-2024</v>
      </c>
      <c r="AQ260" s="3555">
        <f t="shared" si="50"/>
        <v>1.1576249999999999</v>
      </c>
      <c r="AR260" s="333"/>
      <c r="AS260" s="330"/>
      <c r="AT260" s="330"/>
      <c r="AU260" s="849"/>
      <c r="AV260" s="849"/>
      <c r="AW260" s="3156">
        <f t="shared" si="52"/>
        <v>6903</v>
      </c>
      <c r="AX260" s="3140"/>
    </row>
    <row r="261" spans="1:50" ht="51">
      <c r="A261" s="2418" t="s">
        <v>10984</v>
      </c>
      <c r="B261" s="338" t="s">
        <v>12086</v>
      </c>
      <c r="C261" s="321">
        <v>0</v>
      </c>
      <c r="D261" s="323">
        <v>45323</v>
      </c>
      <c r="E261" s="3058" t="s">
        <v>10324</v>
      </c>
      <c r="F261" s="830" t="s">
        <v>11480</v>
      </c>
      <c r="G261" s="5356">
        <v>1.1576249999999999</v>
      </c>
      <c r="H261" s="332" t="s">
        <v>12080</v>
      </c>
      <c r="I261" s="339" t="s">
        <v>5753</v>
      </c>
      <c r="J261" s="322" t="s">
        <v>2712</v>
      </c>
      <c r="K261" s="340">
        <v>46782</v>
      </c>
      <c r="L261" s="339" t="s">
        <v>12083</v>
      </c>
      <c r="M261" s="322" t="s">
        <v>11300</v>
      </c>
      <c r="N261" s="339" t="s">
        <v>12084</v>
      </c>
      <c r="O261" s="332" t="s">
        <v>12085</v>
      </c>
      <c r="P261" s="345"/>
      <c r="Q261" s="322" t="s">
        <v>12088</v>
      </c>
      <c r="R261" s="322" t="s">
        <v>12082</v>
      </c>
      <c r="S261" s="346"/>
      <c r="T261" s="347"/>
      <c r="U261" s="326"/>
      <c r="V261" s="348"/>
      <c r="W261" s="347"/>
      <c r="X261" s="326"/>
      <c r="Y261" s="348"/>
      <c r="Z261" s="347"/>
      <c r="AA261" s="326"/>
      <c r="AB261" s="348"/>
      <c r="AC261" s="820"/>
      <c r="AD261" s="821"/>
      <c r="AE261" s="822"/>
      <c r="AF261" s="820"/>
      <c r="AG261" s="821"/>
      <c r="AH261" s="822"/>
      <c r="AI261" s="482">
        <v>97241</v>
      </c>
      <c r="AJ261" s="326">
        <v>0</v>
      </c>
      <c r="AK261" s="3917">
        <v>0</v>
      </c>
      <c r="AL261" s="349">
        <f t="shared" si="51"/>
        <v>97241</v>
      </c>
      <c r="AM261" s="2002"/>
      <c r="AN261" s="3357"/>
      <c r="AO261" s="695"/>
      <c r="AP261" s="3362" t="str">
        <f t="shared" si="50"/>
        <v>Planning Reg 2023-2024</v>
      </c>
      <c r="AQ261" s="3555">
        <f t="shared" si="50"/>
        <v>1.1576249999999999</v>
      </c>
      <c r="AR261" s="333"/>
      <c r="AS261" s="330"/>
      <c r="AT261" s="330"/>
      <c r="AU261" s="849"/>
      <c r="AV261" s="849"/>
      <c r="AW261" s="3156">
        <f t="shared" si="52"/>
        <v>97241</v>
      </c>
      <c r="AX261" s="3140"/>
    </row>
    <row r="262" spans="1:50" ht="51">
      <c r="A262" s="2418" t="s">
        <v>10984</v>
      </c>
      <c r="B262" s="338" t="s">
        <v>11944</v>
      </c>
      <c r="C262" s="321">
        <v>0</v>
      </c>
      <c r="D262" s="323">
        <v>45329</v>
      </c>
      <c r="E262" s="3058" t="s">
        <v>10324</v>
      </c>
      <c r="F262" s="830" t="s">
        <v>11480</v>
      </c>
      <c r="G262" s="5356">
        <v>1.1576249999999999</v>
      </c>
      <c r="H262" s="332" t="s">
        <v>12105</v>
      </c>
      <c r="I262" s="339" t="s">
        <v>1433</v>
      </c>
      <c r="J262" s="322" t="s">
        <v>1434</v>
      </c>
      <c r="K262" s="340" t="s">
        <v>11396</v>
      </c>
      <c r="L262" s="339" t="s">
        <v>12100</v>
      </c>
      <c r="M262" s="322" t="s">
        <v>5461</v>
      </c>
      <c r="N262" s="339" t="s">
        <v>12101</v>
      </c>
      <c r="O262" s="332" t="s">
        <v>12102</v>
      </c>
      <c r="P262" s="345"/>
      <c r="Q262" s="322" t="s">
        <v>12103</v>
      </c>
      <c r="R262" s="322" t="s">
        <v>12104</v>
      </c>
      <c r="S262" s="346"/>
      <c r="T262" s="347"/>
      <c r="U262" s="326"/>
      <c r="V262" s="348"/>
      <c r="W262" s="347"/>
      <c r="X262" s="326"/>
      <c r="Y262" s="348"/>
      <c r="Z262" s="347"/>
      <c r="AA262" s="326"/>
      <c r="AB262" s="348"/>
      <c r="AC262" s="820"/>
      <c r="AD262" s="821"/>
      <c r="AE262" s="822"/>
      <c r="AF262" s="820"/>
      <c r="AG262" s="821"/>
      <c r="AH262" s="822"/>
      <c r="AI262" s="482">
        <v>4005</v>
      </c>
      <c r="AJ262" s="326">
        <v>0</v>
      </c>
      <c r="AK262" s="3917">
        <v>0</v>
      </c>
      <c r="AL262" s="349">
        <f t="shared" si="51"/>
        <v>4005</v>
      </c>
      <c r="AM262" s="2002"/>
      <c r="AN262" s="3357"/>
      <c r="AO262" s="695"/>
      <c r="AP262" s="3362" t="str">
        <f t="shared" si="50"/>
        <v>Planning Reg 2023-2024</v>
      </c>
      <c r="AQ262" s="3555">
        <f t="shared" si="50"/>
        <v>1.1576249999999999</v>
      </c>
      <c r="AR262" s="333"/>
      <c r="AS262" s="330"/>
      <c r="AT262" s="330"/>
      <c r="AU262" s="849"/>
      <c r="AV262" s="849"/>
      <c r="AW262" s="3156">
        <f t="shared" si="52"/>
        <v>4005</v>
      </c>
      <c r="AX262" s="3140"/>
    </row>
    <row r="263" spans="1:50" ht="51">
      <c r="A263" s="2418" t="s">
        <v>10984</v>
      </c>
      <c r="B263" s="338" t="s">
        <v>11945</v>
      </c>
      <c r="C263" s="321">
        <v>0</v>
      </c>
      <c r="D263" s="323">
        <v>45330</v>
      </c>
      <c r="E263" s="3058" t="s">
        <v>10324</v>
      </c>
      <c r="F263" s="830" t="s">
        <v>11480</v>
      </c>
      <c r="G263" s="5356">
        <v>1.1576249999999999</v>
      </c>
      <c r="H263" s="332" t="s">
        <v>12107</v>
      </c>
      <c r="I263" s="339" t="s">
        <v>5753</v>
      </c>
      <c r="J263" s="322" t="s">
        <v>2712</v>
      </c>
      <c r="K263" s="340">
        <v>46784</v>
      </c>
      <c r="L263" s="339" t="s">
        <v>12108</v>
      </c>
      <c r="M263" s="322" t="s">
        <v>9660</v>
      </c>
      <c r="N263" s="339" t="s">
        <v>12110</v>
      </c>
      <c r="O263" s="332" t="s">
        <v>12109</v>
      </c>
      <c r="P263" s="345"/>
      <c r="Q263" s="322" t="s">
        <v>12111</v>
      </c>
      <c r="R263" s="322" t="s">
        <v>12082</v>
      </c>
      <c r="S263" s="346"/>
      <c r="T263" s="347"/>
      <c r="U263" s="326"/>
      <c r="V263" s="348"/>
      <c r="W263" s="347"/>
      <c r="X263" s="326"/>
      <c r="Y263" s="348"/>
      <c r="Z263" s="347"/>
      <c r="AA263" s="326"/>
      <c r="AB263" s="348"/>
      <c r="AC263" s="820"/>
      <c r="AD263" s="821"/>
      <c r="AE263" s="822"/>
      <c r="AF263" s="820"/>
      <c r="AG263" s="821"/>
      <c r="AH263" s="822"/>
      <c r="AI263" s="482">
        <v>16570</v>
      </c>
      <c r="AJ263" s="326">
        <v>0</v>
      </c>
      <c r="AK263" s="3917">
        <v>0</v>
      </c>
      <c r="AL263" s="349">
        <f t="shared" si="51"/>
        <v>16570</v>
      </c>
      <c r="AM263" s="2002"/>
      <c r="AN263" s="3357"/>
      <c r="AO263" s="695"/>
      <c r="AP263" s="3362" t="str">
        <f t="shared" si="50"/>
        <v>Planning Reg 2023-2024</v>
      </c>
      <c r="AQ263" s="3555">
        <f t="shared" si="50"/>
        <v>1.1576249999999999</v>
      </c>
      <c r="AR263" s="333"/>
      <c r="AS263" s="330"/>
      <c r="AT263" s="330"/>
      <c r="AU263" s="849"/>
      <c r="AV263" s="849"/>
      <c r="AW263" s="3156">
        <f t="shared" si="52"/>
        <v>16570</v>
      </c>
      <c r="AX263" s="3140"/>
    </row>
    <row r="264" spans="1:50" ht="76.5">
      <c r="A264" s="2418" t="s">
        <v>10984</v>
      </c>
      <c r="B264" s="338" t="s">
        <v>11947</v>
      </c>
      <c r="C264" s="321">
        <v>0</v>
      </c>
      <c r="D264" s="323">
        <v>45358</v>
      </c>
      <c r="E264" s="3058" t="s">
        <v>10324</v>
      </c>
      <c r="F264" s="830" t="s">
        <v>11480</v>
      </c>
      <c r="G264" s="5356">
        <v>1.1576249999999999</v>
      </c>
      <c r="H264" s="2273" t="s">
        <v>12148</v>
      </c>
      <c r="I264" s="339" t="s">
        <v>12140</v>
      </c>
      <c r="J264" s="2399" t="s">
        <v>4306</v>
      </c>
      <c r="K264" s="340">
        <v>46045</v>
      </c>
      <c r="L264" s="339" t="s">
        <v>12141</v>
      </c>
      <c r="M264" s="322" t="s">
        <v>12142</v>
      </c>
      <c r="N264" s="339" t="s">
        <v>12143</v>
      </c>
      <c r="O264" s="332" t="s">
        <v>12145</v>
      </c>
      <c r="P264" s="345"/>
      <c r="Q264" s="6094" t="s">
        <v>9071</v>
      </c>
      <c r="R264" s="322" t="s">
        <v>536</v>
      </c>
      <c r="S264" s="346"/>
      <c r="T264" s="347"/>
      <c r="U264" s="326"/>
      <c r="V264" s="348"/>
      <c r="W264" s="347"/>
      <c r="X264" s="326"/>
      <c r="Y264" s="348"/>
      <c r="Z264" s="347"/>
      <c r="AA264" s="326"/>
      <c r="AB264" s="348"/>
      <c r="AC264" s="820"/>
      <c r="AD264" s="821"/>
      <c r="AE264" s="822"/>
      <c r="AF264" s="820"/>
      <c r="AG264" s="821"/>
      <c r="AH264" s="822"/>
      <c r="AI264" s="482">
        <v>5881</v>
      </c>
      <c r="AJ264" s="326">
        <v>0</v>
      </c>
      <c r="AK264" s="3917">
        <v>0</v>
      </c>
      <c r="AL264" s="349">
        <f t="shared" si="51"/>
        <v>5881</v>
      </c>
      <c r="AM264" s="2002"/>
      <c r="AN264" s="3357"/>
      <c r="AO264" s="695"/>
      <c r="AP264" s="3362" t="str">
        <f t="shared" ref="AP264:AQ283" si="53">AP$2</f>
        <v>Planning Reg 2023-2024</v>
      </c>
      <c r="AQ264" s="3555">
        <f t="shared" si="53"/>
        <v>1.1576249999999999</v>
      </c>
      <c r="AR264" s="333"/>
      <c r="AS264" s="330"/>
      <c r="AT264" s="330"/>
      <c r="AU264" s="849"/>
      <c r="AV264" s="849"/>
      <c r="AW264" s="3156">
        <f t="shared" si="52"/>
        <v>5881</v>
      </c>
      <c r="AX264" s="3140"/>
    </row>
    <row r="265" spans="1:50" ht="76.5">
      <c r="A265" s="2418" t="s">
        <v>10984</v>
      </c>
      <c r="B265" s="338" t="s">
        <v>11948</v>
      </c>
      <c r="C265" s="321">
        <v>0</v>
      </c>
      <c r="D265" s="323">
        <v>45358</v>
      </c>
      <c r="E265" s="3058" t="s">
        <v>10324</v>
      </c>
      <c r="F265" s="830" t="s">
        <v>11480</v>
      </c>
      <c r="G265" s="5356">
        <v>1.1576249999999999</v>
      </c>
      <c r="H265" s="2273" t="s">
        <v>12149</v>
      </c>
      <c r="I265" s="339" t="s">
        <v>12147</v>
      </c>
      <c r="J265" s="2399" t="s">
        <v>4306</v>
      </c>
      <c r="K265" s="340">
        <v>46034</v>
      </c>
      <c r="L265" s="339" t="s">
        <v>12141</v>
      </c>
      <c r="M265" s="322" t="s">
        <v>12142</v>
      </c>
      <c r="N265" s="339" t="s">
        <v>12144</v>
      </c>
      <c r="O265" s="332" t="s">
        <v>12146</v>
      </c>
      <c r="P265" s="345"/>
      <c r="Q265" s="6094" t="s">
        <v>9071</v>
      </c>
      <c r="R265" s="322" t="s">
        <v>536</v>
      </c>
      <c r="S265" s="346"/>
      <c r="T265" s="347"/>
      <c r="U265" s="326"/>
      <c r="V265" s="348"/>
      <c r="W265" s="347"/>
      <c r="X265" s="326"/>
      <c r="Y265" s="348"/>
      <c r="Z265" s="347"/>
      <c r="AA265" s="326"/>
      <c r="AB265" s="348"/>
      <c r="AC265" s="820"/>
      <c r="AD265" s="821"/>
      <c r="AE265" s="822"/>
      <c r="AF265" s="820"/>
      <c r="AG265" s="821"/>
      <c r="AH265" s="822"/>
      <c r="AI265" s="482">
        <v>5881</v>
      </c>
      <c r="AJ265" s="326">
        <v>0</v>
      </c>
      <c r="AK265" s="3917">
        <v>0</v>
      </c>
      <c r="AL265" s="349">
        <f t="shared" si="51"/>
        <v>5881</v>
      </c>
      <c r="AM265" s="2002"/>
      <c r="AN265" s="3357"/>
      <c r="AO265" s="695"/>
      <c r="AP265" s="3362" t="str">
        <f t="shared" si="53"/>
        <v>Planning Reg 2023-2024</v>
      </c>
      <c r="AQ265" s="3555">
        <f t="shared" si="53"/>
        <v>1.1576249999999999</v>
      </c>
      <c r="AR265" s="333"/>
      <c r="AS265" s="330"/>
      <c r="AT265" s="330"/>
      <c r="AU265" s="849"/>
      <c r="AV265" s="849"/>
      <c r="AW265" s="3156">
        <f t="shared" si="52"/>
        <v>5881</v>
      </c>
      <c r="AX265" s="3140"/>
    </row>
    <row r="266" spans="1:50" ht="51">
      <c r="A266" s="2418" t="s">
        <v>10984</v>
      </c>
      <c r="B266" s="338" t="s">
        <v>11949</v>
      </c>
      <c r="C266" s="321">
        <v>0</v>
      </c>
      <c r="D266" s="323">
        <v>45363</v>
      </c>
      <c r="E266" s="3058" t="s">
        <v>10324</v>
      </c>
      <c r="F266" s="830" t="s">
        <v>11480</v>
      </c>
      <c r="G266" s="5356">
        <v>1.1576249999999999</v>
      </c>
      <c r="H266" s="332" t="s">
        <v>12152</v>
      </c>
      <c r="I266" s="339" t="s">
        <v>1433</v>
      </c>
      <c r="J266" s="322" t="s">
        <v>1434</v>
      </c>
      <c r="K266" s="340">
        <v>47549</v>
      </c>
      <c r="L266" s="339" t="s">
        <v>12153</v>
      </c>
      <c r="M266" s="322" t="s">
        <v>10439</v>
      </c>
      <c r="N266" s="339" t="s">
        <v>12154</v>
      </c>
      <c r="O266" s="332" t="s">
        <v>12163</v>
      </c>
      <c r="P266" s="345"/>
      <c r="Q266" s="6094" t="s">
        <v>12182</v>
      </c>
      <c r="R266" s="322" t="s">
        <v>536</v>
      </c>
      <c r="S266" s="346"/>
      <c r="T266" s="347"/>
      <c r="U266" s="326"/>
      <c r="V266" s="348"/>
      <c r="W266" s="347"/>
      <c r="X266" s="326"/>
      <c r="Y266" s="348"/>
      <c r="Z266" s="347"/>
      <c r="AA266" s="326"/>
      <c r="AB266" s="348"/>
      <c r="AC266" s="820"/>
      <c r="AD266" s="821"/>
      <c r="AE266" s="822"/>
      <c r="AF266" s="820"/>
      <c r="AG266" s="821"/>
      <c r="AH266" s="822"/>
      <c r="AI266" s="482">
        <v>5881</v>
      </c>
      <c r="AJ266" s="326">
        <v>0</v>
      </c>
      <c r="AK266" s="3917">
        <v>0</v>
      </c>
      <c r="AL266" s="349">
        <f t="shared" si="51"/>
        <v>5881</v>
      </c>
      <c r="AM266" s="2002"/>
      <c r="AN266" s="3357"/>
      <c r="AO266" s="695"/>
      <c r="AP266" s="3362" t="str">
        <f t="shared" si="53"/>
        <v>Planning Reg 2023-2024</v>
      </c>
      <c r="AQ266" s="3555">
        <f t="shared" si="53"/>
        <v>1.1576249999999999</v>
      </c>
      <c r="AR266" s="333"/>
      <c r="AS266" s="330"/>
      <c r="AT266" s="330"/>
      <c r="AU266" s="849"/>
      <c r="AV266" s="849"/>
      <c r="AW266" s="3156">
        <f t="shared" si="52"/>
        <v>5881</v>
      </c>
      <c r="AX266" s="3140"/>
    </row>
    <row r="267" spans="1:50" ht="63.75">
      <c r="A267" s="2418" t="s">
        <v>10984</v>
      </c>
      <c r="B267" s="338" t="s">
        <v>11950</v>
      </c>
      <c r="C267" s="321">
        <v>0</v>
      </c>
      <c r="D267" s="323">
        <v>45364</v>
      </c>
      <c r="E267" s="3058" t="s">
        <v>10324</v>
      </c>
      <c r="F267" s="830" t="s">
        <v>11480</v>
      </c>
      <c r="G267" s="5356">
        <v>1.1576249999999999</v>
      </c>
      <c r="H267" s="332" t="s">
        <v>12155</v>
      </c>
      <c r="I267" s="339" t="s">
        <v>1433</v>
      </c>
      <c r="J267" s="322" t="s">
        <v>1434</v>
      </c>
      <c r="K267" s="340">
        <v>47547</v>
      </c>
      <c r="L267" s="339" t="s">
        <v>10828</v>
      </c>
      <c r="M267" s="322" t="s">
        <v>11300</v>
      </c>
      <c r="N267" s="339" t="s">
        <v>12156</v>
      </c>
      <c r="O267" s="332" t="s">
        <v>12157</v>
      </c>
      <c r="P267" s="345"/>
      <c r="Q267" s="322" t="s">
        <v>12159</v>
      </c>
      <c r="R267" s="322" t="s">
        <v>12158</v>
      </c>
      <c r="S267" s="346"/>
      <c r="T267" s="347"/>
      <c r="U267" s="326"/>
      <c r="V267" s="348"/>
      <c r="W267" s="347"/>
      <c r="X267" s="326"/>
      <c r="Y267" s="348"/>
      <c r="Z267" s="347"/>
      <c r="AA267" s="326"/>
      <c r="AB267" s="348"/>
      <c r="AC267" s="820"/>
      <c r="AD267" s="821"/>
      <c r="AE267" s="822"/>
      <c r="AF267" s="820"/>
      <c r="AG267" s="821"/>
      <c r="AH267" s="822"/>
      <c r="AI267" s="482">
        <v>50222</v>
      </c>
      <c r="AJ267" s="326">
        <v>0</v>
      </c>
      <c r="AK267" s="3917">
        <v>0</v>
      </c>
      <c r="AL267" s="349">
        <f t="shared" si="51"/>
        <v>50222</v>
      </c>
      <c r="AM267" s="2002"/>
      <c r="AN267" s="3357"/>
      <c r="AO267" s="695"/>
      <c r="AP267" s="3362" t="str">
        <f t="shared" si="53"/>
        <v>Planning Reg 2023-2024</v>
      </c>
      <c r="AQ267" s="3555">
        <f t="shared" si="53"/>
        <v>1.1576249999999999</v>
      </c>
      <c r="AR267" s="333"/>
      <c r="AS267" s="330"/>
      <c r="AT267" s="330"/>
      <c r="AU267" s="849"/>
      <c r="AV267" s="849"/>
      <c r="AW267" s="3156">
        <f t="shared" si="52"/>
        <v>50222</v>
      </c>
      <c r="AX267" s="3140"/>
    </row>
    <row r="268" spans="1:50" ht="89.25">
      <c r="A268" s="6191" t="s">
        <v>10984</v>
      </c>
      <c r="B268" s="5796" t="s">
        <v>11951</v>
      </c>
      <c r="C268" s="5797">
        <v>0</v>
      </c>
      <c r="D268" s="5798">
        <v>45365</v>
      </c>
      <c r="E268" s="5799" t="s">
        <v>10324</v>
      </c>
      <c r="F268" s="5800" t="s">
        <v>11480</v>
      </c>
      <c r="G268" s="5801">
        <v>1.1576249999999999</v>
      </c>
      <c r="H268" s="5802" t="s">
        <v>12161</v>
      </c>
      <c r="I268" s="5803" t="s">
        <v>1433</v>
      </c>
      <c r="J268" s="5804" t="s">
        <v>1434</v>
      </c>
      <c r="K268" s="5805">
        <v>47554</v>
      </c>
      <c r="L268" s="5803" t="s">
        <v>12162</v>
      </c>
      <c r="M268" s="5804" t="s">
        <v>9455</v>
      </c>
      <c r="N268" s="5803" t="s">
        <v>12165</v>
      </c>
      <c r="O268" s="5802" t="s">
        <v>12164</v>
      </c>
      <c r="P268" s="5806"/>
      <c r="Q268" s="5804" t="s">
        <v>12166</v>
      </c>
      <c r="R268" s="5804" t="s">
        <v>12167</v>
      </c>
      <c r="S268" s="5807" t="s">
        <v>12168</v>
      </c>
      <c r="T268" s="5808"/>
      <c r="U268" s="5809"/>
      <c r="V268" s="5810"/>
      <c r="W268" s="5808"/>
      <c r="X268" s="5809"/>
      <c r="Y268" s="5810"/>
      <c r="Z268" s="5808"/>
      <c r="AA268" s="5809"/>
      <c r="AB268" s="5810"/>
      <c r="AC268" s="5808"/>
      <c r="AD268" s="5809"/>
      <c r="AE268" s="5810"/>
      <c r="AF268" s="5808"/>
      <c r="AG268" s="5809"/>
      <c r="AH268" s="5810"/>
      <c r="AI268" s="5811">
        <v>37915</v>
      </c>
      <c r="AJ268" s="5809">
        <v>37915</v>
      </c>
      <c r="AK268" s="5812">
        <v>0</v>
      </c>
      <c r="AL268" s="5813">
        <f t="shared" si="51"/>
        <v>0</v>
      </c>
      <c r="AM268" s="5814"/>
      <c r="AN268" s="5815"/>
      <c r="AO268" s="5816"/>
      <c r="AP268" s="5817" t="str">
        <f t="shared" si="53"/>
        <v>Planning Reg 2023-2024</v>
      </c>
      <c r="AQ268" s="5818">
        <f t="shared" si="53"/>
        <v>1.1576249999999999</v>
      </c>
      <c r="AR268" s="5819"/>
      <c r="AS268" s="5820"/>
      <c r="AT268" s="5820"/>
      <c r="AU268" s="5820"/>
      <c r="AV268" s="5820"/>
      <c r="AW268" s="5821">
        <f t="shared" si="52"/>
        <v>0</v>
      </c>
      <c r="AX268" s="6417"/>
    </row>
    <row r="269" spans="1:50" ht="51">
      <c r="A269" s="2418" t="s">
        <v>10984</v>
      </c>
      <c r="B269" s="338" t="s">
        <v>12184</v>
      </c>
      <c r="C269" s="695">
        <v>1</v>
      </c>
      <c r="D269" s="323" t="s">
        <v>12185</v>
      </c>
      <c r="E269" s="3058" t="s">
        <v>10324</v>
      </c>
      <c r="F269" s="830" t="s">
        <v>11480</v>
      </c>
      <c r="G269" s="5356">
        <v>1.1576249999999999</v>
      </c>
      <c r="H269" s="332" t="s">
        <v>12174</v>
      </c>
      <c r="I269" s="339" t="s">
        <v>1433</v>
      </c>
      <c r="J269" s="322" t="s">
        <v>1434</v>
      </c>
      <c r="K269" s="340">
        <v>47561</v>
      </c>
      <c r="L269" s="339" t="s">
        <v>12175</v>
      </c>
      <c r="M269" s="322" t="s">
        <v>12176</v>
      </c>
      <c r="N269" s="339" t="s">
        <v>12178</v>
      </c>
      <c r="O269" s="332" t="s">
        <v>12177</v>
      </c>
      <c r="P269" s="345" t="s">
        <v>12210</v>
      </c>
      <c r="Q269" s="322" t="s">
        <v>12186</v>
      </c>
      <c r="R269" s="322" t="s">
        <v>581</v>
      </c>
      <c r="S269" s="346"/>
      <c r="T269" s="347"/>
      <c r="U269" s="326"/>
      <c r="V269" s="348"/>
      <c r="W269" s="347"/>
      <c r="X269" s="326"/>
      <c r="Y269" s="348"/>
      <c r="Z269" s="347"/>
      <c r="AA269" s="326"/>
      <c r="AB269" s="348"/>
      <c r="AC269" s="820"/>
      <c r="AD269" s="821"/>
      <c r="AE269" s="822"/>
      <c r="AF269" s="820"/>
      <c r="AG269" s="821"/>
      <c r="AH269" s="822"/>
      <c r="AI269" s="482">
        <v>28370</v>
      </c>
      <c r="AJ269" s="326">
        <v>0</v>
      </c>
      <c r="AK269" s="3917">
        <v>3769</v>
      </c>
      <c r="AL269" s="349">
        <f t="shared" si="51"/>
        <v>24601</v>
      </c>
      <c r="AM269" s="2002"/>
      <c r="AN269" s="3357"/>
      <c r="AO269" s="695"/>
      <c r="AP269" s="3362" t="str">
        <f t="shared" si="53"/>
        <v>Planning Reg 2023-2024</v>
      </c>
      <c r="AQ269" s="3555">
        <f t="shared" si="53"/>
        <v>1.1576249999999999</v>
      </c>
      <c r="AR269" s="333"/>
      <c r="AS269" s="330"/>
      <c r="AT269" s="330"/>
      <c r="AU269" s="849"/>
      <c r="AV269" s="849"/>
      <c r="AW269" s="3156">
        <f t="shared" si="52"/>
        <v>24601</v>
      </c>
      <c r="AX269" s="3140"/>
    </row>
    <row r="270" spans="1:50" ht="51">
      <c r="A270" s="2418" t="s">
        <v>10984</v>
      </c>
      <c r="B270" s="338" t="s">
        <v>11953</v>
      </c>
      <c r="C270" s="321">
        <v>0</v>
      </c>
      <c r="D270" s="323">
        <v>45373</v>
      </c>
      <c r="E270" s="3058" t="s">
        <v>10324</v>
      </c>
      <c r="F270" s="830" t="s">
        <v>11480</v>
      </c>
      <c r="G270" s="5356">
        <v>1.1576249999999999</v>
      </c>
      <c r="H270" s="332" t="s">
        <v>12187</v>
      </c>
      <c r="I270" s="339" t="s">
        <v>1433</v>
      </c>
      <c r="J270" s="322" t="s">
        <v>1434</v>
      </c>
      <c r="K270" s="340">
        <v>47563</v>
      </c>
      <c r="L270" s="339" t="s">
        <v>12188</v>
      </c>
      <c r="M270" s="322" t="s">
        <v>9660</v>
      </c>
      <c r="N270" s="339" t="s">
        <v>12189</v>
      </c>
      <c r="O270" s="332" t="s">
        <v>12190</v>
      </c>
      <c r="P270" s="345"/>
      <c r="Q270" s="322" t="s">
        <v>12191</v>
      </c>
      <c r="R270" s="322" t="s">
        <v>9071</v>
      </c>
      <c r="S270" s="346"/>
      <c r="T270" s="347"/>
      <c r="U270" s="326"/>
      <c r="V270" s="348"/>
      <c r="W270" s="347"/>
      <c r="X270" s="326"/>
      <c r="Y270" s="348"/>
      <c r="Z270" s="347"/>
      <c r="AA270" s="326"/>
      <c r="AB270" s="348"/>
      <c r="AC270" s="820"/>
      <c r="AD270" s="821"/>
      <c r="AE270" s="822"/>
      <c r="AF270" s="820"/>
      <c r="AG270" s="821"/>
      <c r="AH270" s="822"/>
      <c r="AI270" s="482">
        <v>6987</v>
      </c>
      <c r="AJ270" s="326">
        <v>0</v>
      </c>
      <c r="AK270" s="3917">
        <v>0</v>
      </c>
      <c r="AL270" s="349">
        <f t="shared" si="51"/>
        <v>6987</v>
      </c>
      <c r="AM270" s="2002"/>
      <c r="AN270" s="3357"/>
      <c r="AO270" s="695"/>
      <c r="AP270" s="3362" t="str">
        <f t="shared" si="53"/>
        <v>Planning Reg 2023-2024</v>
      </c>
      <c r="AQ270" s="3555">
        <f t="shared" si="53"/>
        <v>1.1576249999999999</v>
      </c>
      <c r="AR270" s="333"/>
      <c r="AS270" s="330"/>
      <c r="AT270" s="330"/>
      <c r="AU270" s="849"/>
      <c r="AV270" s="849"/>
      <c r="AW270" s="3156">
        <f t="shared" si="52"/>
        <v>6987</v>
      </c>
      <c r="AX270" s="3140"/>
    </row>
    <row r="271" spans="1:50" ht="51">
      <c r="A271" s="2418" t="s">
        <v>10984</v>
      </c>
      <c r="B271" s="338" t="s">
        <v>11954</v>
      </c>
      <c r="C271" s="321">
        <v>0</v>
      </c>
      <c r="D271" s="323">
        <v>45376</v>
      </c>
      <c r="E271" s="3058" t="s">
        <v>10324</v>
      </c>
      <c r="F271" s="830" t="s">
        <v>11480</v>
      </c>
      <c r="G271" s="5356">
        <v>1.1576249999999999</v>
      </c>
      <c r="H271" s="332" t="s">
        <v>12195</v>
      </c>
      <c r="I271" s="339" t="s">
        <v>1433</v>
      </c>
      <c r="J271" s="322" t="s">
        <v>1434</v>
      </c>
      <c r="K271" s="340" t="s">
        <v>11396</v>
      </c>
      <c r="L271" s="339" t="s">
        <v>12196</v>
      </c>
      <c r="M271" s="322" t="s">
        <v>9660</v>
      </c>
      <c r="N271" s="339" t="s">
        <v>12198</v>
      </c>
      <c r="O271" s="332" t="s">
        <v>12197</v>
      </c>
      <c r="P271" s="345"/>
      <c r="Q271" s="322" t="s">
        <v>12199</v>
      </c>
      <c r="R271" s="322" t="s">
        <v>12200</v>
      </c>
      <c r="S271" s="346"/>
      <c r="T271" s="347"/>
      <c r="U271" s="326"/>
      <c r="V271" s="348"/>
      <c r="W271" s="347"/>
      <c r="X271" s="326"/>
      <c r="Y271" s="348"/>
      <c r="Z271" s="347"/>
      <c r="AA271" s="326"/>
      <c r="AB271" s="348"/>
      <c r="AC271" s="820"/>
      <c r="AD271" s="821"/>
      <c r="AE271" s="822"/>
      <c r="AF271" s="820"/>
      <c r="AG271" s="821"/>
      <c r="AH271" s="822"/>
      <c r="AI271" s="482">
        <v>5557</v>
      </c>
      <c r="AJ271" s="326">
        <v>0</v>
      </c>
      <c r="AK271" s="3917">
        <v>0</v>
      </c>
      <c r="AL271" s="349">
        <f t="shared" si="51"/>
        <v>5557</v>
      </c>
      <c r="AM271" s="2002"/>
      <c r="AN271" s="3357"/>
      <c r="AO271" s="695"/>
      <c r="AP271" s="3362" t="str">
        <f t="shared" si="53"/>
        <v>Planning Reg 2023-2024</v>
      </c>
      <c r="AQ271" s="3555">
        <f t="shared" si="53"/>
        <v>1.1576249999999999</v>
      </c>
      <c r="AR271" s="333"/>
      <c r="AS271" s="330"/>
      <c r="AT271" s="330"/>
      <c r="AU271" s="849"/>
      <c r="AV271" s="849"/>
      <c r="AW271" s="3156">
        <f t="shared" si="52"/>
        <v>5557</v>
      </c>
      <c r="AX271" s="3140"/>
    </row>
    <row r="272" spans="1:50" ht="51">
      <c r="A272" s="2418" t="s">
        <v>10984</v>
      </c>
      <c r="B272" s="338" t="s">
        <v>11955</v>
      </c>
      <c r="C272" s="321">
        <v>0</v>
      </c>
      <c r="D272" s="323">
        <v>45377</v>
      </c>
      <c r="E272" s="3058" t="s">
        <v>10324</v>
      </c>
      <c r="F272" s="830" t="s">
        <v>11480</v>
      </c>
      <c r="G272" s="5356">
        <v>1.1576249999999999</v>
      </c>
      <c r="H272" s="332" t="s">
        <v>12201</v>
      </c>
      <c r="I272" s="339" t="s">
        <v>5753</v>
      </c>
      <c r="J272" s="322" t="s">
        <v>2712</v>
      </c>
      <c r="K272" s="340">
        <v>46834</v>
      </c>
      <c r="L272" s="339" t="s">
        <v>12202</v>
      </c>
      <c r="M272" s="322" t="s">
        <v>9660</v>
      </c>
      <c r="N272" s="339" t="s">
        <v>9143</v>
      </c>
      <c r="O272" s="332" t="s">
        <v>12203</v>
      </c>
      <c r="P272" s="345"/>
      <c r="Q272" s="322" t="s">
        <v>12204</v>
      </c>
      <c r="R272" s="322" t="s">
        <v>12205</v>
      </c>
      <c r="S272" s="346"/>
      <c r="T272" s="347"/>
      <c r="U272" s="326"/>
      <c r="V272" s="348"/>
      <c r="W272" s="347"/>
      <c r="X272" s="326"/>
      <c r="Y272" s="348"/>
      <c r="Z272" s="347"/>
      <c r="AA272" s="326"/>
      <c r="AB272" s="348"/>
      <c r="AC272" s="820"/>
      <c r="AD272" s="821"/>
      <c r="AE272" s="822"/>
      <c r="AF272" s="820"/>
      <c r="AG272" s="821"/>
      <c r="AH272" s="822"/>
      <c r="AI272" s="482">
        <v>12544</v>
      </c>
      <c r="AJ272" s="326">
        <v>0</v>
      </c>
      <c r="AK272" s="3917">
        <v>0</v>
      </c>
      <c r="AL272" s="349">
        <f t="shared" si="51"/>
        <v>12544</v>
      </c>
      <c r="AM272" s="2002"/>
      <c r="AN272" s="3357"/>
      <c r="AO272" s="695"/>
      <c r="AP272" s="3362" t="str">
        <f t="shared" si="53"/>
        <v>Planning Reg 2023-2024</v>
      </c>
      <c r="AQ272" s="3555">
        <f t="shared" si="53"/>
        <v>1.1576249999999999</v>
      </c>
      <c r="AR272" s="333"/>
      <c r="AS272" s="330"/>
      <c r="AT272" s="330"/>
      <c r="AU272" s="849"/>
      <c r="AV272" s="849"/>
      <c r="AW272" s="3156">
        <f t="shared" si="52"/>
        <v>12544</v>
      </c>
      <c r="AX272" s="3140"/>
    </row>
    <row r="273" spans="1:50" ht="51">
      <c r="A273" s="2418" t="s">
        <v>10984</v>
      </c>
      <c r="B273" s="338" t="s">
        <v>11956</v>
      </c>
      <c r="C273" s="321">
        <v>0</v>
      </c>
      <c r="D273" s="323">
        <v>45391</v>
      </c>
      <c r="E273" s="3058" t="s">
        <v>10324</v>
      </c>
      <c r="F273" s="830" t="s">
        <v>11480</v>
      </c>
      <c r="G273" s="5356">
        <v>1.1576249999999999</v>
      </c>
      <c r="H273" s="332" t="s">
        <v>12211</v>
      </c>
      <c r="I273" s="339" t="s">
        <v>1433</v>
      </c>
      <c r="J273" s="322" t="s">
        <v>1434</v>
      </c>
      <c r="K273" s="340">
        <v>47570</v>
      </c>
      <c r="L273" s="339" t="s">
        <v>12212</v>
      </c>
      <c r="M273" s="322" t="s">
        <v>12213</v>
      </c>
      <c r="N273" s="339" t="s">
        <v>12214</v>
      </c>
      <c r="O273" s="332" t="s">
        <v>12215</v>
      </c>
      <c r="P273" s="345"/>
      <c r="Q273" s="322" t="s">
        <v>12217</v>
      </c>
      <c r="R273" s="322" t="s">
        <v>12216</v>
      </c>
      <c r="S273" s="346"/>
      <c r="T273" s="347"/>
      <c r="U273" s="326"/>
      <c r="V273" s="348"/>
      <c r="W273" s="347"/>
      <c r="X273" s="326"/>
      <c r="Y273" s="348"/>
      <c r="Z273" s="347"/>
      <c r="AA273" s="326"/>
      <c r="AB273" s="348"/>
      <c r="AC273" s="820"/>
      <c r="AD273" s="821"/>
      <c r="AE273" s="822"/>
      <c r="AF273" s="820"/>
      <c r="AG273" s="821"/>
      <c r="AH273" s="822"/>
      <c r="AI273" s="482">
        <v>9800</v>
      </c>
      <c r="AJ273" s="326">
        <v>0</v>
      </c>
      <c r="AK273" s="3917">
        <v>0</v>
      </c>
      <c r="AL273" s="349">
        <f t="shared" si="51"/>
        <v>9800</v>
      </c>
      <c r="AM273" s="2002"/>
      <c r="AN273" s="3357"/>
      <c r="AO273" s="695"/>
      <c r="AP273" s="3362" t="str">
        <f t="shared" si="53"/>
        <v>Planning Reg 2023-2024</v>
      </c>
      <c r="AQ273" s="3555">
        <f t="shared" si="53"/>
        <v>1.1576249999999999</v>
      </c>
      <c r="AR273" s="333"/>
      <c r="AS273" s="330"/>
      <c r="AT273" s="330"/>
      <c r="AU273" s="849"/>
      <c r="AV273" s="849"/>
      <c r="AW273" s="3156">
        <f t="shared" si="52"/>
        <v>9800</v>
      </c>
      <c r="AX273" s="3140"/>
    </row>
    <row r="274" spans="1:50" ht="51">
      <c r="A274" s="2418" t="s">
        <v>10984</v>
      </c>
      <c r="B274" s="338" t="s">
        <v>11957</v>
      </c>
      <c r="C274" s="321">
        <v>0</v>
      </c>
      <c r="D274" s="323">
        <v>45392</v>
      </c>
      <c r="E274" s="3058" t="s">
        <v>10324</v>
      </c>
      <c r="F274" s="830" t="s">
        <v>11480</v>
      </c>
      <c r="G274" s="5356">
        <v>1.1576249999999999</v>
      </c>
      <c r="H274" s="332" t="s">
        <v>12239</v>
      </c>
      <c r="I274" s="339" t="s">
        <v>1433</v>
      </c>
      <c r="J274" s="322" t="s">
        <v>1434</v>
      </c>
      <c r="K274" s="340">
        <v>47582</v>
      </c>
      <c r="L274" s="339" t="s">
        <v>12235</v>
      </c>
      <c r="M274" s="322" t="s">
        <v>5461</v>
      </c>
      <c r="N274" s="339" t="s">
        <v>12236</v>
      </c>
      <c r="O274" s="332" t="s">
        <v>12237</v>
      </c>
      <c r="P274" s="345"/>
      <c r="Q274" s="322" t="s">
        <v>12238</v>
      </c>
      <c r="R274" s="322" t="s">
        <v>581</v>
      </c>
      <c r="S274" s="346"/>
      <c r="T274" s="347"/>
      <c r="U274" s="326"/>
      <c r="V274" s="348"/>
      <c r="W274" s="347"/>
      <c r="X274" s="326"/>
      <c r="Y274" s="348"/>
      <c r="Z274" s="347"/>
      <c r="AA274" s="326"/>
      <c r="AB274" s="348"/>
      <c r="AC274" s="820"/>
      <c r="AD274" s="821"/>
      <c r="AE274" s="822"/>
      <c r="AF274" s="820"/>
      <c r="AG274" s="821"/>
      <c r="AH274" s="822"/>
      <c r="AI274" s="482">
        <v>19448</v>
      </c>
      <c r="AJ274" s="326">
        <v>0</v>
      </c>
      <c r="AK274" s="3917">
        <v>0</v>
      </c>
      <c r="AL274" s="349">
        <f t="shared" si="51"/>
        <v>19448</v>
      </c>
      <c r="AM274" s="2002"/>
      <c r="AN274" s="3357"/>
      <c r="AO274" s="695"/>
      <c r="AP274" s="3362" t="str">
        <f t="shared" si="53"/>
        <v>Planning Reg 2023-2024</v>
      </c>
      <c r="AQ274" s="3555">
        <f t="shared" si="53"/>
        <v>1.1576249999999999</v>
      </c>
      <c r="AR274" s="333"/>
      <c r="AS274" s="330"/>
      <c r="AT274" s="330"/>
      <c r="AU274" s="849"/>
      <c r="AV274" s="849"/>
      <c r="AW274" s="3156">
        <f t="shared" si="52"/>
        <v>19448</v>
      </c>
      <c r="AX274" s="3140"/>
    </row>
    <row r="275" spans="1:50" ht="76.5">
      <c r="A275" s="2418" t="s">
        <v>10984</v>
      </c>
      <c r="B275" s="338" t="s">
        <v>11959</v>
      </c>
      <c r="C275" s="321">
        <v>0</v>
      </c>
      <c r="D275" s="323">
        <v>45405</v>
      </c>
      <c r="E275" s="3058" t="s">
        <v>10324</v>
      </c>
      <c r="F275" s="830" t="s">
        <v>11480</v>
      </c>
      <c r="G275" s="5356">
        <v>1.1576249999999999</v>
      </c>
      <c r="H275" s="2273" t="s">
        <v>12275</v>
      </c>
      <c r="I275" s="339" t="s">
        <v>12281</v>
      </c>
      <c r="J275" s="2399" t="s">
        <v>4306</v>
      </c>
      <c r="K275" s="340">
        <v>46053</v>
      </c>
      <c r="L275" s="339" t="s">
        <v>12276</v>
      </c>
      <c r="M275" s="322" t="s">
        <v>12277</v>
      </c>
      <c r="N275" s="339" t="s">
        <v>12278</v>
      </c>
      <c r="O275" s="332" t="s">
        <v>12279</v>
      </c>
      <c r="P275" s="345"/>
      <c r="Q275" s="6094" t="s">
        <v>9071</v>
      </c>
      <c r="R275" s="322" t="s">
        <v>536</v>
      </c>
      <c r="S275" s="346"/>
      <c r="T275" s="347"/>
      <c r="U275" s="326"/>
      <c r="V275" s="348"/>
      <c r="W275" s="347"/>
      <c r="X275" s="326"/>
      <c r="Y275" s="348"/>
      <c r="Z275" s="347"/>
      <c r="AA275" s="326"/>
      <c r="AB275" s="348"/>
      <c r="AC275" s="820"/>
      <c r="AD275" s="821"/>
      <c r="AE275" s="822"/>
      <c r="AF275" s="820"/>
      <c r="AG275" s="821"/>
      <c r="AH275" s="822"/>
      <c r="AI275" s="482">
        <v>6903</v>
      </c>
      <c r="AJ275" s="326">
        <v>0</v>
      </c>
      <c r="AK275" s="3917">
        <v>0</v>
      </c>
      <c r="AL275" s="349">
        <f t="shared" si="51"/>
        <v>6903</v>
      </c>
      <c r="AM275" s="2002"/>
      <c r="AN275" s="3357"/>
      <c r="AO275" s="695"/>
      <c r="AP275" s="3362" t="str">
        <f t="shared" si="53"/>
        <v>Planning Reg 2023-2024</v>
      </c>
      <c r="AQ275" s="3555">
        <f t="shared" si="53"/>
        <v>1.1576249999999999</v>
      </c>
      <c r="AR275" s="333"/>
      <c r="AS275" s="330"/>
      <c r="AT275" s="330"/>
      <c r="AU275" s="849"/>
      <c r="AV275" s="849"/>
      <c r="AW275" s="3156">
        <f t="shared" si="52"/>
        <v>6903</v>
      </c>
      <c r="AX275" s="3140"/>
    </row>
    <row r="276" spans="1:50" ht="51">
      <c r="A276" s="2418" t="s">
        <v>10984</v>
      </c>
      <c r="B276" s="338" t="s">
        <v>11960</v>
      </c>
      <c r="C276" s="321">
        <v>0</v>
      </c>
      <c r="D276" s="323">
        <v>45411</v>
      </c>
      <c r="E276" s="3058" t="s">
        <v>10324</v>
      </c>
      <c r="F276" s="830" t="s">
        <v>11480</v>
      </c>
      <c r="G276" s="5356">
        <v>1.1576249999999999</v>
      </c>
      <c r="H276" s="332" t="s">
        <v>12280</v>
      </c>
      <c r="I276" s="339" t="s">
        <v>5753</v>
      </c>
      <c r="J276" s="322" t="s">
        <v>2712</v>
      </c>
      <c r="K276" s="340">
        <v>46858</v>
      </c>
      <c r="L276" s="339" t="s">
        <v>12282</v>
      </c>
      <c r="M276" s="322" t="s">
        <v>11372</v>
      </c>
      <c r="N276" s="339" t="s">
        <v>12283</v>
      </c>
      <c r="O276" s="332" t="s">
        <v>12284</v>
      </c>
      <c r="P276" s="345" t="s">
        <v>12285</v>
      </c>
      <c r="Q276" s="322" t="s">
        <v>4127</v>
      </c>
      <c r="R276" s="322" t="s">
        <v>7249</v>
      </c>
      <c r="S276" s="346"/>
      <c r="T276" s="347"/>
      <c r="U276" s="326"/>
      <c r="V276" s="348"/>
      <c r="W276" s="347"/>
      <c r="X276" s="326"/>
      <c r="Y276" s="348"/>
      <c r="Z276" s="347"/>
      <c r="AA276" s="326"/>
      <c r="AB276" s="348"/>
      <c r="AC276" s="820"/>
      <c r="AD276" s="821"/>
      <c r="AE276" s="822"/>
      <c r="AF276" s="820"/>
      <c r="AG276" s="821"/>
      <c r="AH276" s="822"/>
      <c r="AI276" s="482">
        <v>16570</v>
      </c>
      <c r="AJ276" s="326">
        <v>0</v>
      </c>
      <c r="AK276" s="3917">
        <v>0</v>
      </c>
      <c r="AL276" s="349">
        <f t="shared" si="51"/>
        <v>16570</v>
      </c>
      <c r="AM276" s="2002"/>
      <c r="AN276" s="3357"/>
      <c r="AO276" s="695"/>
      <c r="AP276" s="3362" t="str">
        <f t="shared" si="53"/>
        <v>Planning Reg 2023-2024</v>
      </c>
      <c r="AQ276" s="3555">
        <f t="shared" si="53"/>
        <v>1.1576249999999999</v>
      </c>
      <c r="AR276" s="333"/>
      <c r="AS276" s="330"/>
      <c r="AT276" s="330"/>
      <c r="AU276" s="849"/>
      <c r="AV276" s="849"/>
      <c r="AW276" s="3156">
        <f t="shared" si="52"/>
        <v>16570</v>
      </c>
      <c r="AX276" s="3140"/>
    </row>
    <row r="277" spans="1:50" ht="76.5">
      <c r="A277" s="2418" t="s">
        <v>10984</v>
      </c>
      <c r="B277" s="338" t="s">
        <v>11962</v>
      </c>
      <c r="C277" s="321">
        <v>0</v>
      </c>
      <c r="D277" s="323">
        <v>45415</v>
      </c>
      <c r="E277" s="3058" t="s">
        <v>10324</v>
      </c>
      <c r="F277" s="830" t="s">
        <v>11480</v>
      </c>
      <c r="G277" s="5356">
        <v>1.1576249999999999</v>
      </c>
      <c r="H277" s="332" t="s">
        <v>12290</v>
      </c>
      <c r="I277" s="339" t="s">
        <v>9560</v>
      </c>
      <c r="J277" s="2399" t="s">
        <v>4306</v>
      </c>
      <c r="K277" s="340">
        <v>46144</v>
      </c>
      <c r="L277" s="339" t="s">
        <v>12291</v>
      </c>
      <c r="M277" s="322" t="s">
        <v>12292</v>
      </c>
      <c r="N277" s="339" t="s">
        <v>12293</v>
      </c>
      <c r="O277" s="332" t="s">
        <v>12294</v>
      </c>
      <c r="P277" s="345"/>
      <c r="Q277" s="6094" t="s">
        <v>9071</v>
      </c>
      <c r="R277" s="322" t="s">
        <v>536</v>
      </c>
      <c r="S277" s="346"/>
      <c r="T277" s="347"/>
      <c r="U277" s="326"/>
      <c r="V277" s="348"/>
      <c r="W277" s="347"/>
      <c r="X277" s="326"/>
      <c r="Y277" s="348"/>
      <c r="Z277" s="347"/>
      <c r="AA277" s="326"/>
      <c r="AB277" s="348"/>
      <c r="AC277" s="820"/>
      <c r="AD277" s="821"/>
      <c r="AE277" s="822"/>
      <c r="AF277" s="820"/>
      <c r="AG277" s="821"/>
      <c r="AH277" s="822"/>
      <c r="AI277" s="482">
        <v>6903</v>
      </c>
      <c r="AJ277" s="326">
        <v>0</v>
      </c>
      <c r="AK277" s="3917">
        <v>0</v>
      </c>
      <c r="AL277" s="349">
        <f t="shared" si="51"/>
        <v>6903</v>
      </c>
      <c r="AM277" s="2002"/>
      <c r="AN277" s="3357"/>
      <c r="AO277" s="695"/>
      <c r="AP277" s="3362" t="str">
        <f t="shared" si="53"/>
        <v>Planning Reg 2023-2024</v>
      </c>
      <c r="AQ277" s="3555">
        <f t="shared" si="53"/>
        <v>1.1576249999999999</v>
      </c>
      <c r="AR277" s="333"/>
      <c r="AS277" s="330"/>
      <c r="AT277" s="330"/>
      <c r="AU277" s="849"/>
      <c r="AV277" s="849"/>
      <c r="AW277" s="3156">
        <f t="shared" si="52"/>
        <v>6903</v>
      </c>
      <c r="AX277" s="3140"/>
    </row>
    <row r="278" spans="1:50" ht="76.5">
      <c r="A278" s="2418" t="s">
        <v>10984</v>
      </c>
      <c r="B278" s="338" t="s">
        <v>11963</v>
      </c>
      <c r="C278" s="321">
        <v>0</v>
      </c>
      <c r="D278" s="323">
        <v>45427</v>
      </c>
      <c r="E278" s="3058" t="s">
        <v>10324</v>
      </c>
      <c r="F278" s="830" t="s">
        <v>11480</v>
      </c>
      <c r="G278" s="5356">
        <v>1.1576249999999999</v>
      </c>
      <c r="H278" s="2273" t="s">
        <v>12308</v>
      </c>
      <c r="I278" s="339" t="s">
        <v>12309</v>
      </c>
      <c r="J278" s="2399" t="s">
        <v>4306</v>
      </c>
      <c r="K278" s="340">
        <v>46067</v>
      </c>
      <c r="L278" s="339" t="s">
        <v>12310</v>
      </c>
      <c r="M278" s="322" t="s">
        <v>12311</v>
      </c>
      <c r="N278" s="339" t="s">
        <v>12312</v>
      </c>
      <c r="O278" s="322" t="s">
        <v>12311</v>
      </c>
      <c r="P278" s="345"/>
      <c r="Q278" s="6094" t="s">
        <v>9071</v>
      </c>
      <c r="R278" s="322" t="s">
        <v>536</v>
      </c>
      <c r="S278" s="346"/>
      <c r="T278" s="347"/>
      <c r="U278" s="326"/>
      <c r="V278" s="348"/>
      <c r="W278" s="347"/>
      <c r="X278" s="326"/>
      <c r="Y278" s="348"/>
      <c r="Z278" s="347"/>
      <c r="AA278" s="326"/>
      <c r="AB278" s="348"/>
      <c r="AC278" s="820"/>
      <c r="AD278" s="821"/>
      <c r="AE278" s="822"/>
      <c r="AF278" s="820"/>
      <c r="AG278" s="821"/>
      <c r="AH278" s="822"/>
      <c r="AI278" s="482">
        <v>5881</v>
      </c>
      <c r="AJ278" s="326">
        <v>0</v>
      </c>
      <c r="AK278" s="3917">
        <v>0</v>
      </c>
      <c r="AL278" s="349">
        <f t="shared" si="51"/>
        <v>5881</v>
      </c>
      <c r="AM278" s="2002"/>
      <c r="AN278" s="3357"/>
      <c r="AO278" s="695"/>
      <c r="AP278" s="3362" t="str">
        <f t="shared" si="53"/>
        <v>Planning Reg 2023-2024</v>
      </c>
      <c r="AQ278" s="3555">
        <f t="shared" si="53"/>
        <v>1.1576249999999999</v>
      </c>
      <c r="AR278" s="333"/>
      <c r="AS278" s="330"/>
      <c r="AT278" s="330"/>
      <c r="AU278" s="849"/>
      <c r="AV278" s="849"/>
      <c r="AW278" s="3156">
        <f t="shared" si="52"/>
        <v>5881</v>
      </c>
      <c r="AX278" s="3140"/>
    </row>
    <row r="279" spans="1:50" ht="76.5">
      <c r="A279" s="2418" t="s">
        <v>10984</v>
      </c>
      <c r="B279" s="338" t="s">
        <v>11964</v>
      </c>
      <c r="C279" s="321">
        <v>0</v>
      </c>
      <c r="D279" s="323">
        <v>45427</v>
      </c>
      <c r="E279" s="3058" t="s">
        <v>10324</v>
      </c>
      <c r="F279" s="830" t="s">
        <v>11480</v>
      </c>
      <c r="G279" s="5356">
        <v>1.1576249999999999</v>
      </c>
      <c r="H279" s="2273" t="s">
        <v>12313</v>
      </c>
      <c r="I279" s="339" t="s">
        <v>12314</v>
      </c>
      <c r="J279" s="2399" t="s">
        <v>4306</v>
      </c>
      <c r="K279" s="340">
        <v>46082</v>
      </c>
      <c r="L279" s="339" t="s">
        <v>12315</v>
      </c>
      <c r="M279" s="322" t="s">
        <v>12316</v>
      </c>
      <c r="N279" s="339" t="s">
        <v>12317</v>
      </c>
      <c r="O279" s="322" t="s">
        <v>12316</v>
      </c>
      <c r="P279" s="345"/>
      <c r="Q279" s="6094" t="s">
        <v>9071</v>
      </c>
      <c r="R279" s="322" t="s">
        <v>536</v>
      </c>
      <c r="S279" s="346"/>
      <c r="T279" s="347"/>
      <c r="U279" s="326"/>
      <c r="V279" s="348"/>
      <c r="W279" s="347"/>
      <c r="X279" s="326"/>
      <c r="Y279" s="348"/>
      <c r="Z279" s="347"/>
      <c r="AA279" s="326"/>
      <c r="AB279" s="348"/>
      <c r="AC279" s="820"/>
      <c r="AD279" s="821"/>
      <c r="AE279" s="822"/>
      <c r="AF279" s="820"/>
      <c r="AG279" s="821"/>
      <c r="AH279" s="822"/>
      <c r="AI279" s="482">
        <v>5881</v>
      </c>
      <c r="AJ279" s="326">
        <v>0</v>
      </c>
      <c r="AK279" s="3917">
        <v>0</v>
      </c>
      <c r="AL279" s="349">
        <f t="shared" si="51"/>
        <v>5881</v>
      </c>
      <c r="AM279" s="2002"/>
      <c r="AN279" s="3357"/>
      <c r="AO279" s="695"/>
      <c r="AP279" s="3362" t="str">
        <f t="shared" si="53"/>
        <v>Planning Reg 2023-2024</v>
      </c>
      <c r="AQ279" s="3555">
        <f t="shared" si="53"/>
        <v>1.1576249999999999</v>
      </c>
      <c r="AR279" s="333"/>
      <c r="AS279" s="330"/>
      <c r="AT279" s="330"/>
      <c r="AU279" s="849"/>
      <c r="AV279" s="849"/>
      <c r="AW279" s="3156">
        <f t="shared" si="52"/>
        <v>5881</v>
      </c>
      <c r="AX279" s="3140"/>
    </row>
    <row r="280" spans="1:50" ht="51">
      <c r="A280" s="2418" t="s">
        <v>10984</v>
      </c>
      <c r="B280" s="338" t="s">
        <v>11985</v>
      </c>
      <c r="C280" s="321">
        <v>0</v>
      </c>
      <c r="D280" s="323">
        <v>45434</v>
      </c>
      <c r="E280" s="3058" t="s">
        <v>10324</v>
      </c>
      <c r="F280" s="830" t="s">
        <v>11480</v>
      </c>
      <c r="G280" s="5356">
        <v>1.1576249999999999</v>
      </c>
      <c r="H280" s="332" t="s">
        <v>12327</v>
      </c>
      <c r="I280" s="339" t="s">
        <v>1433</v>
      </c>
      <c r="J280" s="322" t="s">
        <v>1434</v>
      </c>
      <c r="K280" s="340">
        <v>47617</v>
      </c>
      <c r="L280" s="339" t="s">
        <v>12328</v>
      </c>
      <c r="M280" s="322" t="s">
        <v>12329</v>
      </c>
      <c r="N280" s="339" t="s">
        <v>12330</v>
      </c>
      <c r="O280" s="332" t="s">
        <v>12331</v>
      </c>
      <c r="P280" s="345"/>
      <c r="Q280" s="322" t="s">
        <v>12332</v>
      </c>
      <c r="R280" s="322" t="s">
        <v>536</v>
      </c>
      <c r="S280" s="346"/>
      <c r="T280" s="347"/>
      <c r="U280" s="326"/>
      <c r="V280" s="348"/>
      <c r="W280" s="347"/>
      <c r="X280" s="326"/>
      <c r="Y280" s="348"/>
      <c r="Z280" s="347"/>
      <c r="AA280" s="326"/>
      <c r="AB280" s="348"/>
      <c r="AC280" s="820"/>
      <c r="AD280" s="821"/>
      <c r="AE280" s="822"/>
      <c r="AF280" s="820"/>
      <c r="AG280" s="821"/>
      <c r="AH280" s="822"/>
      <c r="AI280" s="482">
        <v>119467</v>
      </c>
      <c r="AJ280" s="326">
        <v>0</v>
      </c>
      <c r="AK280" s="3917">
        <v>0</v>
      </c>
      <c r="AL280" s="349">
        <f t="shared" si="51"/>
        <v>119467</v>
      </c>
      <c r="AM280" s="2002"/>
      <c r="AN280" s="3357"/>
      <c r="AO280" s="695"/>
      <c r="AP280" s="3362" t="str">
        <f t="shared" si="53"/>
        <v>Planning Reg 2023-2024</v>
      </c>
      <c r="AQ280" s="3555">
        <f t="shared" si="53"/>
        <v>1.1576249999999999</v>
      </c>
      <c r="AR280" s="333"/>
      <c r="AS280" s="330"/>
      <c r="AT280" s="330"/>
      <c r="AU280" s="849"/>
      <c r="AV280" s="849"/>
      <c r="AW280" s="3156">
        <f t="shared" si="52"/>
        <v>119467</v>
      </c>
      <c r="AX280" s="3140"/>
    </row>
    <row r="281" spans="1:50" ht="76.5">
      <c r="A281" s="2418" t="s">
        <v>10984</v>
      </c>
      <c r="B281" s="338" t="s">
        <v>11986</v>
      </c>
      <c r="C281" s="321">
        <v>0</v>
      </c>
      <c r="D281" s="323">
        <v>45434</v>
      </c>
      <c r="E281" s="3058" t="s">
        <v>10324</v>
      </c>
      <c r="F281" s="830" t="s">
        <v>11480</v>
      </c>
      <c r="G281" s="5356">
        <v>1.1576249999999999</v>
      </c>
      <c r="H281" s="332" t="s">
        <v>12333</v>
      </c>
      <c r="I281" s="339" t="s">
        <v>1433</v>
      </c>
      <c r="J281" s="322" t="s">
        <v>1434</v>
      </c>
      <c r="K281" s="340">
        <v>46920</v>
      </c>
      <c r="L281" s="339" t="s">
        <v>12334</v>
      </c>
      <c r="M281" s="322" t="s">
        <v>11300</v>
      </c>
      <c r="N281" s="339" t="s">
        <v>12335</v>
      </c>
      <c r="O281" s="332" t="s">
        <v>10061</v>
      </c>
      <c r="P281" s="345"/>
      <c r="Q281" s="322" t="s">
        <v>12336</v>
      </c>
      <c r="R281" s="322" t="s">
        <v>12337</v>
      </c>
      <c r="S281" s="346"/>
      <c r="T281" s="347"/>
      <c r="U281" s="326"/>
      <c r="V281" s="348"/>
      <c r="W281" s="347"/>
      <c r="X281" s="326"/>
      <c r="Y281" s="348"/>
      <c r="Z281" s="347"/>
      <c r="AA281" s="326"/>
      <c r="AB281" s="348"/>
      <c r="AC281" s="820"/>
      <c r="AD281" s="821"/>
      <c r="AE281" s="822"/>
      <c r="AF281" s="820"/>
      <c r="AG281" s="821"/>
      <c r="AH281" s="822"/>
      <c r="AI281" s="482">
        <v>647</v>
      </c>
      <c r="AJ281" s="326">
        <v>0</v>
      </c>
      <c r="AK281" s="3917">
        <v>0</v>
      </c>
      <c r="AL281" s="349">
        <f t="shared" si="51"/>
        <v>647</v>
      </c>
      <c r="AM281" s="2002"/>
      <c r="AN281" s="3357"/>
      <c r="AO281" s="695"/>
      <c r="AP281" s="3362" t="str">
        <f t="shared" si="53"/>
        <v>Planning Reg 2023-2024</v>
      </c>
      <c r="AQ281" s="3555">
        <f t="shared" si="53"/>
        <v>1.1576249999999999</v>
      </c>
      <c r="AR281" s="333"/>
      <c r="AS281" s="330"/>
      <c r="AT281" s="330"/>
      <c r="AU281" s="849"/>
      <c r="AV281" s="849"/>
      <c r="AW281" s="3156">
        <f t="shared" si="52"/>
        <v>647</v>
      </c>
      <c r="AX281" s="3140"/>
    </row>
    <row r="282" spans="1:50" ht="102">
      <c r="A282" s="2418" t="s">
        <v>10984</v>
      </c>
      <c r="B282" s="338" t="s">
        <v>11987</v>
      </c>
      <c r="C282" s="321">
        <v>0</v>
      </c>
      <c r="D282" s="323">
        <v>45434</v>
      </c>
      <c r="E282" s="3058" t="s">
        <v>10324</v>
      </c>
      <c r="F282" s="830" t="s">
        <v>11480</v>
      </c>
      <c r="G282" s="5356">
        <v>1.1576249999999999</v>
      </c>
      <c r="H282" s="332" t="s">
        <v>12338</v>
      </c>
      <c r="I282" s="339" t="s">
        <v>1433</v>
      </c>
      <c r="J282" s="322" t="s">
        <v>1434</v>
      </c>
      <c r="K282" s="340">
        <v>47618</v>
      </c>
      <c r="L282" s="339" t="s">
        <v>12339</v>
      </c>
      <c r="M282" s="322" t="s">
        <v>12340</v>
      </c>
      <c r="N282" s="339" t="s">
        <v>12341</v>
      </c>
      <c r="O282" s="332" t="s">
        <v>12342</v>
      </c>
      <c r="P282" s="345"/>
      <c r="Q282" s="322" t="s">
        <v>12343</v>
      </c>
      <c r="R282" s="322" t="s">
        <v>12344</v>
      </c>
      <c r="S282" s="346" t="s">
        <v>12345</v>
      </c>
      <c r="T282" s="347"/>
      <c r="U282" s="326"/>
      <c r="V282" s="348"/>
      <c r="W282" s="347"/>
      <c r="X282" s="326"/>
      <c r="Y282" s="348"/>
      <c r="Z282" s="347"/>
      <c r="AA282" s="326"/>
      <c r="AB282" s="348"/>
      <c r="AC282" s="820"/>
      <c r="AD282" s="821"/>
      <c r="AE282" s="822"/>
      <c r="AF282" s="820"/>
      <c r="AG282" s="821"/>
      <c r="AH282" s="822"/>
      <c r="AI282" s="482">
        <v>78759</v>
      </c>
      <c r="AJ282" s="326">
        <v>0</v>
      </c>
      <c r="AK282" s="3917">
        <v>7487</v>
      </c>
      <c r="AL282" s="349">
        <f t="shared" si="51"/>
        <v>71272</v>
      </c>
      <c r="AM282" s="2002"/>
      <c r="AN282" s="3357"/>
      <c r="AO282" s="695"/>
      <c r="AP282" s="3362" t="str">
        <f t="shared" si="53"/>
        <v>Planning Reg 2023-2024</v>
      </c>
      <c r="AQ282" s="3555">
        <f t="shared" si="53"/>
        <v>1.1576249999999999</v>
      </c>
      <c r="AR282" s="333"/>
      <c r="AS282" s="330"/>
      <c r="AT282" s="330"/>
      <c r="AU282" s="849"/>
      <c r="AV282" s="849"/>
      <c r="AW282" s="3156">
        <f t="shared" si="52"/>
        <v>71272</v>
      </c>
      <c r="AX282" s="3140"/>
    </row>
    <row r="283" spans="1:50" ht="76.5">
      <c r="A283" s="2418" t="s">
        <v>10984</v>
      </c>
      <c r="B283" s="338" t="s">
        <v>11988</v>
      </c>
      <c r="C283" s="321">
        <v>0</v>
      </c>
      <c r="D283" s="323">
        <v>45440</v>
      </c>
      <c r="E283" s="3058" t="s">
        <v>10324</v>
      </c>
      <c r="F283" s="830" t="s">
        <v>11480</v>
      </c>
      <c r="G283" s="5356">
        <v>1.1576249999999999</v>
      </c>
      <c r="H283" s="2273" t="s">
        <v>12347</v>
      </c>
      <c r="I283" s="339" t="s">
        <v>12350</v>
      </c>
      <c r="J283" s="2399" t="s">
        <v>4306</v>
      </c>
      <c r="K283" s="341" t="s">
        <v>12351</v>
      </c>
      <c r="L283" s="339" t="s">
        <v>5527</v>
      </c>
      <c r="M283" s="322" t="s">
        <v>11718</v>
      </c>
      <c r="N283" s="339" t="s">
        <v>12354</v>
      </c>
      <c r="O283" s="332" t="s">
        <v>12487</v>
      </c>
      <c r="P283" s="345"/>
      <c r="Q283" s="6094" t="s">
        <v>9071</v>
      </c>
      <c r="R283" s="322" t="s">
        <v>536</v>
      </c>
      <c r="S283" s="346"/>
      <c r="T283" s="347"/>
      <c r="U283" s="326"/>
      <c r="V283" s="348"/>
      <c r="W283" s="347"/>
      <c r="X283" s="326"/>
      <c r="Y283" s="348"/>
      <c r="Z283" s="347"/>
      <c r="AA283" s="326"/>
      <c r="AB283" s="348"/>
      <c r="AC283" s="820"/>
      <c r="AD283" s="821"/>
      <c r="AE283" s="822"/>
      <c r="AF283" s="820"/>
      <c r="AG283" s="821"/>
      <c r="AH283" s="822"/>
      <c r="AI283" s="482">
        <v>5881</v>
      </c>
      <c r="AJ283" s="326">
        <v>0</v>
      </c>
      <c r="AK283" s="3917">
        <v>0</v>
      </c>
      <c r="AL283" s="349">
        <f t="shared" si="51"/>
        <v>5881</v>
      </c>
      <c r="AM283" s="2002"/>
      <c r="AN283" s="3357"/>
      <c r="AO283" s="695"/>
      <c r="AP283" s="3362" t="str">
        <f t="shared" si="53"/>
        <v>Planning Reg 2023-2024</v>
      </c>
      <c r="AQ283" s="3555">
        <f t="shared" si="53"/>
        <v>1.1576249999999999</v>
      </c>
      <c r="AR283" s="333"/>
      <c r="AS283" s="330"/>
      <c r="AT283" s="330"/>
      <c r="AU283" s="849"/>
      <c r="AV283" s="849"/>
      <c r="AW283" s="3156">
        <f t="shared" si="52"/>
        <v>5881</v>
      </c>
      <c r="AX283" s="3140"/>
    </row>
    <row r="284" spans="1:50" ht="76.5">
      <c r="A284" s="2418" t="s">
        <v>10984</v>
      </c>
      <c r="B284" s="338" t="s">
        <v>11992</v>
      </c>
      <c r="C284" s="321">
        <v>0</v>
      </c>
      <c r="D284" s="323">
        <v>45460</v>
      </c>
      <c r="E284" s="3058" t="s">
        <v>10324</v>
      </c>
      <c r="F284" s="830" t="s">
        <v>11480</v>
      </c>
      <c r="G284" s="5356">
        <v>1.1576249999999999</v>
      </c>
      <c r="H284" s="2273" t="s">
        <v>12478</v>
      </c>
      <c r="I284" s="339" t="s">
        <v>12485</v>
      </c>
      <c r="J284" s="2399" t="s">
        <v>4306</v>
      </c>
      <c r="K284" s="340">
        <v>46179</v>
      </c>
      <c r="L284" s="339" t="s">
        <v>12480</v>
      </c>
      <c r="M284" s="322" t="s">
        <v>12481</v>
      </c>
      <c r="N284" s="339" t="s">
        <v>12482</v>
      </c>
      <c r="O284" s="322" t="s">
        <v>12481</v>
      </c>
      <c r="P284" s="345"/>
      <c r="Q284" s="6094" t="s">
        <v>9071</v>
      </c>
      <c r="R284" s="322" t="s">
        <v>536</v>
      </c>
      <c r="S284" s="346"/>
      <c r="T284" s="347"/>
      <c r="U284" s="326"/>
      <c r="V284" s="348"/>
      <c r="W284" s="347"/>
      <c r="X284" s="326"/>
      <c r="Y284" s="348"/>
      <c r="Z284" s="347"/>
      <c r="AA284" s="326"/>
      <c r="AB284" s="348"/>
      <c r="AC284" s="820"/>
      <c r="AD284" s="821"/>
      <c r="AE284" s="822"/>
      <c r="AF284" s="820"/>
      <c r="AG284" s="821"/>
      <c r="AH284" s="822"/>
      <c r="AI284" s="482">
        <v>6903</v>
      </c>
      <c r="AJ284" s="326">
        <v>0</v>
      </c>
      <c r="AK284" s="3917">
        <v>0</v>
      </c>
      <c r="AL284" s="349">
        <f t="shared" si="51"/>
        <v>6903</v>
      </c>
      <c r="AM284" s="2002"/>
      <c r="AN284" s="3357"/>
      <c r="AO284" s="695"/>
      <c r="AP284" s="3362" t="str">
        <f t="shared" ref="AP284:AQ303" si="54">AP$2</f>
        <v>Planning Reg 2023-2024</v>
      </c>
      <c r="AQ284" s="3555">
        <f t="shared" si="54"/>
        <v>1.1576249999999999</v>
      </c>
      <c r="AR284" s="333"/>
      <c r="AS284" s="330"/>
      <c r="AT284" s="330"/>
      <c r="AU284" s="849"/>
      <c r="AV284" s="849"/>
      <c r="AW284" s="3156">
        <f t="shared" si="52"/>
        <v>6903</v>
      </c>
      <c r="AX284" s="3140"/>
    </row>
    <row r="285" spans="1:50" ht="76.5">
      <c r="A285" s="2418" t="s">
        <v>10984</v>
      </c>
      <c r="B285" s="338" t="s">
        <v>11993</v>
      </c>
      <c r="C285" s="321">
        <v>0</v>
      </c>
      <c r="D285" s="323">
        <v>45460</v>
      </c>
      <c r="E285" s="3058" t="s">
        <v>10324</v>
      </c>
      <c r="F285" s="830" t="s">
        <v>11480</v>
      </c>
      <c r="G285" s="5356">
        <v>1.1576249999999999</v>
      </c>
      <c r="H285" s="2273" t="s">
        <v>12483</v>
      </c>
      <c r="I285" s="339" t="s">
        <v>12484</v>
      </c>
      <c r="J285" s="2399" t="s">
        <v>4306</v>
      </c>
      <c r="K285" s="340">
        <v>46092</v>
      </c>
      <c r="L285" s="339" t="s">
        <v>786</v>
      </c>
      <c r="M285" s="322" t="s">
        <v>10090</v>
      </c>
      <c r="N285" s="339" t="s">
        <v>12486</v>
      </c>
      <c r="O285" s="332" t="s">
        <v>12488</v>
      </c>
      <c r="P285" s="345"/>
      <c r="Q285" s="6094" t="s">
        <v>9071</v>
      </c>
      <c r="R285" s="322" t="s">
        <v>536</v>
      </c>
      <c r="S285" s="346"/>
      <c r="T285" s="347"/>
      <c r="U285" s="326"/>
      <c r="V285" s="348"/>
      <c r="W285" s="347"/>
      <c r="X285" s="326"/>
      <c r="Y285" s="348"/>
      <c r="Z285" s="347"/>
      <c r="AA285" s="326"/>
      <c r="AB285" s="348"/>
      <c r="AC285" s="820"/>
      <c r="AD285" s="821"/>
      <c r="AE285" s="822"/>
      <c r="AF285" s="820"/>
      <c r="AG285" s="821"/>
      <c r="AH285" s="822"/>
      <c r="AI285" s="482">
        <v>5881</v>
      </c>
      <c r="AJ285" s="326">
        <v>0</v>
      </c>
      <c r="AK285" s="3917">
        <v>0</v>
      </c>
      <c r="AL285" s="349">
        <f t="shared" si="51"/>
        <v>5881</v>
      </c>
      <c r="AM285" s="2002"/>
      <c r="AN285" s="3357"/>
      <c r="AO285" s="695"/>
      <c r="AP285" s="3362" t="str">
        <f t="shared" si="54"/>
        <v>Planning Reg 2023-2024</v>
      </c>
      <c r="AQ285" s="3555">
        <f t="shared" si="54"/>
        <v>1.1576249999999999</v>
      </c>
      <c r="AR285" s="333"/>
      <c r="AS285" s="330"/>
      <c r="AT285" s="330"/>
      <c r="AU285" s="849"/>
      <c r="AV285" s="849"/>
      <c r="AW285" s="3156">
        <f t="shared" si="52"/>
        <v>5881</v>
      </c>
      <c r="AX285" s="3140"/>
    </row>
    <row r="286" spans="1:50" ht="76.5">
      <c r="A286" s="2418" t="s">
        <v>10984</v>
      </c>
      <c r="B286" s="338" t="s">
        <v>11994</v>
      </c>
      <c r="C286" s="321">
        <v>0</v>
      </c>
      <c r="D286" s="323">
        <v>45460</v>
      </c>
      <c r="E286" s="3058" t="s">
        <v>10324</v>
      </c>
      <c r="F286" s="830" t="s">
        <v>11480</v>
      </c>
      <c r="G286" s="5356">
        <v>1.1576249999999999</v>
      </c>
      <c r="H286" s="2273" t="s">
        <v>12490</v>
      </c>
      <c r="I286" s="339" t="s">
        <v>12489</v>
      </c>
      <c r="J286" s="2399" t="s">
        <v>4306</v>
      </c>
      <c r="K286" s="340">
        <v>46178</v>
      </c>
      <c r="L286" s="339" t="s">
        <v>10231</v>
      </c>
      <c r="M286" s="322" t="s">
        <v>12491</v>
      </c>
      <c r="N286" s="339" t="s">
        <v>12492</v>
      </c>
      <c r="O286" s="332" t="s">
        <v>12493</v>
      </c>
      <c r="P286" s="345"/>
      <c r="Q286" s="6094" t="s">
        <v>9071</v>
      </c>
      <c r="R286" s="322" t="s">
        <v>536</v>
      </c>
      <c r="S286" s="346"/>
      <c r="T286" s="347"/>
      <c r="U286" s="326"/>
      <c r="V286" s="348"/>
      <c r="W286" s="347"/>
      <c r="X286" s="326"/>
      <c r="Y286" s="348"/>
      <c r="Z286" s="347"/>
      <c r="AA286" s="326"/>
      <c r="AB286" s="348"/>
      <c r="AC286" s="820"/>
      <c r="AD286" s="821"/>
      <c r="AE286" s="822"/>
      <c r="AF286" s="820"/>
      <c r="AG286" s="821"/>
      <c r="AH286" s="822"/>
      <c r="AI286" s="482">
        <v>6903</v>
      </c>
      <c r="AJ286" s="326">
        <v>0</v>
      </c>
      <c r="AK286" s="3917">
        <v>0</v>
      </c>
      <c r="AL286" s="349">
        <f t="shared" si="51"/>
        <v>6903</v>
      </c>
      <c r="AM286" s="2002"/>
      <c r="AN286" s="3357"/>
      <c r="AO286" s="695"/>
      <c r="AP286" s="3362" t="str">
        <f t="shared" si="54"/>
        <v>Planning Reg 2023-2024</v>
      </c>
      <c r="AQ286" s="3555">
        <f t="shared" si="54"/>
        <v>1.1576249999999999</v>
      </c>
      <c r="AR286" s="333"/>
      <c r="AS286" s="330"/>
      <c r="AT286" s="330"/>
      <c r="AU286" s="849"/>
      <c r="AV286" s="849"/>
      <c r="AW286" s="3156">
        <f t="shared" si="52"/>
        <v>6903</v>
      </c>
      <c r="AX286" s="3140"/>
    </row>
    <row r="287" spans="1:50" ht="76.5">
      <c r="A287" s="2418" t="s">
        <v>4276</v>
      </c>
      <c r="B287" s="338" t="s">
        <v>11996</v>
      </c>
      <c r="C287" s="321">
        <v>0</v>
      </c>
      <c r="D287" s="323">
        <v>45462</v>
      </c>
      <c r="E287" s="3058" t="s">
        <v>10324</v>
      </c>
      <c r="F287" s="830" t="s">
        <v>11480</v>
      </c>
      <c r="G287" s="5356">
        <v>1.1576249999999999</v>
      </c>
      <c r="H287" s="2273" t="s">
        <v>12504</v>
      </c>
      <c r="I287" s="339" t="s">
        <v>12505</v>
      </c>
      <c r="J287" s="2399" t="s">
        <v>4306</v>
      </c>
      <c r="K287" s="340">
        <v>46176</v>
      </c>
      <c r="L287" s="339" t="s">
        <v>12506</v>
      </c>
      <c r="M287" s="322" t="s">
        <v>12507</v>
      </c>
      <c r="N287" s="339" t="s">
        <v>12508</v>
      </c>
      <c r="O287" s="332" t="s">
        <v>12509</v>
      </c>
      <c r="P287" s="345"/>
      <c r="Q287" s="6094" t="s">
        <v>9071</v>
      </c>
      <c r="R287" s="322" t="s">
        <v>536</v>
      </c>
      <c r="S287" s="346"/>
      <c r="T287" s="347"/>
      <c r="U287" s="326"/>
      <c r="V287" s="348"/>
      <c r="W287" s="347"/>
      <c r="X287" s="326"/>
      <c r="Y287" s="348"/>
      <c r="Z287" s="347"/>
      <c r="AA287" s="326"/>
      <c r="AB287" s="348"/>
      <c r="AC287" s="820"/>
      <c r="AD287" s="821"/>
      <c r="AE287" s="822"/>
      <c r="AF287" s="820"/>
      <c r="AG287" s="821"/>
      <c r="AH287" s="822"/>
      <c r="AI287" s="482">
        <v>6903</v>
      </c>
      <c r="AJ287" s="326">
        <v>0</v>
      </c>
      <c r="AK287" s="3917">
        <v>0</v>
      </c>
      <c r="AL287" s="349">
        <f t="shared" si="51"/>
        <v>6903</v>
      </c>
      <c r="AM287" s="2002"/>
      <c r="AN287" s="3357"/>
      <c r="AO287" s="695"/>
      <c r="AP287" s="3362" t="str">
        <f t="shared" si="54"/>
        <v>Planning Reg 2023-2024</v>
      </c>
      <c r="AQ287" s="3555">
        <f t="shared" si="54"/>
        <v>1.1576249999999999</v>
      </c>
      <c r="AR287" s="333"/>
      <c r="AS287" s="330"/>
      <c r="AT287" s="330"/>
      <c r="AU287" s="849"/>
      <c r="AV287" s="849"/>
      <c r="AW287" s="3156">
        <f t="shared" si="52"/>
        <v>6903</v>
      </c>
      <c r="AX287" s="3140"/>
    </row>
    <row r="288" spans="1:50" ht="51">
      <c r="A288" s="2418" t="s">
        <v>4276</v>
      </c>
      <c r="B288" s="338" t="s">
        <v>12525</v>
      </c>
      <c r="C288" s="321">
        <v>0</v>
      </c>
      <c r="D288" s="323">
        <v>45469</v>
      </c>
      <c r="E288" s="3058" t="s">
        <v>10324</v>
      </c>
      <c r="F288" s="830" t="s">
        <v>11480</v>
      </c>
      <c r="G288" s="5356">
        <v>1.1576249999999999</v>
      </c>
      <c r="H288" s="332" t="s">
        <v>12518</v>
      </c>
      <c r="I288" s="339" t="s">
        <v>1433</v>
      </c>
      <c r="J288" s="322" t="s">
        <v>1434</v>
      </c>
      <c r="K288" s="340" t="s">
        <v>11396</v>
      </c>
      <c r="L288" s="339" t="s">
        <v>12519</v>
      </c>
      <c r="M288" s="322" t="s">
        <v>9660</v>
      </c>
      <c r="N288" s="339" t="s">
        <v>12520</v>
      </c>
      <c r="O288" s="332" t="s">
        <v>12521</v>
      </c>
      <c r="P288" s="345"/>
      <c r="Q288" s="322" t="s">
        <v>12523</v>
      </c>
      <c r="R288" s="322" t="s">
        <v>12522</v>
      </c>
      <c r="S288" s="346"/>
      <c r="T288" s="347"/>
      <c r="U288" s="326"/>
      <c r="V288" s="348"/>
      <c r="W288" s="347"/>
      <c r="X288" s="326"/>
      <c r="Y288" s="348"/>
      <c r="Z288" s="347"/>
      <c r="AA288" s="326"/>
      <c r="AB288" s="348"/>
      <c r="AC288" s="820"/>
      <c r="AD288" s="821"/>
      <c r="AE288" s="822"/>
      <c r="AF288" s="820"/>
      <c r="AG288" s="821"/>
      <c r="AH288" s="822"/>
      <c r="AI288" s="482">
        <v>5542</v>
      </c>
      <c r="AJ288" s="326">
        <v>0</v>
      </c>
      <c r="AK288" s="3917">
        <v>0</v>
      </c>
      <c r="AL288" s="349">
        <f t="shared" si="51"/>
        <v>5542</v>
      </c>
      <c r="AM288" s="2002"/>
      <c r="AN288" s="3357"/>
      <c r="AO288" s="695"/>
      <c r="AP288" s="3362" t="str">
        <f t="shared" si="54"/>
        <v>Planning Reg 2023-2024</v>
      </c>
      <c r="AQ288" s="3555">
        <f t="shared" si="54"/>
        <v>1.1576249999999999</v>
      </c>
      <c r="AR288" s="333"/>
      <c r="AS288" s="330"/>
      <c r="AT288" s="330"/>
      <c r="AU288" s="849"/>
      <c r="AV288" s="849"/>
      <c r="AW288" s="3156">
        <f t="shared" si="52"/>
        <v>5542</v>
      </c>
      <c r="AX288" s="3140"/>
    </row>
    <row r="289" spans="1:50" ht="25.5">
      <c r="A289" s="2418" t="s">
        <v>4276</v>
      </c>
      <c r="B289" s="338" t="s">
        <v>11997</v>
      </c>
      <c r="C289" s="321"/>
      <c r="D289" s="325"/>
      <c r="E289" s="3058"/>
      <c r="F289" s="324"/>
      <c r="G289" s="2621"/>
      <c r="H289" s="332"/>
      <c r="I289" s="339"/>
      <c r="J289" s="322"/>
      <c r="K289" s="341"/>
      <c r="L289" s="339"/>
      <c r="M289" s="322"/>
      <c r="N289" s="339"/>
      <c r="O289" s="332"/>
      <c r="P289" s="345"/>
      <c r="Q289" s="322"/>
      <c r="R289" s="322"/>
      <c r="S289" s="346"/>
      <c r="T289" s="347"/>
      <c r="U289" s="326"/>
      <c r="V289" s="348"/>
      <c r="W289" s="347"/>
      <c r="X289" s="326"/>
      <c r="Y289" s="348"/>
      <c r="Z289" s="347"/>
      <c r="AA289" s="326"/>
      <c r="AB289" s="348"/>
      <c r="AC289" s="820"/>
      <c r="AD289" s="821"/>
      <c r="AE289" s="822"/>
      <c r="AF289" s="820"/>
      <c r="AG289" s="821"/>
      <c r="AH289" s="822"/>
      <c r="AI289" s="482">
        <v>0</v>
      </c>
      <c r="AJ289" s="326">
        <v>0</v>
      </c>
      <c r="AK289" s="3917">
        <v>0</v>
      </c>
      <c r="AL289" s="349">
        <f t="shared" si="51"/>
        <v>0</v>
      </c>
      <c r="AM289" s="2002"/>
      <c r="AN289" s="3357"/>
      <c r="AO289" s="695"/>
      <c r="AP289" s="3362" t="str">
        <f t="shared" si="54"/>
        <v>Planning Reg 2023-2024</v>
      </c>
      <c r="AQ289" s="3555">
        <f t="shared" si="54"/>
        <v>1.1576249999999999</v>
      </c>
      <c r="AR289" s="333"/>
      <c r="AS289" s="330"/>
      <c r="AT289" s="330"/>
      <c r="AU289" s="849"/>
      <c r="AV289" s="849"/>
      <c r="AW289" s="3156" t="e">
        <f t="shared" si="52"/>
        <v>#DIV/0!</v>
      </c>
      <c r="AX289" s="3140"/>
    </row>
    <row r="290" spans="1:50" ht="25.5">
      <c r="A290" s="2418" t="s">
        <v>4276</v>
      </c>
      <c r="B290" s="338" t="s">
        <v>11998</v>
      </c>
      <c r="C290" s="321"/>
      <c r="D290" s="325"/>
      <c r="E290" s="3058"/>
      <c r="F290" s="324"/>
      <c r="G290" s="2621"/>
      <c r="H290" s="332"/>
      <c r="I290" s="339"/>
      <c r="J290" s="322"/>
      <c r="K290" s="341"/>
      <c r="L290" s="339"/>
      <c r="M290" s="322"/>
      <c r="N290" s="339"/>
      <c r="O290" s="332"/>
      <c r="P290" s="345"/>
      <c r="Q290" s="322"/>
      <c r="R290" s="322"/>
      <c r="S290" s="346"/>
      <c r="T290" s="347"/>
      <c r="U290" s="326"/>
      <c r="V290" s="348"/>
      <c r="W290" s="347"/>
      <c r="X290" s="326"/>
      <c r="Y290" s="348"/>
      <c r="Z290" s="347"/>
      <c r="AA290" s="326"/>
      <c r="AB290" s="348"/>
      <c r="AC290" s="820"/>
      <c r="AD290" s="821"/>
      <c r="AE290" s="822"/>
      <c r="AF290" s="820"/>
      <c r="AG290" s="821"/>
      <c r="AH290" s="822"/>
      <c r="AI290" s="482">
        <v>0</v>
      </c>
      <c r="AJ290" s="326">
        <v>0</v>
      </c>
      <c r="AK290" s="3917">
        <v>0</v>
      </c>
      <c r="AL290" s="349">
        <f t="shared" si="51"/>
        <v>0</v>
      </c>
      <c r="AM290" s="2002"/>
      <c r="AN290" s="3357"/>
      <c r="AO290" s="695"/>
      <c r="AP290" s="3362" t="str">
        <f t="shared" si="54"/>
        <v>Planning Reg 2023-2024</v>
      </c>
      <c r="AQ290" s="3555">
        <f t="shared" si="54"/>
        <v>1.1576249999999999</v>
      </c>
      <c r="AR290" s="333"/>
      <c r="AS290" s="330"/>
      <c r="AT290" s="330"/>
      <c r="AU290" s="849"/>
      <c r="AV290" s="849"/>
      <c r="AW290" s="3156" t="e">
        <f t="shared" si="52"/>
        <v>#DIV/0!</v>
      </c>
      <c r="AX290" s="3140"/>
    </row>
    <row r="291" spans="1:50" ht="25.5">
      <c r="A291" s="2418" t="s">
        <v>4276</v>
      </c>
      <c r="B291" s="338" t="s">
        <v>11999</v>
      </c>
      <c r="C291" s="321"/>
      <c r="D291" s="325"/>
      <c r="E291" s="3058"/>
      <c r="F291" s="324"/>
      <c r="G291" s="2621"/>
      <c r="H291" s="332"/>
      <c r="I291" s="339"/>
      <c r="J291" s="322"/>
      <c r="K291" s="341"/>
      <c r="L291" s="339"/>
      <c r="M291" s="322"/>
      <c r="N291" s="339"/>
      <c r="O291" s="332"/>
      <c r="P291" s="345"/>
      <c r="Q291" s="322"/>
      <c r="R291" s="322"/>
      <c r="S291" s="346"/>
      <c r="T291" s="347"/>
      <c r="U291" s="326"/>
      <c r="V291" s="348"/>
      <c r="W291" s="347"/>
      <c r="X291" s="326"/>
      <c r="Y291" s="348"/>
      <c r="Z291" s="347"/>
      <c r="AA291" s="326"/>
      <c r="AB291" s="348"/>
      <c r="AC291" s="820"/>
      <c r="AD291" s="821"/>
      <c r="AE291" s="822"/>
      <c r="AF291" s="820"/>
      <c r="AG291" s="821"/>
      <c r="AH291" s="822"/>
      <c r="AI291" s="482">
        <v>0</v>
      </c>
      <c r="AJ291" s="326">
        <v>0</v>
      </c>
      <c r="AK291" s="3917">
        <v>0</v>
      </c>
      <c r="AL291" s="349">
        <f t="shared" si="51"/>
        <v>0</v>
      </c>
      <c r="AM291" s="2002"/>
      <c r="AN291" s="3357"/>
      <c r="AO291" s="695"/>
      <c r="AP291" s="3362" t="str">
        <f t="shared" si="54"/>
        <v>Planning Reg 2023-2024</v>
      </c>
      <c r="AQ291" s="3555">
        <f t="shared" si="54"/>
        <v>1.1576249999999999</v>
      </c>
      <c r="AR291" s="333"/>
      <c r="AS291" s="330"/>
      <c r="AT291" s="330"/>
      <c r="AU291" s="849"/>
      <c r="AV291" s="849"/>
      <c r="AW291" s="3156" t="e">
        <f t="shared" si="52"/>
        <v>#DIV/0!</v>
      </c>
      <c r="AX291" s="3140"/>
    </row>
    <row r="292" spans="1:50" ht="25.5">
      <c r="A292" s="2418" t="s">
        <v>4276</v>
      </c>
      <c r="B292" s="338" t="s">
        <v>12000</v>
      </c>
      <c r="C292" s="321"/>
      <c r="D292" s="325"/>
      <c r="E292" s="3058"/>
      <c r="F292" s="324"/>
      <c r="G292" s="2621"/>
      <c r="H292" s="332"/>
      <c r="I292" s="339"/>
      <c r="J292" s="322"/>
      <c r="K292" s="341"/>
      <c r="L292" s="339"/>
      <c r="M292" s="322"/>
      <c r="N292" s="339"/>
      <c r="O292" s="332"/>
      <c r="P292" s="345"/>
      <c r="Q292" s="322"/>
      <c r="R292" s="322"/>
      <c r="S292" s="346"/>
      <c r="T292" s="347"/>
      <c r="U292" s="326"/>
      <c r="V292" s="348"/>
      <c r="W292" s="347"/>
      <c r="X292" s="326"/>
      <c r="Y292" s="348"/>
      <c r="Z292" s="347"/>
      <c r="AA292" s="326"/>
      <c r="AB292" s="348"/>
      <c r="AC292" s="820"/>
      <c r="AD292" s="821"/>
      <c r="AE292" s="822"/>
      <c r="AF292" s="820"/>
      <c r="AG292" s="821"/>
      <c r="AH292" s="822"/>
      <c r="AI292" s="482">
        <v>0</v>
      </c>
      <c r="AJ292" s="326">
        <v>0</v>
      </c>
      <c r="AK292" s="3917">
        <v>0</v>
      </c>
      <c r="AL292" s="349">
        <f t="shared" si="51"/>
        <v>0</v>
      </c>
      <c r="AM292" s="2002"/>
      <c r="AN292" s="3357"/>
      <c r="AO292" s="695"/>
      <c r="AP292" s="3362" t="str">
        <f t="shared" si="54"/>
        <v>Planning Reg 2023-2024</v>
      </c>
      <c r="AQ292" s="3555">
        <f t="shared" si="54"/>
        <v>1.1576249999999999</v>
      </c>
      <c r="AR292" s="333"/>
      <c r="AS292" s="330"/>
      <c r="AT292" s="330"/>
      <c r="AU292" s="849"/>
      <c r="AV292" s="849"/>
      <c r="AW292" s="3156" t="e">
        <f t="shared" si="52"/>
        <v>#DIV/0!</v>
      </c>
      <c r="AX292" s="3140"/>
    </row>
    <row r="293" spans="1:50" ht="25.5">
      <c r="A293" s="2418" t="s">
        <v>4276</v>
      </c>
      <c r="B293" s="338" t="s">
        <v>12001</v>
      </c>
      <c r="C293" s="321"/>
      <c r="D293" s="325"/>
      <c r="E293" s="3058"/>
      <c r="F293" s="324"/>
      <c r="G293" s="2621"/>
      <c r="H293" s="332"/>
      <c r="I293" s="339"/>
      <c r="J293" s="322"/>
      <c r="K293" s="341"/>
      <c r="L293" s="339"/>
      <c r="M293" s="322"/>
      <c r="N293" s="339"/>
      <c r="O293" s="332"/>
      <c r="P293" s="345"/>
      <c r="Q293" s="322"/>
      <c r="R293" s="322"/>
      <c r="S293" s="346"/>
      <c r="T293" s="347"/>
      <c r="U293" s="326"/>
      <c r="V293" s="348"/>
      <c r="W293" s="347"/>
      <c r="X293" s="326"/>
      <c r="Y293" s="348"/>
      <c r="Z293" s="347"/>
      <c r="AA293" s="326"/>
      <c r="AB293" s="348"/>
      <c r="AC293" s="820"/>
      <c r="AD293" s="821"/>
      <c r="AE293" s="822"/>
      <c r="AF293" s="820"/>
      <c r="AG293" s="821"/>
      <c r="AH293" s="822"/>
      <c r="AI293" s="482">
        <v>0</v>
      </c>
      <c r="AJ293" s="326">
        <v>0</v>
      </c>
      <c r="AK293" s="3917">
        <v>0</v>
      </c>
      <c r="AL293" s="349">
        <f t="shared" si="51"/>
        <v>0</v>
      </c>
      <c r="AM293" s="2002"/>
      <c r="AN293" s="3357"/>
      <c r="AO293" s="695"/>
      <c r="AP293" s="3362" t="str">
        <f t="shared" si="54"/>
        <v>Planning Reg 2023-2024</v>
      </c>
      <c r="AQ293" s="3555">
        <f t="shared" si="54"/>
        <v>1.1576249999999999</v>
      </c>
      <c r="AR293" s="333"/>
      <c r="AS293" s="330"/>
      <c r="AT293" s="330"/>
      <c r="AU293" s="849"/>
      <c r="AV293" s="849"/>
      <c r="AW293" s="3156" t="e">
        <f t="shared" si="52"/>
        <v>#DIV/0!</v>
      </c>
      <c r="AX293" s="3140"/>
    </row>
    <row r="294" spans="1:50" ht="25.5">
      <c r="A294" s="2418" t="s">
        <v>4276</v>
      </c>
      <c r="B294" s="338" t="s">
        <v>12002</v>
      </c>
      <c r="C294" s="321"/>
      <c r="D294" s="325"/>
      <c r="E294" s="3058"/>
      <c r="F294" s="324"/>
      <c r="G294" s="2621"/>
      <c r="H294" s="332"/>
      <c r="I294" s="339"/>
      <c r="J294" s="322"/>
      <c r="K294" s="341"/>
      <c r="L294" s="339"/>
      <c r="M294" s="322"/>
      <c r="N294" s="339"/>
      <c r="O294" s="332"/>
      <c r="P294" s="345"/>
      <c r="Q294" s="322"/>
      <c r="R294" s="322"/>
      <c r="S294" s="346"/>
      <c r="T294" s="347"/>
      <c r="U294" s="326"/>
      <c r="V294" s="348"/>
      <c r="W294" s="347"/>
      <c r="X294" s="326"/>
      <c r="Y294" s="348"/>
      <c r="Z294" s="347"/>
      <c r="AA294" s="326"/>
      <c r="AB294" s="348"/>
      <c r="AC294" s="820"/>
      <c r="AD294" s="821"/>
      <c r="AE294" s="822"/>
      <c r="AF294" s="820"/>
      <c r="AG294" s="821"/>
      <c r="AH294" s="822"/>
      <c r="AI294" s="482">
        <v>0</v>
      </c>
      <c r="AJ294" s="326">
        <v>0</v>
      </c>
      <c r="AK294" s="3917">
        <v>0</v>
      </c>
      <c r="AL294" s="349">
        <f t="shared" si="51"/>
        <v>0</v>
      </c>
      <c r="AM294" s="2002"/>
      <c r="AN294" s="3357"/>
      <c r="AO294" s="695"/>
      <c r="AP294" s="3362" t="str">
        <f t="shared" si="54"/>
        <v>Planning Reg 2023-2024</v>
      </c>
      <c r="AQ294" s="3555">
        <f t="shared" si="54"/>
        <v>1.1576249999999999</v>
      </c>
      <c r="AR294" s="333"/>
      <c r="AS294" s="330"/>
      <c r="AT294" s="330"/>
      <c r="AU294" s="849"/>
      <c r="AV294" s="849"/>
      <c r="AW294" s="3156" t="e">
        <f t="shared" si="52"/>
        <v>#DIV/0!</v>
      </c>
      <c r="AX294" s="3140"/>
    </row>
    <row r="295" spans="1:50" ht="25.5">
      <c r="A295" s="2418" t="s">
        <v>4276</v>
      </c>
      <c r="B295" s="338" t="s">
        <v>12364</v>
      </c>
      <c r="C295" s="321"/>
      <c r="D295" s="325"/>
      <c r="E295" s="3058"/>
      <c r="F295" s="324"/>
      <c r="G295" s="2621"/>
      <c r="H295" s="332"/>
      <c r="I295" s="339"/>
      <c r="J295" s="322"/>
      <c r="K295" s="341"/>
      <c r="L295" s="339"/>
      <c r="M295" s="322"/>
      <c r="N295" s="339"/>
      <c r="O295" s="332"/>
      <c r="P295" s="345"/>
      <c r="Q295" s="322"/>
      <c r="R295" s="322"/>
      <c r="S295" s="346"/>
      <c r="T295" s="347"/>
      <c r="U295" s="326"/>
      <c r="V295" s="348"/>
      <c r="W295" s="347"/>
      <c r="X295" s="326"/>
      <c r="Y295" s="348"/>
      <c r="Z295" s="347"/>
      <c r="AA295" s="326"/>
      <c r="AB295" s="348"/>
      <c r="AC295" s="820"/>
      <c r="AD295" s="821"/>
      <c r="AE295" s="822"/>
      <c r="AF295" s="820"/>
      <c r="AG295" s="821"/>
      <c r="AH295" s="822"/>
      <c r="AI295" s="482">
        <v>0</v>
      </c>
      <c r="AJ295" s="326">
        <v>0</v>
      </c>
      <c r="AK295" s="3917">
        <v>0</v>
      </c>
      <c r="AL295" s="349">
        <f t="shared" si="51"/>
        <v>0</v>
      </c>
      <c r="AM295" s="2002"/>
      <c r="AN295" s="3357"/>
      <c r="AO295" s="695"/>
      <c r="AP295" s="3362" t="str">
        <f t="shared" si="54"/>
        <v>Planning Reg 2023-2024</v>
      </c>
      <c r="AQ295" s="3555">
        <f t="shared" si="54"/>
        <v>1.1576249999999999</v>
      </c>
      <c r="AR295" s="333"/>
      <c r="AS295" s="330"/>
      <c r="AT295" s="330"/>
      <c r="AU295" s="849"/>
      <c r="AV295" s="849"/>
      <c r="AW295" s="3156" t="e">
        <f t="shared" si="52"/>
        <v>#DIV/0!</v>
      </c>
      <c r="AX295" s="3140"/>
    </row>
    <row r="296" spans="1:50" ht="25.5">
      <c r="A296" s="2418" t="s">
        <v>4276</v>
      </c>
      <c r="B296" s="338" t="s">
        <v>12365</v>
      </c>
      <c r="C296" s="321"/>
      <c r="D296" s="325"/>
      <c r="E296" s="3058"/>
      <c r="F296" s="324"/>
      <c r="G296" s="2621"/>
      <c r="H296" s="332"/>
      <c r="I296" s="339"/>
      <c r="J296" s="322"/>
      <c r="K296" s="341"/>
      <c r="L296" s="339"/>
      <c r="M296" s="322"/>
      <c r="N296" s="339"/>
      <c r="O296" s="332"/>
      <c r="P296" s="345"/>
      <c r="Q296" s="322"/>
      <c r="R296" s="322"/>
      <c r="S296" s="346"/>
      <c r="T296" s="347"/>
      <c r="U296" s="326"/>
      <c r="V296" s="348"/>
      <c r="W296" s="347"/>
      <c r="X296" s="326"/>
      <c r="Y296" s="348"/>
      <c r="Z296" s="347"/>
      <c r="AA296" s="326"/>
      <c r="AB296" s="348"/>
      <c r="AC296" s="820"/>
      <c r="AD296" s="821"/>
      <c r="AE296" s="822"/>
      <c r="AF296" s="820"/>
      <c r="AG296" s="821"/>
      <c r="AH296" s="822"/>
      <c r="AI296" s="482">
        <v>0</v>
      </c>
      <c r="AJ296" s="326">
        <v>0</v>
      </c>
      <c r="AK296" s="3917">
        <v>0</v>
      </c>
      <c r="AL296" s="349">
        <f t="shared" si="51"/>
        <v>0</v>
      </c>
      <c r="AM296" s="2002"/>
      <c r="AN296" s="3357"/>
      <c r="AO296" s="695"/>
      <c r="AP296" s="3362" t="str">
        <f t="shared" si="54"/>
        <v>Planning Reg 2023-2024</v>
      </c>
      <c r="AQ296" s="3555">
        <f t="shared" si="54"/>
        <v>1.1576249999999999</v>
      </c>
      <c r="AR296" s="333"/>
      <c r="AS296" s="330"/>
      <c r="AT296" s="330"/>
      <c r="AU296" s="849"/>
      <c r="AV296" s="849"/>
      <c r="AW296" s="3156" t="e">
        <f t="shared" si="52"/>
        <v>#DIV/0!</v>
      </c>
      <c r="AX296" s="3140"/>
    </row>
    <row r="297" spans="1:50" ht="25.5">
      <c r="A297" s="2418" t="s">
        <v>4276</v>
      </c>
      <c r="B297" s="338" t="s">
        <v>12366</v>
      </c>
      <c r="C297" s="321"/>
      <c r="D297" s="325"/>
      <c r="E297" s="3058"/>
      <c r="F297" s="324"/>
      <c r="G297" s="2621"/>
      <c r="H297" s="332"/>
      <c r="I297" s="339"/>
      <c r="J297" s="322"/>
      <c r="K297" s="341"/>
      <c r="L297" s="339"/>
      <c r="M297" s="322"/>
      <c r="N297" s="339"/>
      <c r="O297" s="332"/>
      <c r="P297" s="345"/>
      <c r="Q297" s="322"/>
      <c r="R297" s="322"/>
      <c r="S297" s="346"/>
      <c r="T297" s="347"/>
      <c r="U297" s="326"/>
      <c r="V297" s="348"/>
      <c r="W297" s="347"/>
      <c r="X297" s="326"/>
      <c r="Y297" s="348"/>
      <c r="Z297" s="347"/>
      <c r="AA297" s="326"/>
      <c r="AB297" s="348"/>
      <c r="AC297" s="820"/>
      <c r="AD297" s="821"/>
      <c r="AE297" s="822"/>
      <c r="AF297" s="820"/>
      <c r="AG297" s="821"/>
      <c r="AH297" s="822"/>
      <c r="AI297" s="482">
        <v>0</v>
      </c>
      <c r="AJ297" s="326">
        <v>0</v>
      </c>
      <c r="AK297" s="3917">
        <v>0</v>
      </c>
      <c r="AL297" s="349">
        <f t="shared" si="51"/>
        <v>0</v>
      </c>
      <c r="AM297" s="2002"/>
      <c r="AN297" s="3357"/>
      <c r="AO297" s="695"/>
      <c r="AP297" s="3362" t="str">
        <f t="shared" si="54"/>
        <v>Planning Reg 2023-2024</v>
      </c>
      <c r="AQ297" s="3555">
        <f t="shared" si="54"/>
        <v>1.1576249999999999</v>
      </c>
      <c r="AR297" s="333"/>
      <c r="AS297" s="330"/>
      <c r="AT297" s="330"/>
      <c r="AU297" s="849"/>
      <c r="AV297" s="849"/>
      <c r="AW297" s="3156" t="e">
        <f t="shared" si="52"/>
        <v>#DIV/0!</v>
      </c>
      <c r="AX297" s="3140"/>
    </row>
    <row r="298" spans="1:50" ht="25.5">
      <c r="A298" s="2418" t="s">
        <v>4276</v>
      </c>
      <c r="B298" s="338" t="s">
        <v>12367</v>
      </c>
      <c r="C298" s="321"/>
      <c r="D298" s="325"/>
      <c r="E298" s="3058"/>
      <c r="F298" s="324"/>
      <c r="G298" s="2621"/>
      <c r="H298" s="332"/>
      <c r="I298" s="339"/>
      <c r="J298" s="322"/>
      <c r="K298" s="341"/>
      <c r="L298" s="339"/>
      <c r="M298" s="322"/>
      <c r="N298" s="339"/>
      <c r="O298" s="332"/>
      <c r="P298" s="345"/>
      <c r="Q298" s="322"/>
      <c r="R298" s="322"/>
      <c r="S298" s="346"/>
      <c r="T298" s="347"/>
      <c r="U298" s="326"/>
      <c r="V298" s="348"/>
      <c r="W298" s="347"/>
      <c r="X298" s="326"/>
      <c r="Y298" s="348"/>
      <c r="Z298" s="347"/>
      <c r="AA298" s="326"/>
      <c r="AB298" s="348"/>
      <c r="AC298" s="820"/>
      <c r="AD298" s="821"/>
      <c r="AE298" s="822"/>
      <c r="AF298" s="820"/>
      <c r="AG298" s="821"/>
      <c r="AH298" s="822"/>
      <c r="AI298" s="482">
        <v>0</v>
      </c>
      <c r="AJ298" s="326">
        <v>0</v>
      </c>
      <c r="AK298" s="3917">
        <v>0</v>
      </c>
      <c r="AL298" s="349">
        <f t="shared" si="51"/>
        <v>0</v>
      </c>
      <c r="AM298" s="2002"/>
      <c r="AN298" s="3357"/>
      <c r="AO298" s="695"/>
      <c r="AP298" s="3362" t="str">
        <f t="shared" si="54"/>
        <v>Planning Reg 2023-2024</v>
      </c>
      <c r="AQ298" s="3555">
        <f t="shared" si="54"/>
        <v>1.1576249999999999</v>
      </c>
      <c r="AR298" s="333"/>
      <c r="AS298" s="330"/>
      <c r="AT298" s="330"/>
      <c r="AU298" s="849"/>
      <c r="AV298" s="849"/>
      <c r="AW298" s="3156" t="e">
        <f t="shared" si="52"/>
        <v>#DIV/0!</v>
      </c>
      <c r="AX298" s="3140"/>
    </row>
    <row r="299" spans="1:50" ht="25.5">
      <c r="A299" s="2418" t="s">
        <v>4276</v>
      </c>
      <c r="B299" s="338" t="s">
        <v>12368</v>
      </c>
      <c r="C299" s="321"/>
      <c r="D299" s="325"/>
      <c r="E299" s="3058"/>
      <c r="F299" s="324"/>
      <c r="G299" s="2621"/>
      <c r="H299" s="332"/>
      <c r="I299" s="339"/>
      <c r="J299" s="322"/>
      <c r="K299" s="341"/>
      <c r="L299" s="339"/>
      <c r="M299" s="322"/>
      <c r="N299" s="339"/>
      <c r="O299" s="332"/>
      <c r="P299" s="345"/>
      <c r="Q299" s="322"/>
      <c r="R299" s="322"/>
      <c r="S299" s="346"/>
      <c r="T299" s="347"/>
      <c r="U299" s="326"/>
      <c r="V299" s="348"/>
      <c r="W299" s="347"/>
      <c r="X299" s="326"/>
      <c r="Y299" s="348"/>
      <c r="Z299" s="347"/>
      <c r="AA299" s="326"/>
      <c r="AB299" s="348"/>
      <c r="AC299" s="820"/>
      <c r="AD299" s="821"/>
      <c r="AE299" s="822"/>
      <c r="AF299" s="820"/>
      <c r="AG299" s="821"/>
      <c r="AH299" s="822"/>
      <c r="AI299" s="482">
        <v>0</v>
      </c>
      <c r="AJ299" s="326">
        <v>0</v>
      </c>
      <c r="AK299" s="3917">
        <v>0</v>
      </c>
      <c r="AL299" s="349">
        <f t="shared" si="51"/>
        <v>0</v>
      </c>
      <c r="AM299" s="2002"/>
      <c r="AN299" s="3357"/>
      <c r="AO299" s="695"/>
      <c r="AP299" s="3362" t="str">
        <f t="shared" si="54"/>
        <v>Planning Reg 2023-2024</v>
      </c>
      <c r="AQ299" s="3555">
        <f t="shared" si="54"/>
        <v>1.1576249999999999</v>
      </c>
      <c r="AR299" s="333"/>
      <c r="AS299" s="330"/>
      <c r="AT299" s="330"/>
      <c r="AU299" s="849"/>
      <c r="AV299" s="849"/>
      <c r="AW299" s="3156" t="e">
        <f t="shared" si="52"/>
        <v>#DIV/0!</v>
      </c>
      <c r="AX299" s="3140"/>
    </row>
    <row r="300" spans="1:50" ht="25.5">
      <c r="A300" s="2418" t="s">
        <v>4276</v>
      </c>
      <c r="B300" s="338" t="s">
        <v>12369</v>
      </c>
      <c r="C300" s="321"/>
      <c r="D300" s="325"/>
      <c r="E300" s="3058"/>
      <c r="F300" s="324"/>
      <c r="G300" s="2621"/>
      <c r="H300" s="332"/>
      <c r="I300" s="339"/>
      <c r="J300" s="322"/>
      <c r="K300" s="341"/>
      <c r="L300" s="339"/>
      <c r="M300" s="322"/>
      <c r="N300" s="339"/>
      <c r="O300" s="332"/>
      <c r="P300" s="345"/>
      <c r="Q300" s="322"/>
      <c r="R300" s="322"/>
      <c r="S300" s="346"/>
      <c r="T300" s="347"/>
      <c r="U300" s="326"/>
      <c r="V300" s="348"/>
      <c r="W300" s="347"/>
      <c r="X300" s="326"/>
      <c r="Y300" s="348"/>
      <c r="Z300" s="347"/>
      <c r="AA300" s="326"/>
      <c r="AB300" s="348"/>
      <c r="AC300" s="820"/>
      <c r="AD300" s="821"/>
      <c r="AE300" s="822"/>
      <c r="AF300" s="820"/>
      <c r="AG300" s="821"/>
      <c r="AH300" s="822"/>
      <c r="AI300" s="482">
        <v>0</v>
      </c>
      <c r="AJ300" s="326">
        <v>0</v>
      </c>
      <c r="AK300" s="3917">
        <v>0</v>
      </c>
      <c r="AL300" s="349">
        <f t="shared" si="51"/>
        <v>0</v>
      </c>
      <c r="AM300" s="2002"/>
      <c r="AN300" s="3357"/>
      <c r="AO300" s="695"/>
      <c r="AP300" s="3362" t="str">
        <f t="shared" si="54"/>
        <v>Planning Reg 2023-2024</v>
      </c>
      <c r="AQ300" s="3555">
        <f t="shared" si="54"/>
        <v>1.1576249999999999</v>
      </c>
      <c r="AR300" s="333"/>
      <c r="AS300" s="330"/>
      <c r="AT300" s="330"/>
      <c r="AU300" s="849"/>
      <c r="AV300" s="849"/>
      <c r="AW300" s="3156" t="e">
        <f t="shared" si="52"/>
        <v>#DIV/0!</v>
      </c>
      <c r="AX300" s="3140"/>
    </row>
    <row r="301" spans="1:50" ht="25.5">
      <c r="A301" s="2418" t="s">
        <v>4276</v>
      </c>
      <c r="B301" s="338" t="s">
        <v>12370</v>
      </c>
      <c r="C301" s="321"/>
      <c r="D301" s="325"/>
      <c r="E301" s="3058"/>
      <c r="F301" s="324"/>
      <c r="G301" s="2621"/>
      <c r="H301" s="332"/>
      <c r="I301" s="339"/>
      <c r="J301" s="322"/>
      <c r="K301" s="341"/>
      <c r="L301" s="339"/>
      <c r="M301" s="322"/>
      <c r="N301" s="339"/>
      <c r="O301" s="332"/>
      <c r="P301" s="345"/>
      <c r="Q301" s="322"/>
      <c r="R301" s="322"/>
      <c r="S301" s="346"/>
      <c r="T301" s="347"/>
      <c r="U301" s="326"/>
      <c r="V301" s="348"/>
      <c r="W301" s="347"/>
      <c r="X301" s="326"/>
      <c r="Y301" s="348"/>
      <c r="Z301" s="347"/>
      <c r="AA301" s="326"/>
      <c r="AB301" s="348"/>
      <c r="AC301" s="820"/>
      <c r="AD301" s="821"/>
      <c r="AE301" s="822"/>
      <c r="AF301" s="820"/>
      <c r="AG301" s="821"/>
      <c r="AH301" s="822"/>
      <c r="AI301" s="482">
        <v>0</v>
      </c>
      <c r="AJ301" s="326">
        <v>0</v>
      </c>
      <c r="AK301" s="3917">
        <v>0</v>
      </c>
      <c r="AL301" s="349">
        <f t="shared" si="51"/>
        <v>0</v>
      </c>
      <c r="AM301" s="2002"/>
      <c r="AN301" s="3357"/>
      <c r="AO301" s="695"/>
      <c r="AP301" s="3362" t="str">
        <f t="shared" si="54"/>
        <v>Planning Reg 2023-2024</v>
      </c>
      <c r="AQ301" s="3555">
        <f t="shared" si="54"/>
        <v>1.1576249999999999</v>
      </c>
      <c r="AR301" s="333"/>
      <c r="AS301" s="330"/>
      <c r="AT301" s="330"/>
      <c r="AU301" s="849"/>
      <c r="AV301" s="849"/>
      <c r="AW301" s="3156" t="e">
        <f t="shared" si="52"/>
        <v>#DIV/0!</v>
      </c>
      <c r="AX301" s="3140"/>
    </row>
    <row r="302" spans="1:50" ht="25.5">
      <c r="A302" s="2418" t="s">
        <v>4276</v>
      </c>
      <c r="B302" s="338" t="s">
        <v>12371</v>
      </c>
      <c r="C302" s="321"/>
      <c r="D302" s="325"/>
      <c r="E302" s="3058"/>
      <c r="F302" s="324"/>
      <c r="G302" s="2621"/>
      <c r="H302" s="332"/>
      <c r="I302" s="339"/>
      <c r="J302" s="322"/>
      <c r="K302" s="341"/>
      <c r="L302" s="339"/>
      <c r="M302" s="322"/>
      <c r="N302" s="339"/>
      <c r="O302" s="332"/>
      <c r="P302" s="345"/>
      <c r="Q302" s="322"/>
      <c r="R302" s="322"/>
      <c r="S302" s="346"/>
      <c r="T302" s="347"/>
      <c r="U302" s="326"/>
      <c r="V302" s="348"/>
      <c r="W302" s="347"/>
      <c r="X302" s="326"/>
      <c r="Y302" s="348"/>
      <c r="Z302" s="347"/>
      <c r="AA302" s="326"/>
      <c r="AB302" s="348"/>
      <c r="AC302" s="820"/>
      <c r="AD302" s="821"/>
      <c r="AE302" s="822"/>
      <c r="AF302" s="820"/>
      <c r="AG302" s="821"/>
      <c r="AH302" s="822"/>
      <c r="AI302" s="482">
        <v>0</v>
      </c>
      <c r="AJ302" s="326">
        <v>0</v>
      </c>
      <c r="AK302" s="3917">
        <v>0</v>
      </c>
      <c r="AL302" s="349">
        <f t="shared" si="51"/>
        <v>0</v>
      </c>
      <c r="AM302" s="2002"/>
      <c r="AN302" s="3357"/>
      <c r="AO302" s="695"/>
      <c r="AP302" s="3362" t="str">
        <f t="shared" si="54"/>
        <v>Planning Reg 2023-2024</v>
      </c>
      <c r="AQ302" s="3555">
        <f t="shared" si="54"/>
        <v>1.1576249999999999</v>
      </c>
      <c r="AR302" s="333"/>
      <c r="AS302" s="330"/>
      <c r="AT302" s="330"/>
      <c r="AU302" s="849"/>
      <c r="AV302" s="849"/>
      <c r="AW302" s="3156" t="e">
        <f t="shared" si="52"/>
        <v>#DIV/0!</v>
      </c>
      <c r="AX302" s="3140"/>
    </row>
    <row r="303" spans="1:50" ht="25.5">
      <c r="A303" s="2418" t="s">
        <v>4276</v>
      </c>
      <c r="B303" s="338" t="s">
        <v>12372</v>
      </c>
      <c r="C303" s="321"/>
      <c r="D303" s="325"/>
      <c r="E303" s="3058"/>
      <c r="F303" s="324"/>
      <c r="G303" s="2621"/>
      <c r="H303" s="332"/>
      <c r="I303" s="339"/>
      <c r="J303" s="322"/>
      <c r="K303" s="341"/>
      <c r="L303" s="339"/>
      <c r="M303" s="322"/>
      <c r="N303" s="339"/>
      <c r="O303" s="332"/>
      <c r="P303" s="345"/>
      <c r="Q303" s="322"/>
      <c r="R303" s="322"/>
      <c r="S303" s="346"/>
      <c r="T303" s="347"/>
      <c r="U303" s="326"/>
      <c r="V303" s="348"/>
      <c r="W303" s="347"/>
      <c r="X303" s="326"/>
      <c r="Y303" s="348"/>
      <c r="Z303" s="347"/>
      <c r="AA303" s="326"/>
      <c r="AB303" s="348"/>
      <c r="AC303" s="820"/>
      <c r="AD303" s="821"/>
      <c r="AE303" s="822"/>
      <c r="AF303" s="820"/>
      <c r="AG303" s="821"/>
      <c r="AH303" s="822"/>
      <c r="AI303" s="482">
        <v>0</v>
      </c>
      <c r="AJ303" s="326">
        <v>0</v>
      </c>
      <c r="AK303" s="3917">
        <v>0</v>
      </c>
      <c r="AL303" s="349">
        <f t="shared" si="51"/>
        <v>0</v>
      </c>
      <c r="AM303" s="2002"/>
      <c r="AN303" s="3357"/>
      <c r="AO303" s="695"/>
      <c r="AP303" s="3362" t="str">
        <f t="shared" si="54"/>
        <v>Planning Reg 2023-2024</v>
      </c>
      <c r="AQ303" s="3555">
        <f t="shared" si="54"/>
        <v>1.1576249999999999</v>
      </c>
      <c r="AR303" s="333"/>
      <c r="AS303" s="330"/>
      <c r="AT303" s="330"/>
      <c r="AU303" s="849"/>
      <c r="AV303" s="849"/>
      <c r="AW303" s="3156" t="e">
        <f t="shared" si="52"/>
        <v>#DIV/0!</v>
      </c>
      <c r="AX303" s="3140"/>
    </row>
    <row r="304" spans="1:50" ht="25.5">
      <c r="A304" s="2418" t="s">
        <v>4276</v>
      </c>
      <c r="B304" s="338" t="s">
        <v>12373</v>
      </c>
      <c r="C304" s="321"/>
      <c r="D304" s="325"/>
      <c r="E304" s="3058"/>
      <c r="F304" s="324"/>
      <c r="G304" s="2621"/>
      <c r="H304" s="332"/>
      <c r="I304" s="339"/>
      <c r="J304" s="322"/>
      <c r="K304" s="341"/>
      <c r="L304" s="339"/>
      <c r="M304" s="322"/>
      <c r="N304" s="339"/>
      <c r="O304" s="332"/>
      <c r="P304" s="345"/>
      <c r="Q304" s="322"/>
      <c r="R304" s="322"/>
      <c r="S304" s="346"/>
      <c r="T304" s="347"/>
      <c r="U304" s="326"/>
      <c r="V304" s="348"/>
      <c r="W304" s="347"/>
      <c r="X304" s="326"/>
      <c r="Y304" s="348"/>
      <c r="Z304" s="347"/>
      <c r="AA304" s="326"/>
      <c r="AB304" s="348"/>
      <c r="AC304" s="820"/>
      <c r="AD304" s="821"/>
      <c r="AE304" s="822"/>
      <c r="AF304" s="820"/>
      <c r="AG304" s="821"/>
      <c r="AH304" s="822"/>
      <c r="AI304" s="482">
        <v>0</v>
      </c>
      <c r="AJ304" s="326">
        <v>0</v>
      </c>
      <c r="AK304" s="3917">
        <v>0</v>
      </c>
      <c r="AL304" s="349">
        <f t="shared" si="51"/>
        <v>0</v>
      </c>
      <c r="AM304" s="2002"/>
      <c r="AN304" s="3357"/>
      <c r="AO304" s="695"/>
      <c r="AP304" s="3362" t="str">
        <f t="shared" ref="AP304:AQ318" si="55">AP$2</f>
        <v>Planning Reg 2023-2024</v>
      </c>
      <c r="AQ304" s="3555">
        <f t="shared" si="55"/>
        <v>1.1576249999999999</v>
      </c>
      <c r="AR304" s="333"/>
      <c r="AS304" s="330"/>
      <c r="AT304" s="330"/>
      <c r="AU304" s="849"/>
      <c r="AV304" s="849"/>
      <c r="AW304" s="3156" t="e">
        <f t="shared" si="52"/>
        <v>#DIV/0!</v>
      </c>
      <c r="AX304" s="3140"/>
    </row>
    <row r="305" spans="1:50" ht="25.5">
      <c r="A305" s="2418" t="s">
        <v>4276</v>
      </c>
      <c r="B305" s="338" t="s">
        <v>12374</v>
      </c>
      <c r="C305" s="321"/>
      <c r="D305" s="325"/>
      <c r="E305" s="3058"/>
      <c r="F305" s="324"/>
      <c r="G305" s="2621"/>
      <c r="H305" s="332"/>
      <c r="I305" s="339"/>
      <c r="J305" s="322"/>
      <c r="K305" s="341"/>
      <c r="L305" s="339"/>
      <c r="M305" s="322"/>
      <c r="N305" s="339"/>
      <c r="O305" s="332"/>
      <c r="P305" s="345"/>
      <c r="Q305" s="322"/>
      <c r="R305" s="322"/>
      <c r="S305" s="346"/>
      <c r="T305" s="347"/>
      <c r="U305" s="326"/>
      <c r="V305" s="348"/>
      <c r="W305" s="347"/>
      <c r="X305" s="326"/>
      <c r="Y305" s="348"/>
      <c r="Z305" s="347"/>
      <c r="AA305" s="326"/>
      <c r="AB305" s="348"/>
      <c r="AC305" s="820"/>
      <c r="AD305" s="821"/>
      <c r="AE305" s="822"/>
      <c r="AF305" s="820"/>
      <c r="AG305" s="821"/>
      <c r="AH305" s="822"/>
      <c r="AI305" s="482">
        <v>0</v>
      </c>
      <c r="AJ305" s="326">
        <v>0</v>
      </c>
      <c r="AK305" s="3917">
        <v>0</v>
      </c>
      <c r="AL305" s="349">
        <f t="shared" si="51"/>
        <v>0</v>
      </c>
      <c r="AM305" s="2002"/>
      <c r="AN305" s="3357"/>
      <c r="AO305" s="695"/>
      <c r="AP305" s="3362" t="str">
        <f t="shared" si="55"/>
        <v>Planning Reg 2023-2024</v>
      </c>
      <c r="AQ305" s="3555">
        <f t="shared" si="55"/>
        <v>1.1576249999999999</v>
      </c>
      <c r="AR305" s="333"/>
      <c r="AS305" s="330"/>
      <c r="AT305" s="330"/>
      <c r="AU305" s="849"/>
      <c r="AV305" s="849"/>
      <c r="AW305" s="3156" t="e">
        <f t="shared" si="52"/>
        <v>#DIV/0!</v>
      </c>
      <c r="AX305" s="3140"/>
    </row>
    <row r="306" spans="1:50" ht="25.5">
      <c r="A306" s="2418" t="s">
        <v>4276</v>
      </c>
      <c r="B306" s="338" t="s">
        <v>12375</v>
      </c>
      <c r="C306" s="321"/>
      <c r="D306" s="325"/>
      <c r="E306" s="3058"/>
      <c r="F306" s="324"/>
      <c r="G306" s="2621"/>
      <c r="H306" s="332"/>
      <c r="I306" s="339"/>
      <c r="J306" s="322"/>
      <c r="K306" s="341"/>
      <c r="L306" s="339"/>
      <c r="M306" s="322"/>
      <c r="N306" s="339"/>
      <c r="O306" s="332"/>
      <c r="P306" s="345"/>
      <c r="Q306" s="322"/>
      <c r="R306" s="322"/>
      <c r="S306" s="346"/>
      <c r="T306" s="347"/>
      <c r="U306" s="326"/>
      <c r="V306" s="348"/>
      <c r="W306" s="347"/>
      <c r="X306" s="326"/>
      <c r="Y306" s="348"/>
      <c r="Z306" s="347"/>
      <c r="AA306" s="326"/>
      <c r="AB306" s="348"/>
      <c r="AC306" s="820"/>
      <c r="AD306" s="821"/>
      <c r="AE306" s="822"/>
      <c r="AF306" s="820"/>
      <c r="AG306" s="821"/>
      <c r="AH306" s="822"/>
      <c r="AI306" s="482">
        <v>0</v>
      </c>
      <c r="AJ306" s="326">
        <v>0</v>
      </c>
      <c r="AK306" s="3917">
        <v>0</v>
      </c>
      <c r="AL306" s="349">
        <f t="shared" si="51"/>
        <v>0</v>
      </c>
      <c r="AM306" s="2002"/>
      <c r="AN306" s="3357"/>
      <c r="AO306" s="695"/>
      <c r="AP306" s="3362" t="str">
        <f t="shared" si="55"/>
        <v>Planning Reg 2023-2024</v>
      </c>
      <c r="AQ306" s="3555">
        <f t="shared" si="55"/>
        <v>1.1576249999999999</v>
      </c>
      <c r="AR306" s="333"/>
      <c r="AS306" s="330"/>
      <c r="AT306" s="330"/>
      <c r="AU306" s="849"/>
      <c r="AV306" s="849"/>
      <c r="AW306" s="3156" t="e">
        <f t="shared" si="52"/>
        <v>#DIV/0!</v>
      </c>
      <c r="AX306" s="3140"/>
    </row>
    <row r="307" spans="1:50" ht="25.5">
      <c r="A307" s="2418" t="s">
        <v>4276</v>
      </c>
      <c r="B307" s="338" t="s">
        <v>12376</v>
      </c>
      <c r="C307" s="321"/>
      <c r="D307" s="325"/>
      <c r="E307" s="3058"/>
      <c r="F307" s="324"/>
      <c r="G307" s="2621"/>
      <c r="H307" s="332"/>
      <c r="I307" s="339"/>
      <c r="J307" s="322"/>
      <c r="K307" s="341"/>
      <c r="L307" s="339"/>
      <c r="M307" s="322"/>
      <c r="N307" s="339"/>
      <c r="O307" s="332"/>
      <c r="P307" s="345"/>
      <c r="Q307" s="322"/>
      <c r="R307" s="322"/>
      <c r="S307" s="346"/>
      <c r="T307" s="347"/>
      <c r="U307" s="326"/>
      <c r="V307" s="348"/>
      <c r="W307" s="347"/>
      <c r="X307" s="326"/>
      <c r="Y307" s="348"/>
      <c r="Z307" s="347"/>
      <c r="AA307" s="326"/>
      <c r="AB307" s="348"/>
      <c r="AC307" s="820"/>
      <c r="AD307" s="821"/>
      <c r="AE307" s="822"/>
      <c r="AF307" s="820"/>
      <c r="AG307" s="821"/>
      <c r="AH307" s="822"/>
      <c r="AI307" s="482">
        <v>0</v>
      </c>
      <c r="AJ307" s="326">
        <v>0</v>
      </c>
      <c r="AK307" s="3917">
        <v>0</v>
      </c>
      <c r="AL307" s="349">
        <f t="shared" si="51"/>
        <v>0</v>
      </c>
      <c r="AM307" s="2002"/>
      <c r="AN307" s="3357"/>
      <c r="AO307" s="695"/>
      <c r="AP307" s="3362" t="str">
        <f t="shared" si="55"/>
        <v>Planning Reg 2023-2024</v>
      </c>
      <c r="AQ307" s="3555">
        <f t="shared" si="55"/>
        <v>1.1576249999999999</v>
      </c>
      <c r="AR307" s="333"/>
      <c r="AS307" s="330"/>
      <c r="AT307" s="330"/>
      <c r="AU307" s="849"/>
      <c r="AV307" s="849"/>
      <c r="AW307" s="3156" t="e">
        <f t="shared" si="52"/>
        <v>#DIV/0!</v>
      </c>
      <c r="AX307" s="3140"/>
    </row>
    <row r="308" spans="1:50" ht="25.5">
      <c r="A308" s="2418" t="s">
        <v>4276</v>
      </c>
      <c r="B308" s="338" t="s">
        <v>12377</v>
      </c>
      <c r="C308" s="321"/>
      <c r="D308" s="325"/>
      <c r="E308" s="3058"/>
      <c r="F308" s="324"/>
      <c r="G308" s="2621"/>
      <c r="H308" s="332"/>
      <c r="I308" s="339"/>
      <c r="J308" s="322"/>
      <c r="K308" s="341"/>
      <c r="L308" s="339"/>
      <c r="M308" s="322"/>
      <c r="N308" s="339"/>
      <c r="O308" s="332"/>
      <c r="P308" s="345"/>
      <c r="Q308" s="322"/>
      <c r="R308" s="322"/>
      <c r="S308" s="346"/>
      <c r="T308" s="347"/>
      <c r="U308" s="326"/>
      <c r="V308" s="348"/>
      <c r="W308" s="347"/>
      <c r="X308" s="326"/>
      <c r="Y308" s="348"/>
      <c r="Z308" s="347"/>
      <c r="AA308" s="326"/>
      <c r="AB308" s="348"/>
      <c r="AC308" s="820"/>
      <c r="AD308" s="821"/>
      <c r="AE308" s="822"/>
      <c r="AF308" s="820"/>
      <c r="AG308" s="821"/>
      <c r="AH308" s="822"/>
      <c r="AI308" s="482">
        <v>0</v>
      </c>
      <c r="AJ308" s="326">
        <v>0</v>
      </c>
      <c r="AK308" s="3917">
        <v>0</v>
      </c>
      <c r="AL308" s="349">
        <f t="shared" si="51"/>
        <v>0</v>
      </c>
      <c r="AM308" s="2002"/>
      <c r="AN308" s="3357"/>
      <c r="AO308" s="695"/>
      <c r="AP308" s="3362" t="str">
        <f t="shared" si="55"/>
        <v>Planning Reg 2023-2024</v>
      </c>
      <c r="AQ308" s="3555">
        <f t="shared" si="55"/>
        <v>1.1576249999999999</v>
      </c>
      <c r="AR308" s="333"/>
      <c r="AS308" s="330"/>
      <c r="AT308" s="330"/>
      <c r="AU308" s="849"/>
      <c r="AV308" s="849"/>
      <c r="AW308" s="3156" t="e">
        <f t="shared" si="52"/>
        <v>#DIV/0!</v>
      </c>
      <c r="AX308" s="3140"/>
    </row>
    <row r="309" spans="1:50" ht="25.5">
      <c r="A309" s="2418" t="s">
        <v>4276</v>
      </c>
      <c r="B309" s="338" t="s">
        <v>12378</v>
      </c>
      <c r="C309" s="321"/>
      <c r="D309" s="325"/>
      <c r="E309" s="3058"/>
      <c r="F309" s="324"/>
      <c r="G309" s="2621"/>
      <c r="H309" s="332"/>
      <c r="I309" s="339"/>
      <c r="J309" s="322"/>
      <c r="K309" s="341"/>
      <c r="L309" s="339"/>
      <c r="M309" s="322"/>
      <c r="N309" s="339"/>
      <c r="O309" s="332"/>
      <c r="P309" s="345"/>
      <c r="Q309" s="322"/>
      <c r="R309" s="322"/>
      <c r="S309" s="346"/>
      <c r="T309" s="347"/>
      <c r="U309" s="326"/>
      <c r="V309" s="348"/>
      <c r="W309" s="347"/>
      <c r="X309" s="326"/>
      <c r="Y309" s="348"/>
      <c r="Z309" s="347"/>
      <c r="AA309" s="326"/>
      <c r="AB309" s="348"/>
      <c r="AC309" s="820"/>
      <c r="AD309" s="821"/>
      <c r="AE309" s="822"/>
      <c r="AF309" s="820"/>
      <c r="AG309" s="821"/>
      <c r="AH309" s="822"/>
      <c r="AI309" s="482">
        <v>0</v>
      </c>
      <c r="AJ309" s="326">
        <v>0</v>
      </c>
      <c r="AK309" s="3917">
        <v>0</v>
      </c>
      <c r="AL309" s="349">
        <f t="shared" si="51"/>
        <v>0</v>
      </c>
      <c r="AM309" s="2002"/>
      <c r="AN309" s="3357"/>
      <c r="AO309" s="695"/>
      <c r="AP309" s="3362" t="str">
        <f t="shared" si="55"/>
        <v>Planning Reg 2023-2024</v>
      </c>
      <c r="AQ309" s="3555">
        <f t="shared" si="55"/>
        <v>1.1576249999999999</v>
      </c>
      <c r="AR309" s="333"/>
      <c r="AS309" s="330"/>
      <c r="AT309" s="330"/>
      <c r="AU309" s="849"/>
      <c r="AV309" s="849"/>
      <c r="AW309" s="3156" t="e">
        <f t="shared" si="52"/>
        <v>#DIV/0!</v>
      </c>
      <c r="AX309" s="3140"/>
    </row>
    <row r="310" spans="1:50" ht="25.5">
      <c r="A310" s="2418" t="s">
        <v>4276</v>
      </c>
      <c r="B310" s="338" t="s">
        <v>12379</v>
      </c>
      <c r="C310" s="321"/>
      <c r="D310" s="325"/>
      <c r="E310" s="3058"/>
      <c r="F310" s="324"/>
      <c r="G310" s="2621"/>
      <c r="H310" s="332"/>
      <c r="I310" s="339"/>
      <c r="J310" s="322"/>
      <c r="K310" s="341"/>
      <c r="L310" s="339"/>
      <c r="M310" s="322"/>
      <c r="N310" s="339"/>
      <c r="O310" s="332"/>
      <c r="P310" s="345"/>
      <c r="Q310" s="322"/>
      <c r="R310" s="322"/>
      <c r="S310" s="346"/>
      <c r="T310" s="347"/>
      <c r="U310" s="326"/>
      <c r="V310" s="348"/>
      <c r="W310" s="347"/>
      <c r="X310" s="326"/>
      <c r="Y310" s="348"/>
      <c r="Z310" s="347"/>
      <c r="AA310" s="326"/>
      <c r="AB310" s="348"/>
      <c r="AC310" s="820"/>
      <c r="AD310" s="821"/>
      <c r="AE310" s="822"/>
      <c r="AF310" s="820"/>
      <c r="AG310" s="821"/>
      <c r="AH310" s="822"/>
      <c r="AI310" s="482">
        <v>0</v>
      </c>
      <c r="AJ310" s="326">
        <v>0</v>
      </c>
      <c r="AK310" s="3917">
        <v>0</v>
      </c>
      <c r="AL310" s="349">
        <f t="shared" si="51"/>
        <v>0</v>
      </c>
      <c r="AM310" s="2002"/>
      <c r="AN310" s="3357"/>
      <c r="AO310" s="695"/>
      <c r="AP310" s="3362" t="str">
        <f t="shared" si="55"/>
        <v>Planning Reg 2023-2024</v>
      </c>
      <c r="AQ310" s="3555">
        <f t="shared" si="55"/>
        <v>1.1576249999999999</v>
      </c>
      <c r="AR310" s="333"/>
      <c r="AS310" s="330"/>
      <c r="AT310" s="330"/>
      <c r="AU310" s="849"/>
      <c r="AV310" s="849"/>
      <c r="AW310" s="3156" t="e">
        <f t="shared" si="52"/>
        <v>#DIV/0!</v>
      </c>
      <c r="AX310" s="3140"/>
    </row>
    <row r="311" spans="1:50" ht="25.5">
      <c r="A311" s="2418" t="s">
        <v>4276</v>
      </c>
      <c r="B311" s="338" t="s">
        <v>12380</v>
      </c>
      <c r="C311" s="321"/>
      <c r="D311" s="325"/>
      <c r="E311" s="3058"/>
      <c r="F311" s="324"/>
      <c r="G311" s="2621"/>
      <c r="H311" s="332"/>
      <c r="I311" s="339"/>
      <c r="J311" s="322"/>
      <c r="K311" s="341"/>
      <c r="L311" s="339"/>
      <c r="M311" s="322"/>
      <c r="N311" s="339"/>
      <c r="O311" s="332"/>
      <c r="P311" s="345"/>
      <c r="Q311" s="322"/>
      <c r="R311" s="322"/>
      <c r="S311" s="346"/>
      <c r="T311" s="347"/>
      <c r="U311" s="326"/>
      <c r="V311" s="348"/>
      <c r="W311" s="347"/>
      <c r="X311" s="326"/>
      <c r="Y311" s="348"/>
      <c r="Z311" s="347"/>
      <c r="AA311" s="326"/>
      <c r="AB311" s="348"/>
      <c r="AC311" s="820"/>
      <c r="AD311" s="821"/>
      <c r="AE311" s="822"/>
      <c r="AF311" s="820"/>
      <c r="AG311" s="821"/>
      <c r="AH311" s="822"/>
      <c r="AI311" s="482">
        <v>0</v>
      </c>
      <c r="AJ311" s="326">
        <v>0</v>
      </c>
      <c r="AK311" s="3917">
        <v>0</v>
      </c>
      <c r="AL311" s="349">
        <f t="shared" si="51"/>
        <v>0</v>
      </c>
      <c r="AM311" s="2002"/>
      <c r="AN311" s="3357"/>
      <c r="AO311" s="695"/>
      <c r="AP311" s="3362" t="str">
        <f t="shared" si="55"/>
        <v>Planning Reg 2023-2024</v>
      </c>
      <c r="AQ311" s="3555">
        <f t="shared" si="55"/>
        <v>1.1576249999999999</v>
      </c>
      <c r="AR311" s="333"/>
      <c r="AS311" s="330"/>
      <c r="AT311" s="330"/>
      <c r="AU311" s="849"/>
      <c r="AV311" s="849"/>
      <c r="AW311" s="3156" t="e">
        <f t="shared" si="52"/>
        <v>#DIV/0!</v>
      </c>
      <c r="AX311" s="3140"/>
    </row>
    <row r="312" spans="1:50" ht="25.5">
      <c r="A312" s="2418" t="s">
        <v>4276</v>
      </c>
      <c r="B312" s="338" t="s">
        <v>12381</v>
      </c>
      <c r="C312" s="321"/>
      <c r="D312" s="325"/>
      <c r="E312" s="3058"/>
      <c r="F312" s="324"/>
      <c r="G312" s="2621"/>
      <c r="H312" s="332"/>
      <c r="I312" s="339"/>
      <c r="J312" s="322"/>
      <c r="K312" s="341"/>
      <c r="L312" s="339"/>
      <c r="M312" s="322"/>
      <c r="N312" s="339"/>
      <c r="O312" s="332"/>
      <c r="P312" s="345"/>
      <c r="Q312" s="322"/>
      <c r="R312" s="322"/>
      <c r="S312" s="346"/>
      <c r="T312" s="347"/>
      <c r="U312" s="326"/>
      <c r="V312" s="348"/>
      <c r="W312" s="347"/>
      <c r="X312" s="326"/>
      <c r="Y312" s="348"/>
      <c r="Z312" s="347"/>
      <c r="AA312" s="326"/>
      <c r="AB312" s="348"/>
      <c r="AC312" s="820"/>
      <c r="AD312" s="821"/>
      <c r="AE312" s="822"/>
      <c r="AF312" s="820"/>
      <c r="AG312" s="821"/>
      <c r="AH312" s="822"/>
      <c r="AI312" s="482">
        <v>0</v>
      </c>
      <c r="AJ312" s="326">
        <v>0</v>
      </c>
      <c r="AK312" s="3917">
        <v>0</v>
      </c>
      <c r="AL312" s="349">
        <f t="shared" si="51"/>
        <v>0</v>
      </c>
      <c r="AM312" s="2002"/>
      <c r="AN312" s="3357"/>
      <c r="AO312" s="695"/>
      <c r="AP312" s="3362" t="str">
        <f t="shared" si="55"/>
        <v>Planning Reg 2023-2024</v>
      </c>
      <c r="AQ312" s="3555">
        <f t="shared" si="55"/>
        <v>1.1576249999999999</v>
      </c>
      <c r="AR312" s="333"/>
      <c r="AS312" s="330"/>
      <c r="AT312" s="330"/>
      <c r="AU312" s="849"/>
      <c r="AV312" s="849"/>
      <c r="AW312" s="3156" t="e">
        <f t="shared" si="52"/>
        <v>#DIV/0!</v>
      </c>
      <c r="AX312" s="3140"/>
    </row>
    <row r="313" spans="1:50" ht="25.5">
      <c r="A313" s="2418" t="s">
        <v>4276</v>
      </c>
      <c r="B313" s="338" t="s">
        <v>12382</v>
      </c>
      <c r="C313" s="321"/>
      <c r="D313" s="325"/>
      <c r="E313" s="3058"/>
      <c r="F313" s="324"/>
      <c r="G313" s="2621"/>
      <c r="H313" s="332"/>
      <c r="I313" s="339"/>
      <c r="J313" s="322"/>
      <c r="K313" s="341"/>
      <c r="L313" s="339"/>
      <c r="M313" s="322"/>
      <c r="N313" s="339"/>
      <c r="O313" s="332"/>
      <c r="P313" s="345"/>
      <c r="Q313" s="322"/>
      <c r="R313" s="322"/>
      <c r="S313" s="346"/>
      <c r="T313" s="347"/>
      <c r="U313" s="326"/>
      <c r="V313" s="348"/>
      <c r="W313" s="347"/>
      <c r="X313" s="326"/>
      <c r="Y313" s="348"/>
      <c r="Z313" s="347"/>
      <c r="AA313" s="326"/>
      <c r="AB313" s="348"/>
      <c r="AC313" s="820"/>
      <c r="AD313" s="821"/>
      <c r="AE313" s="822"/>
      <c r="AF313" s="820"/>
      <c r="AG313" s="821"/>
      <c r="AH313" s="822"/>
      <c r="AI313" s="482">
        <v>0</v>
      </c>
      <c r="AJ313" s="326">
        <v>0</v>
      </c>
      <c r="AK313" s="3917">
        <v>0</v>
      </c>
      <c r="AL313" s="349">
        <f t="shared" si="51"/>
        <v>0</v>
      </c>
      <c r="AM313" s="2002"/>
      <c r="AN313" s="3357"/>
      <c r="AO313" s="695"/>
      <c r="AP313" s="3362" t="str">
        <f t="shared" si="55"/>
        <v>Planning Reg 2023-2024</v>
      </c>
      <c r="AQ313" s="3555">
        <f t="shared" si="55"/>
        <v>1.1576249999999999</v>
      </c>
      <c r="AR313" s="333"/>
      <c r="AS313" s="330"/>
      <c r="AT313" s="330"/>
      <c r="AU313" s="849"/>
      <c r="AV313" s="849"/>
      <c r="AW313" s="3156" t="e">
        <f t="shared" si="52"/>
        <v>#DIV/0!</v>
      </c>
      <c r="AX313" s="3140"/>
    </row>
    <row r="314" spans="1:50" ht="25.5">
      <c r="A314" s="2418" t="s">
        <v>4276</v>
      </c>
      <c r="B314" s="338" t="s">
        <v>12383</v>
      </c>
      <c r="C314" s="321"/>
      <c r="D314" s="325"/>
      <c r="E314" s="3058"/>
      <c r="F314" s="324"/>
      <c r="G314" s="2621"/>
      <c r="H314" s="332"/>
      <c r="I314" s="339"/>
      <c r="J314" s="322"/>
      <c r="K314" s="341"/>
      <c r="L314" s="339"/>
      <c r="M314" s="322"/>
      <c r="N314" s="339"/>
      <c r="O314" s="332"/>
      <c r="P314" s="345"/>
      <c r="Q314" s="322"/>
      <c r="R314" s="322"/>
      <c r="S314" s="346"/>
      <c r="T314" s="347"/>
      <c r="U314" s="326"/>
      <c r="V314" s="348"/>
      <c r="W314" s="347"/>
      <c r="X314" s="326"/>
      <c r="Y314" s="348"/>
      <c r="Z314" s="347"/>
      <c r="AA314" s="326"/>
      <c r="AB314" s="348"/>
      <c r="AC314" s="820"/>
      <c r="AD314" s="821"/>
      <c r="AE314" s="822"/>
      <c r="AF314" s="820"/>
      <c r="AG314" s="821"/>
      <c r="AH314" s="822"/>
      <c r="AI314" s="482">
        <v>0</v>
      </c>
      <c r="AJ314" s="326">
        <v>0</v>
      </c>
      <c r="AK314" s="3917">
        <v>0</v>
      </c>
      <c r="AL314" s="349">
        <f t="shared" si="51"/>
        <v>0</v>
      </c>
      <c r="AM314" s="2002"/>
      <c r="AN314" s="3357"/>
      <c r="AO314" s="695"/>
      <c r="AP314" s="3362" t="str">
        <f t="shared" si="55"/>
        <v>Planning Reg 2023-2024</v>
      </c>
      <c r="AQ314" s="3555">
        <f t="shared" si="55"/>
        <v>1.1576249999999999</v>
      </c>
      <c r="AR314" s="333"/>
      <c r="AS314" s="330"/>
      <c r="AT314" s="330"/>
      <c r="AU314" s="849"/>
      <c r="AV314" s="849"/>
      <c r="AW314" s="3156" t="e">
        <f t="shared" si="52"/>
        <v>#DIV/0!</v>
      </c>
      <c r="AX314" s="3140"/>
    </row>
    <row r="315" spans="1:50" ht="25.5">
      <c r="A315" s="2418" t="s">
        <v>4276</v>
      </c>
      <c r="B315" s="338" t="s">
        <v>12384</v>
      </c>
      <c r="C315" s="321"/>
      <c r="D315" s="325"/>
      <c r="E315" s="3058"/>
      <c r="F315" s="324"/>
      <c r="G315" s="2621"/>
      <c r="H315" s="332"/>
      <c r="I315" s="339"/>
      <c r="J315" s="322"/>
      <c r="K315" s="341"/>
      <c r="L315" s="339"/>
      <c r="M315" s="322"/>
      <c r="N315" s="339"/>
      <c r="O315" s="332"/>
      <c r="P315" s="345"/>
      <c r="Q315" s="322"/>
      <c r="R315" s="322"/>
      <c r="S315" s="346"/>
      <c r="T315" s="347"/>
      <c r="U315" s="326"/>
      <c r="V315" s="348"/>
      <c r="W315" s="347"/>
      <c r="X315" s="326"/>
      <c r="Y315" s="348"/>
      <c r="Z315" s="347"/>
      <c r="AA315" s="326"/>
      <c r="AB315" s="348"/>
      <c r="AC315" s="820"/>
      <c r="AD315" s="821"/>
      <c r="AE315" s="822"/>
      <c r="AF315" s="820"/>
      <c r="AG315" s="821"/>
      <c r="AH315" s="822"/>
      <c r="AI315" s="482">
        <v>0</v>
      </c>
      <c r="AJ315" s="326">
        <v>0</v>
      </c>
      <c r="AK315" s="3917">
        <v>0</v>
      </c>
      <c r="AL315" s="349">
        <f t="shared" si="51"/>
        <v>0</v>
      </c>
      <c r="AM315" s="2002"/>
      <c r="AN315" s="3357"/>
      <c r="AO315" s="695"/>
      <c r="AP315" s="3362" t="str">
        <f t="shared" si="55"/>
        <v>Planning Reg 2023-2024</v>
      </c>
      <c r="AQ315" s="3555">
        <f t="shared" si="55"/>
        <v>1.1576249999999999</v>
      </c>
      <c r="AR315" s="333"/>
      <c r="AS315" s="330"/>
      <c r="AT315" s="330"/>
      <c r="AU315" s="849"/>
      <c r="AV315" s="849"/>
      <c r="AW315" s="3156" t="e">
        <f t="shared" si="52"/>
        <v>#DIV/0!</v>
      </c>
      <c r="AX315" s="3140"/>
    </row>
    <row r="316" spans="1:50" ht="25.5">
      <c r="A316" s="2418" t="s">
        <v>4276</v>
      </c>
      <c r="B316" s="338" t="s">
        <v>12385</v>
      </c>
      <c r="C316" s="321"/>
      <c r="D316" s="325"/>
      <c r="E316" s="3058"/>
      <c r="F316" s="324"/>
      <c r="G316" s="2621"/>
      <c r="H316" s="332"/>
      <c r="I316" s="339"/>
      <c r="J316" s="322"/>
      <c r="K316" s="341"/>
      <c r="L316" s="339"/>
      <c r="M316" s="322"/>
      <c r="N316" s="339"/>
      <c r="O316" s="332"/>
      <c r="P316" s="345"/>
      <c r="Q316" s="322"/>
      <c r="R316" s="322"/>
      <c r="S316" s="346"/>
      <c r="T316" s="347"/>
      <c r="U316" s="326"/>
      <c r="V316" s="348"/>
      <c r="W316" s="347"/>
      <c r="X316" s="326"/>
      <c r="Y316" s="348"/>
      <c r="Z316" s="347"/>
      <c r="AA316" s="326"/>
      <c r="AB316" s="348"/>
      <c r="AC316" s="820"/>
      <c r="AD316" s="821"/>
      <c r="AE316" s="822"/>
      <c r="AF316" s="820"/>
      <c r="AG316" s="821"/>
      <c r="AH316" s="822"/>
      <c r="AI316" s="482">
        <v>0</v>
      </c>
      <c r="AJ316" s="326">
        <v>0</v>
      </c>
      <c r="AK316" s="3917">
        <v>0</v>
      </c>
      <c r="AL316" s="349">
        <f t="shared" si="51"/>
        <v>0</v>
      </c>
      <c r="AM316" s="2002"/>
      <c r="AN316" s="3357"/>
      <c r="AO316" s="695"/>
      <c r="AP316" s="3362" t="str">
        <f t="shared" si="55"/>
        <v>Planning Reg 2023-2024</v>
      </c>
      <c r="AQ316" s="3555">
        <f t="shared" si="55"/>
        <v>1.1576249999999999</v>
      </c>
      <c r="AR316" s="333"/>
      <c r="AS316" s="330"/>
      <c r="AT316" s="330"/>
      <c r="AU316" s="849"/>
      <c r="AV316" s="849"/>
      <c r="AW316" s="3156" t="e">
        <f t="shared" si="52"/>
        <v>#DIV/0!</v>
      </c>
      <c r="AX316" s="3140"/>
    </row>
    <row r="317" spans="1:50" ht="25.5">
      <c r="A317" s="2418" t="s">
        <v>4276</v>
      </c>
      <c r="B317" s="338" t="s">
        <v>12386</v>
      </c>
      <c r="C317" s="321"/>
      <c r="D317" s="325"/>
      <c r="E317" s="3058"/>
      <c r="F317" s="324"/>
      <c r="G317" s="2621"/>
      <c r="H317" s="332"/>
      <c r="I317" s="339"/>
      <c r="J317" s="322"/>
      <c r="K317" s="341"/>
      <c r="L317" s="339"/>
      <c r="M317" s="322"/>
      <c r="N317" s="339"/>
      <c r="O317" s="332"/>
      <c r="P317" s="345"/>
      <c r="Q317" s="322"/>
      <c r="R317" s="322"/>
      <c r="S317" s="346"/>
      <c r="T317" s="347"/>
      <c r="U317" s="326"/>
      <c r="V317" s="348"/>
      <c r="W317" s="347"/>
      <c r="X317" s="326"/>
      <c r="Y317" s="348"/>
      <c r="Z317" s="347"/>
      <c r="AA317" s="326"/>
      <c r="AB317" s="348"/>
      <c r="AC317" s="820"/>
      <c r="AD317" s="821"/>
      <c r="AE317" s="822"/>
      <c r="AF317" s="820"/>
      <c r="AG317" s="821"/>
      <c r="AH317" s="822"/>
      <c r="AI317" s="482">
        <v>0</v>
      </c>
      <c r="AJ317" s="326">
        <v>0</v>
      </c>
      <c r="AK317" s="3917">
        <v>0</v>
      </c>
      <c r="AL317" s="349">
        <f t="shared" ref="AL317:AL344" si="56">AI317-AJ317-AK317</f>
        <v>0</v>
      </c>
      <c r="AM317" s="2002"/>
      <c r="AN317" s="3357"/>
      <c r="AO317" s="695"/>
      <c r="AP317" s="3362" t="str">
        <f t="shared" si="55"/>
        <v>Planning Reg 2023-2024</v>
      </c>
      <c r="AQ317" s="3555">
        <f t="shared" si="55"/>
        <v>1.1576249999999999</v>
      </c>
      <c r="AR317" s="333"/>
      <c r="AS317" s="330"/>
      <c r="AT317" s="330"/>
      <c r="AU317" s="849"/>
      <c r="AV317" s="849"/>
      <c r="AW317" s="3156" t="e">
        <f t="shared" ref="AW317:AW344" si="57">ROUND(AL317*AQ317/G317,0)</f>
        <v>#DIV/0!</v>
      </c>
      <c r="AX317" s="3140"/>
    </row>
    <row r="318" spans="1:50" ht="25.5">
      <c r="A318" s="2418" t="s">
        <v>4276</v>
      </c>
      <c r="B318" s="338" t="s">
        <v>12387</v>
      </c>
      <c r="C318" s="321"/>
      <c r="D318" s="325"/>
      <c r="E318" s="3058"/>
      <c r="F318" s="324"/>
      <c r="G318" s="2621"/>
      <c r="H318" s="332"/>
      <c r="I318" s="339"/>
      <c r="J318" s="322"/>
      <c r="K318" s="341"/>
      <c r="L318" s="339"/>
      <c r="M318" s="322"/>
      <c r="N318" s="339"/>
      <c r="O318" s="332"/>
      <c r="P318" s="345"/>
      <c r="Q318" s="322"/>
      <c r="R318" s="322"/>
      <c r="S318" s="346"/>
      <c r="T318" s="347"/>
      <c r="U318" s="326"/>
      <c r="V318" s="348"/>
      <c r="W318" s="347"/>
      <c r="X318" s="326"/>
      <c r="Y318" s="348"/>
      <c r="Z318" s="347"/>
      <c r="AA318" s="326"/>
      <c r="AB318" s="348"/>
      <c r="AC318" s="820"/>
      <c r="AD318" s="821"/>
      <c r="AE318" s="822"/>
      <c r="AF318" s="820"/>
      <c r="AG318" s="821"/>
      <c r="AH318" s="822"/>
      <c r="AI318" s="482">
        <v>0</v>
      </c>
      <c r="AJ318" s="326">
        <v>0</v>
      </c>
      <c r="AK318" s="3917">
        <v>0</v>
      </c>
      <c r="AL318" s="349">
        <f t="shared" si="56"/>
        <v>0</v>
      </c>
      <c r="AM318" s="2002"/>
      <c r="AN318" s="3357"/>
      <c r="AO318" s="695"/>
      <c r="AP318" s="3362" t="str">
        <f t="shared" si="55"/>
        <v>Planning Reg 2023-2024</v>
      </c>
      <c r="AQ318" s="3555">
        <f t="shared" si="55"/>
        <v>1.1576249999999999</v>
      </c>
      <c r="AR318" s="333"/>
      <c r="AS318" s="330"/>
      <c r="AT318" s="330"/>
      <c r="AU318" s="849"/>
      <c r="AV318" s="849"/>
      <c r="AW318" s="3156" t="e">
        <f t="shared" si="57"/>
        <v>#DIV/0!</v>
      </c>
      <c r="AX318" s="3140"/>
    </row>
    <row r="319" spans="1:50" ht="25.5">
      <c r="A319" s="2418" t="s">
        <v>4276</v>
      </c>
      <c r="B319" s="338" t="s">
        <v>12388</v>
      </c>
      <c r="C319" s="321"/>
      <c r="D319" s="325"/>
      <c r="E319" s="3058"/>
      <c r="F319" s="324"/>
      <c r="G319" s="2621"/>
      <c r="H319" s="332"/>
      <c r="I319" s="339"/>
      <c r="J319" s="322"/>
      <c r="K319" s="341"/>
      <c r="L319" s="339"/>
      <c r="M319" s="322"/>
      <c r="N319" s="339"/>
      <c r="O319" s="332"/>
      <c r="P319" s="345"/>
      <c r="Q319" s="322"/>
      <c r="R319" s="322"/>
      <c r="S319" s="346"/>
      <c r="T319" s="347"/>
      <c r="U319" s="326"/>
      <c r="V319" s="348"/>
      <c r="W319" s="347"/>
      <c r="X319" s="326"/>
      <c r="Y319" s="348"/>
      <c r="Z319" s="347"/>
      <c r="AA319" s="326"/>
      <c r="AB319" s="348"/>
      <c r="AC319" s="820"/>
      <c r="AD319" s="821"/>
      <c r="AE319" s="822"/>
      <c r="AF319" s="820"/>
      <c r="AG319" s="821"/>
      <c r="AH319" s="822"/>
      <c r="AI319" s="482">
        <v>0</v>
      </c>
      <c r="AJ319" s="326">
        <v>0</v>
      </c>
      <c r="AK319" s="3917">
        <v>0</v>
      </c>
      <c r="AL319" s="349">
        <f t="shared" si="56"/>
        <v>0</v>
      </c>
      <c r="AM319" s="2002"/>
      <c r="AN319" s="3357"/>
      <c r="AO319" s="695"/>
      <c r="AP319" s="3362" t="str">
        <f t="shared" ref="AP319:AQ334" si="58">AP$2</f>
        <v>Planning Reg 2023-2024</v>
      </c>
      <c r="AQ319" s="3555">
        <f t="shared" si="58"/>
        <v>1.1576249999999999</v>
      </c>
      <c r="AR319" s="333"/>
      <c r="AS319" s="330"/>
      <c r="AT319" s="330"/>
      <c r="AU319" s="849"/>
      <c r="AV319" s="849"/>
      <c r="AW319" s="3156" t="e">
        <f t="shared" si="57"/>
        <v>#DIV/0!</v>
      </c>
      <c r="AX319" s="3140"/>
    </row>
    <row r="320" spans="1:50" ht="25.5">
      <c r="A320" s="2418" t="s">
        <v>4276</v>
      </c>
      <c r="B320" s="338" t="s">
        <v>12389</v>
      </c>
      <c r="C320" s="321"/>
      <c r="D320" s="325"/>
      <c r="E320" s="3058"/>
      <c r="F320" s="324"/>
      <c r="G320" s="2621"/>
      <c r="H320" s="332"/>
      <c r="I320" s="339"/>
      <c r="J320" s="322"/>
      <c r="K320" s="341"/>
      <c r="L320" s="339"/>
      <c r="M320" s="322"/>
      <c r="N320" s="339"/>
      <c r="O320" s="332"/>
      <c r="P320" s="345"/>
      <c r="Q320" s="322"/>
      <c r="R320" s="322"/>
      <c r="S320" s="346"/>
      <c r="T320" s="347"/>
      <c r="U320" s="326"/>
      <c r="V320" s="348"/>
      <c r="W320" s="347"/>
      <c r="X320" s="326"/>
      <c r="Y320" s="348"/>
      <c r="Z320" s="347"/>
      <c r="AA320" s="326"/>
      <c r="AB320" s="348"/>
      <c r="AC320" s="820"/>
      <c r="AD320" s="821"/>
      <c r="AE320" s="822"/>
      <c r="AF320" s="820"/>
      <c r="AG320" s="821"/>
      <c r="AH320" s="822"/>
      <c r="AI320" s="482">
        <v>0</v>
      </c>
      <c r="AJ320" s="326">
        <v>0</v>
      </c>
      <c r="AK320" s="3917">
        <v>0</v>
      </c>
      <c r="AL320" s="349">
        <f t="shared" si="56"/>
        <v>0</v>
      </c>
      <c r="AM320" s="2002"/>
      <c r="AN320" s="3357"/>
      <c r="AO320" s="695"/>
      <c r="AP320" s="3362" t="str">
        <f t="shared" si="58"/>
        <v>Planning Reg 2023-2024</v>
      </c>
      <c r="AQ320" s="3555">
        <f t="shared" si="58"/>
        <v>1.1576249999999999</v>
      </c>
      <c r="AR320" s="333"/>
      <c r="AS320" s="330"/>
      <c r="AT320" s="330"/>
      <c r="AU320" s="849"/>
      <c r="AV320" s="849"/>
      <c r="AW320" s="3156" t="e">
        <f t="shared" si="57"/>
        <v>#DIV/0!</v>
      </c>
      <c r="AX320" s="3140"/>
    </row>
    <row r="321" spans="1:50" ht="25.5">
      <c r="A321" s="2418" t="s">
        <v>4276</v>
      </c>
      <c r="B321" s="338" t="s">
        <v>12390</v>
      </c>
      <c r="C321" s="321"/>
      <c r="D321" s="325"/>
      <c r="E321" s="3058"/>
      <c r="F321" s="324"/>
      <c r="G321" s="2621"/>
      <c r="H321" s="332"/>
      <c r="I321" s="339"/>
      <c r="J321" s="322"/>
      <c r="K321" s="341"/>
      <c r="L321" s="339"/>
      <c r="M321" s="322"/>
      <c r="N321" s="339"/>
      <c r="O321" s="332"/>
      <c r="P321" s="345"/>
      <c r="Q321" s="322"/>
      <c r="R321" s="322"/>
      <c r="S321" s="346"/>
      <c r="T321" s="347"/>
      <c r="U321" s="326"/>
      <c r="V321" s="348"/>
      <c r="W321" s="347"/>
      <c r="X321" s="326"/>
      <c r="Y321" s="348"/>
      <c r="Z321" s="347"/>
      <c r="AA321" s="326"/>
      <c r="AB321" s="348"/>
      <c r="AC321" s="820"/>
      <c r="AD321" s="821"/>
      <c r="AE321" s="822"/>
      <c r="AF321" s="820"/>
      <c r="AG321" s="821"/>
      <c r="AH321" s="822"/>
      <c r="AI321" s="482">
        <v>0</v>
      </c>
      <c r="AJ321" s="326">
        <v>0</v>
      </c>
      <c r="AK321" s="3917">
        <v>0</v>
      </c>
      <c r="AL321" s="349">
        <f t="shared" si="56"/>
        <v>0</v>
      </c>
      <c r="AM321" s="2002"/>
      <c r="AN321" s="3357"/>
      <c r="AO321" s="695"/>
      <c r="AP321" s="3362" t="str">
        <f t="shared" si="58"/>
        <v>Planning Reg 2023-2024</v>
      </c>
      <c r="AQ321" s="3555">
        <f t="shared" si="58"/>
        <v>1.1576249999999999</v>
      </c>
      <c r="AR321" s="333"/>
      <c r="AS321" s="330"/>
      <c r="AT321" s="330"/>
      <c r="AU321" s="849"/>
      <c r="AV321" s="849"/>
      <c r="AW321" s="3156" t="e">
        <f t="shared" si="57"/>
        <v>#DIV/0!</v>
      </c>
      <c r="AX321" s="3140"/>
    </row>
    <row r="322" spans="1:50" ht="25.5">
      <c r="A322" s="2418" t="s">
        <v>4276</v>
      </c>
      <c r="B322" s="338" t="s">
        <v>12391</v>
      </c>
      <c r="C322" s="321"/>
      <c r="D322" s="325"/>
      <c r="E322" s="3058"/>
      <c r="F322" s="324"/>
      <c r="G322" s="2621"/>
      <c r="H322" s="332"/>
      <c r="I322" s="339"/>
      <c r="J322" s="322"/>
      <c r="K322" s="341"/>
      <c r="L322" s="339"/>
      <c r="M322" s="322"/>
      <c r="N322" s="339"/>
      <c r="O322" s="332"/>
      <c r="P322" s="345"/>
      <c r="Q322" s="322"/>
      <c r="R322" s="322"/>
      <c r="S322" s="346"/>
      <c r="T322" s="347"/>
      <c r="U322" s="326"/>
      <c r="V322" s="348"/>
      <c r="W322" s="347"/>
      <c r="X322" s="326"/>
      <c r="Y322" s="348"/>
      <c r="Z322" s="347"/>
      <c r="AA322" s="326"/>
      <c r="AB322" s="348"/>
      <c r="AC322" s="820"/>
      <c r="AD322" s="821"/>
      <c r="AE322" s="822"/>
      <c r="AF322" s="820"/>
      <c r="AG322" s="821"/>
      <c r="AH322" s="822"/>
      <c r="AI322" s="482">
        <v>0</v>
      </c>
      <c r="AJ322" s="326">
        <v>0</v>
      </c>
      <c r="AK322" s="3917">
        <v>0</v>
      </c>
      <c r="AL322" s="349">
        <f t="shared" si="56"/>
        <v>0</v>
      </c>
      <c r="AM322" s="2002"/>
      <c r="AN322" s="3357"/>
      <c r="AO322" s="695"/>
      <c r="AP322" s="3362" t="str">
        <f t="shared" si="58"/>
        <v>Planning Reg 2023-2024</v>
      </c>
      <c r="AQ322" s="3555">
        <f t="shared" si="58"/>
        <v>1.1576249999999999</v>
      </c>
      <c r="AR322" s="333"/>
      <c r="AS322" s="330"/>
      <c r="AT322" s="330"/>
      <c r="AU322" s="849"/>
      <c r="AV322" s="849"/>
      <c r="AW322" s="3156" t="e">
        <f t="shared" si="57"/>
        <v>#DIV/0!</v>
      </c>
      <c r="AX322" s="3140"/>
    </row>
    <row r="323" spans="1:50" ht="25.5">
      <c r="A323" s="2418" t="s">
        <v>4276</v>
      </c>
      <c r="B323" s="338" t="s">
        <v>12392</v>
      </c>
      <c r="C323" s="321"/>
      <c r="D323" s="325"/>
      <c r="E323" s="3058"/>
      <c r="F323" s="324"/>
      <c r="G323" s="2621"/>
      <c r="H323" s="332"/>
      <c r="I323" s="339"/>
      <c r="J323" s="322"/>
      <c r="K323" s="341"/>
      <c r="L323" s="339"/>
      <c r="M323" s="322"/>
      <c r="N323" s="339"/>
      <c r="O323" s="332"/>
      <c r="P323" s="345"/>
      <c r="Q323" s="322"/>
      <c r="R323" s="322"/>
      <c r="S323" s="346"/>
      <c r="T323" s="347"/>
      <c r="U323" s="326"/>
      <c r="V323" s="348"/>
      <c r="W323" s="347"/>
      <c r="X323" s="326"/>
      <c r="Y323" s="348"/>
      <c r="Z323" s="347"/>
      <c r="AA323" s="326"/>
      <c r="AB323" s="348"/>
      <c r="AC323" s="820"/>
      <c r="AD323" s="821"/>
      <c r="AE323" s="822"/>
      <c r="AF323" s="820"/>
      <c r="AG323" s="821"/>
      <c r="AH323" s="822"/>
      <c r="AI323" s="482">
        <v>0</v>
      </c>
      <c r="AJ323" s="326">
        <v>0</v>
      </c>
      <c r="AK323" s="3917">
        <v>0</v>
      </c>
      <c r="AL323" s="349">
        <f t="shared" si="56"/>
        <v>0</v>
      </c>
      <c r="AM323" s="2002"/>
      <c r="AN323" s="3357"/>
      <c r="AO323" s="695"/>
      <c r="AP323" s="3362" t="str">
        <f t="shared" si="58"/>
        <v>Planning Reg 2023-2024</v>
      </c>
      <c r="AQ323" s="3555">
        <f t="shared" si="58"/>
        <v>1.1576249999999999</v>
      </c>
      <c r="AR323" s="333"/>
      <c r="AS323" s="330"/>
      <c r="AT323" s="330"/>
      <c r="AU323" s="849"/>
      <c r="AV323" s="849"/>
      <c r="AW323" s="3156" t="e">
        <f t="shared" si="57"/>
        <v>#DIV/0!</v>
      </c>
      <c r="AX323" s="3140"/>
    </row>
    <row r="324" spans="1:50" ht="25.5">
      <c r="A324" s="2418" t="s">
        <v>4276</v>
      </c>
      <c r="B324" s="338" t="s">
        <v>12393</v>
      </c>
      <c r="C324" s="321"/>
      <c r="D324" s="325"/>
      <c r="E324" s="3058"/>
      <c r="F324" s="324"/>
      <c r="G324" s="2621"/>
      <c r="H324" s="332"/>
      <c r="I324" s="339"/>
      <c r="J324" s="322"/>
      <c r="K324" s="341"/>
      <c r="L324" s="339"/>
      <c r="M324" s="322"/>
      <c r="N324" s="339"/>
      <c r="O324" s="332"/>
      <c r="P324" s="345"/>
      <c r="Q324" s="322"/>
      <c r="R324" s="322"/>
      <c r="S324" s="346"/>
      <c r="T324" s="347"/>
      <c r="U324" s="326"/>
      <c r="V324" s="348"/>
      <c r="W324" s="347"/>
      <c r="X324" s="326"/>
      <c r="Y324" s="348"/>
      <c r="Z324" s="347"/>
      <c r="AA324" s="326"/>
      <c r="AB324" s="348"/>
      <c r="AC324" s="820"/>
      <c r="AD324" s="821"/>
      <c r="AE324" s="822"/>
      <c r="AF324" s="820"/>
      <c r="AG324" s="821"/>
      <c r="AH324" s="822"/>
      <c r="AI324" s="482">
        <v>0</v>
      </c>
      <c r="AJ324" s="326">
        <v>0</v>
      </c>
      <c r="AK324" s="3917">
        <v>0</v>
      </c>
      <c r="AL324" s="349">
        <f t="shared" si="56"/>
        <v>0</v>
      </c>
      <c r="AM324" s="2002"/>
      <c r="AN324" s="3357"/>
      <c r="AO324" s="695"/>
      <c r="AP324" s="3362" t="str">
        <f t="shared" si="58"/>
        <v>Planning Reg 2023-2024</v>
      </c>
      <c r="AQ324" s="3555">
        <f t="shared" si="58"/>
        <v>1.1576249999999999</v>
      </c>
      <c r="AR324" s="333"/>
      <c r="AS324" s="330"/>
      <c r="AT324" s="330"/>
      <c r="AU324" s="849"/>
      <c r="AV324" s="849"/>
      <c r="AW324" s="3156" t="e">
        <f t="shared" si="57"/>
        <v>#DIV/0!</v>
      </c>
      <c r="AX324" s="3140"/>
    </row>
    <row r="325" spans="1:50" ht="25.5">
      <c r="A325" s="2418" t="s">
        <v>4276</v>
      </c>
      <c r="B325" s="338" t="s">
        <v>12394</v>
      </c>
      <c r="C325" s="321"/>
      <c r="D325" s="325"/>
      <c r="E325" s="3058"/>
      <c r="F325" s="324"/>
      <c r="G325" s="2621"/>
      <c r="H325" s="332"/>
      <c r="I325" s="339"/>
      <c r="J325" s="322"/>
      <c r="K325" s="341"/>
      <c r="L325" s="339"/>
      <c r="M325" s="322"/>
      <c r="N325" s="339"/>
      <c r="O325" s="332"/>
      <c r="P325" s="345"/>
      <c r="Q325" s="322"/>
      <c r="R325" s="322"/>
      <c r="S325" s="346"/>
      <c r="T325" s="347"/>
      <c r="U325" s="326"/>
      <c r="V325" s="348"/>
      <c r="W325" s="347"/>
      <c r="X325" s="326"/>
      <c r="Y325" s="348"/>
      <c r="Z325" s="347"/>
      <c r="AA325" s="326"/>
      <c r="AB325" s="348"/>
      <c r="AC325" s="820"/>
      <c r="AD325" s="821"/>
      <c r="AE325" s="822"/>
      <c r="AF325" s="820"/>
      <c r="AG325" s="821"/>
      <c r="AH325" s="822"/>
      <c r="AI325" s="482">
        <v>0</v>
      </c>
      <c r="AJ325" s="326">
        <v>0</v>
      </c>
      <c r="AK325" s="3917">
        <v>0</v>
      </c>
      <c r="AL325" s="349">
        <f t="shared" si="56"/>
        <v>0</v>
      </c>
      <c r="AM325" s="2002"/>
      <c r="AN325" s="3357"/>
      <c r="AO325" s="695"/>
      <c r="AP325" s="3362" t="str">
        <f t="shared" si="58"/>
        <v>Planning Reg 2023-2024</v>
      </c>
      <c r="AQ325" s="3555">
        <f t="shared" si="58"/>
        <v>1.1576249999999999</v>
      </c>
      <c r="AR325" s="333"/>
      <c r="AS325" s="330"/>
      <c r="AT325" s="330"/>
      <c r="AU325" s="849"/>
      <c r="AV325" s="849"/>
      <c r="AW325" s="3156" t="e">
        <f t="shared" si="57"/>
        <v>#DIV/0!</v>
      </c>
      <c r="AX325" s="3140"/>
    </row>
    <row r="326" spans="1:50" ht="25.5">
      <c r="A326" s="2418" t="s">
        <v>4276</v>
      </c>
      <c r="B326" s="338" t="s">
        <v>12395</v>
      </c>
      <c r="C326" s="321"/>
      <c r="D326" s="325"/>
      <c r="E326" s="3058"/>
      <c r="F326" s="324"/>
      <c r="G326" s="2621"/>
      <c r="H326" s="332"/>
      <c r="I326" s="339"/>
      <c r="J326" s="322"/>
      <c r="K326" s="341"/>
      <c r="L326" s="339"/>
      <c r="M326" s="322"/>
      <c r="N326" s="339"/>
      <c r="O326" s="332"/>
      <c r="P326" s="345"/>
      <c r="Q326" s="322"/>
      <c r="R326" s="322"/>
      <c r="S326" s="346"/>
      <c r="T326" s="347"/>
      <c r="U326" s="326"/>
      <c r="V326" s="348"/>
      <c r="W326" s="347"/>
      <c r="X326" s="326"/>
      <c r="Y326" s="348"/>
      <c r="Z326" s="347"/>
      <c r="AA326" s="326"/>
      <c r="AB326" s="348"/>
      <c r="AC326" s="820"/>
      <c r="AD326" s="821"/>
      <c r="AE326" s="822"/>
      <c r="AF326" s="820"/>
      <c r="AG326" s="821"/>
      <c r="AH326" s="822"/>
      <c r="AI326" s="482">
        <v>0</v>
      </c>
      <c r="AJ326" s="326">
        <v>0</v>
      </c>
      <c r="AK326" s="3917">
        <v>0</v>
      </c>
      <c r="AL326" s="349">
        <f t="shared" si="56"/>
        <v>0</v>
      </c>
      <c r="AM326" s="2002"/>
      <c r="AN326" s="3357"/>
      <c r="AO326" s="695"/>
      <c r="AP326" s="3362" t="str">
        <f t="shared" si="58"/>
        <v>Planning Reg 2023-2024</v>
      </c>
      <c r="AQ326" s="3555">
        <f t="shared" si="58"/>
        <v>1.1576249999999999</v>
      </c>
      <c r="AR326" s="333"/>
      <c r="AS326" s="330"/>
      <c r="AT326" s="330"/>
      <c r="AU326" s="849"/>
      <c r="AV326" s="849"/>
      <c r="AW326" s="3156" t="e">
        <f t="shared" si="57"/>
        <v>#DIV/0!</v>
      </c>
      <c r="AX326" s="3140"/>
    </row>
    <row r="327" spans="1:50" ht="25.5">
      <c r="A327" s="2418" t="s">
        <v>4276</v>
      </c>
      <c r="B327" s="338" t="s">
        <v>12396</v>
      </c>
      <c r="C327" s="321"/>
      <c r="D327" s="325"/>
      <c r="E327" s="3058"/>
      <c r="F327" s="324"/>
      <c r="G327" s="2621"/>
      <c r="H327" s="332"/>
      <c r="I327" s="339"/>
      <c r="J327" s="322"/>
      <c r="K327" s="341"/>
      <c r="L327" s="339"/>
      <c r="M327" s="322"/>
      <c r="N327" s="339"/>
      <c r="O327" s="332"/>
      <c r="P327" s="345"/>
      <c r="Q327" s="322"/>
      <c r="R327" s="322"/>
      <c r="S327" s="346"/>
      <c r="T327" s="347"/>
      <c r="U327" s="326"/>
      <c r="V327" s="348"/>
      <c r="W327" s="347"/>
      <c r="X327" s="326"/>
      <c r="Y327" s="348"/>
      <c r="Z327" s="347"/>
      <c r="AA327" s="326"/>
      <c r="AB327" s="348"/>
      <c r="AC327" s="820"/>
      <c r="AD327" s="821"/>
      <c r="AE327" s="822"/>
      <c r="AF327" s="820"/>
      <c r="AG327" s="821"/>
      <c r="AH327" s="822"/>
      <c r="AI327" s="482">
        <v>0</v>
      </c>
      <c r="AJ327" s="326">
        <v>0</v>
      </c>
      <c r="AK327" s="3917">
        <v>0</v>
      </c>
      <c r="AL327" s="349">
        <f t="shared" si="56"/>
        <v>0</v>
      </c>
      <c r="AM327" s="2002"/>
      <c r="AN327" s="3357"/>
      <c r="AO327" s="695"/>
      <c r="AP327" s="3362" t="str">
        <f t="shared" si="58"/>
        <v>Planning Reg 2023-2024</v>
      </c>
      <c r="AQ327" s="3555">
        <f t="shared" si="58"/>
        <v>1.1576249999999999</v>
      </c>
      <c r="AR327" s="333"/>
      <c r="AS327" s="330"/>
      <c r="AT327" s="330"/>
      <c r="AU327" s="849"/>
      <c r="AV327" s="849"/>
      <c r="AW327" s="3156" t="e">
        <f t="shared" si="57"/>
        <v>#DIV/0!</v>
      </c>
      <c r="AX327" s="3140"/>
    </row>
    <row r="328" spans="1:50" ht="25.5">
      <c r="A328" s="2418" t="s">
        <v>4276</v>
      </c>
      <c r="B328" s="338" t="s">
        <v>12397</v>
      </c>
      <c r="C328" s="321"/>
      <c r="D328" s="325"/>
      <c r="E328" s="3058"/>
      <c r="F328" s="324"/>
      <c r="G328" s="2621"/>
      <c r="H328" s="332"/>
      <c r="I328" s="339"/>
      <c r="J328" s="322"/>
      <c r="K328" s="341"/>
      <c r="L328" s="339"/>
      <c r="M328" s="322"/>
      <c r="N328" s="339"/>
      <c r="O328" s="332"/>
      <c r="P328" s="345"/>
      <c r="Q328" s="322"/>
      <c r="R328" s="322"/>
      <c r="S328" s="346"/>
      <c r="T328" s="347"/>
      <c r="U328" s="326"/>
      <c r="V328" s="348"/>
      <c r="W328" s="347"/>
      <c r="X328" s="326"/>
      <c r="Y328" s="348"/>
      <c r="Z328" s="347"/>
      <c r="AA328" s="326"/>
      <c r="AB328" s="348"/>
      <c r="AC328" s="820"/>
      <c r="AD328" s="821"/>
      <c r="AE328" s="822"/>
      <c r="AF328" s="820"/>
      <c r="AG328" s="821"/>
      <c r="AH328" s="822"/>
      <c r="AI328" s="482">
        <v>0</v>
      </c>
      <c r="AJ328" s="326">
        <v>0</v>
      </c>
      <c r="AK328" s="3917">
        <v>0</v>
      </c>
      <c r="AL328" s="349">
        <f t="shared" si="56"/>
        <v>0</v>
      </c>
      <c r="AM328" s="2002"/>
      <c r="AN328" s="3357"/>
      <c r="AO328" s="695"/>
      <c r="AP328" s="3362" t="str">
        <f t="shared" si="58"/>
        <v>Planning Reg 2023-2024</v>
      </c>
      <c r="AQ328" s="3555">
        <f t="shared" si="58"/>
        <v>1.1576249999999999</v>
      </c>
      <c r="AR328" s="333"/>
      <c r="AS328" s="330"/>
      <c r="AT328" s="330"/>
      <c r="AU328" s="849"/>
      <c r="AV328" s="849"/>
      <c r="AW328" s="3156" t="e">
        <f t="shared" si="57"/>
        <v>#DIV/0!</v>
      </c>
      <c r="AX328" s="3140"/>
    </row>
    <row r="329" spans="1:50" ht="25.5">
      <c r="A329" s="2418" t="s">
        <v>4276</v>
      </c>
      <c r="B329" s="338" t="s">
        <v>12398</v>
      </c>
      <c r="C329" s="321"/>
      <c r="D329" s="325"/>
      <c r="E329" s="3058"/>
      <c r="F329" s="324"/>
      <c r="G329" s="2621"/>
      <c r="H329" s="332"/>
      <c r="I329" s="339"/>
      <c r="J329" s="322"/>
      <c r="K329" s="341"/>
      <c r="L329" s="339"/>
      <c r="M329" s="322"/>
      <c r="N329" s="339"/>
      <c r="O329" s="332"/>
      <c r="P329" s="345"/>
      <c r="Q329" s="322"/>
      <c r="R329" s="322"/>
      <c r="S329" s="346"/>
      <c r="T329" s="347"/>
      <c r="U329" s="326"/>
      <c r="V329" s="348"/>
      <c r="W329" s="347"/>
      <c r="X329" s="326"/>
      <c r="Y329" s="348"/>
      <c r="Z329" s="347"/>
      <c r="AA329" s="326"/>
      <c r="AB329" s="348"/>
      <c r="AC329" s="820"/>
      <c r="AD329" s="821"/>
      <c r="AE329" s="822"/>
      <c r="AF329" s="820"/>
      <c r="AG329" s="821"/>
      <c r="AH329" s="822"/>
      <c r="AI329" s="482">
        <v>0</v>
      </c>
      <c r="AJ329" s="326">
        <v>0</v>
      </c>
      <c r="AK329" s="3917">
        <v>0</v>
      </c>
      <c r="AL329" s="349">
        <f t="shared" si="56"/>
        <v>0</v>
      </c>
      <c r="AM329" s="2002"/>
      <c r="AN329" s="3357"/>
      <c r="AO329" s="695"/>
      <c r="AP329" s="3362" t="str">
        <f t="shared" si="58"/>
        <v>Planning Reg 2023-2024</v>
      </c>
      <c r="AQ329" s="3555">
        <f t="shared" si="58"/>
        <v>1.1576249999999999</v>
      </c>
      <c r="AR329" s="333"/>
      <c r="AS329" s="330"/>
      <c r="AT329" s="330"/>
      <c r="AU329" s="849"/>
      <c r="AV329" s="849"/>
      <c r="AW329" s="3156" t="e">
        <f t="shared" si="57"/>
        <v>#DIV/0!</v>
      </c>
      <c r="AX329" s="3140"/>
    </row>
    <row r="330" spans="1:50" ht="25.5">
      <c r="A330" s="2418" t="s">
        <v>4276</v>
      </c>
      <c r="B330" s="338" t="s">
        <v>12399</v>
      </c>
      <c r="C330" s="321"/>
      <c r="D330" s="325"/>
      <c r="E330" s="3058"/>
      <c r="F330" s="324"/>
      <c r="G330" s="2621"/>
      <c r="H330" s="332"/>
      <c r="I330" s="339"/>
      <c r="J330" s="322"/>
      <c r="K330" s="341"/>
      <c r="L330" s="339"/>
      <c r="M330" s="322"/>
      <c r="N330" s="339"/>
      <c r="O330" s="332"/>
      <c r="P330" s="345"/>
      <c r="Q330" s="322"/>
      <c r="R330" s="322"/>
      <c r="S330" s="346"/>
      <c r="T330" s="347"/>
      <c r="U330" s="326"/>
      <c r="V330" s="348"/>
      <c r="W330" s="347"/>
      <c r="X330" s="326"/>
      <c r="Y330" s="348"/>
      <c r="Z330" s="347"/>
      <c r="AA330" s="326"/>
      <c r="AB330" s="348"/>
      <c r="AC330" s="820"/>
      <c r="AD330" s="821"/>
      <c r="AE330" s="822"/>
      <c r="AF330" s="820"/>
      <c r="AG330" s="821"/>
      <c r="AH330" s="822"/>
      <c r="AI330" s="482">
        <v>0</v>
      </c>
      <c r="AJ330" s="326">
        <v>0</v>
      </c>
      <c r="AK330" s="3917">
        <v>0</v>
      </c>
      <c r="AL330" s="349">
        <f t="shared" si="56"/>
        <v>0</v>
      </c>
      <c r="AM330" s="2002"/>
      <c r="AN330" s="3357"/>
      <c r="AO330" s="695"/>
      <c r="AP330" s="3362" t="str">
        <f t="shared" si="58"/>
        <v>Planning Reg 2023-2024</v>
      </c>
      <c r="AQ330" s="3555">
        <f t="shared" si="58"/>
        <v>1.1576249999999999</v>
      </c>
      <c r="AR330" s="333"/>
      <c r="AS330" s="330"/>
      <c r="AT330" s="330"/>
      <c r="AU330" s="849"/>
      <c r="AV330" s="849"/>
      <c r="AW330" s="3156" t="e">
        <f t="shared" si="57"/>
        <v>#DIV/0!</v>
      </c>
      <c r="AX330" s="3140"/>
    </row>
    <row r="331" spans="1:50" ht="25.5">
      <c r="A331" s="2418" t="s">
        <v>4276</v>
      </c>
      <c r="B331" s="338" t="s">
        <v>12400</v>
      </c>
      <c r="C331" s="321"/>
      <c r="D331" s="325"/>
      <c r="E331" s="3058"/>
      <c r="F331" s="324"/>
      <c r="G331" s="2621"/>
      <c r="H331" s="332"/>
      <c r="I331" s="339"/>
      <c r="J331" s="322"/>
      <c r="K331" s="341"/>
      <c r="L331" s="339"/>
      <c r="M331" s="322"/>
      <c r="N331" s="339"/>
      <c r="O331" s="332"/>
      <c r="P331" s="345"/>
      <c r="Q331" s="322"/>
      <c r="R331" s="322"/>
      <c r="S331" s="346"/>
      <c r="T331" s="347"/>
      <c r="U331" s="326"/>
      <c r="V331" s="348"/>
      <c r="W331" s="347"/>
      <c r="X331" s="326"/>
      <c r="Y331" s="348"/>
      <c r="Z331" s="347"/>
      <c r="AA331" s="326"/>
      <c r="AB331" s="348"/>
      <c r="AC331" s="820"/>
      <c r="AD331" s="821"/>
      <c r="AE331" s="822"/>
      <c r="AF331" s="820"/>
      <c r="AG331" s="821"/>
      <c r="AH331" s="822"/>
      <c r="AI331" s="482">
        <v>0</v>
      </c>
      <c r="AJ331" s="326">
        <v>0</v>
      </c>
      <c r="AK331" s="3917">
        <v>0</v>
      </c>
      <c r="AL331" s="349">
        <f t="shared" si="56"/>
        <v>0</v>
      </c>
      <c r="AM331" s="2002"/>
      <c r="AN331" s="3357"/>
      <c r="AO331" s="695"/>
      <c r="AP331" s="3362" t="str">
        <f t="shared" si="58"/>
        <v>Planning Reg 2023-2024</v>
      </c>
      <c r="AQ331" s="3555">
        <f t="shared" si="58"/>
        <v>1.1576249999999999</v>
      </c>
      <c r="AR331" s="333"/>
      <c r="AS331" s="330"/>
      <c r="AT331" s="330"/>
      <c r="AU331" s="849"/>
      <c r="AV331" s="849"/>
      <c r="AW331" s="3156" t="e">
        <f t="shared" si="57"/>
        <v>#DIV/0!</v>
      </c>
      <c r="AX331" s="3140"/>
    </row>
    <row r="332" spans="1:50" ht="25.5">
      <c r="A332" s="2418" t="s">
        <v>4276</v>
      </c>
      <c r="B332" s="338" t="s">
        <v>12401</v>
      </c>
      <c r="C332" s="321"/>
      <c r="D332" s="325"/>
      <c r="E332" s="3058"/>
      <c r="F332" s="324"/>
      <c r="G332" s="2621"/>
      <c r="H332" s="332"/>
      <c r="I332" s="339"/>
      <c r="J332" s="322"/>
      <c r="K332" s="341"/>
      <c r="L332" s="339"/>
      <c r="M332" s="322"/>
      <c r="N332" s="339"/>
      <c r="O332" s="332"/>
      <c r="P332" s="345"/>
      <c r="Q332" s="322"/>
      <c r="R332" s="322"/>
      <c r="S332" s="346"/>
      <c r="T332" s="347"/>
      <c r="U332" s="326"/>
      <c r="V332" s="348"/>
      <c r="W332" s="347"/>
      <c r="X332" s="326"/>
      <c r="Y332" s="348"/>
      <c r="Z332" s="347"/>
      <c r="AA332" s="326"/>
      <c r="AB332" s="348"/>
      <c r="AC332" s="820"/>
      <c r="AD332" s="821"/>
      <c r="AE332" s="822"/>
      <c r="AF332" s="820"/>
      <c r="AG332" s="821"/>
      <c r="AH332" s="822"/>
      <c r="AI332" s="482">
        <v>0</v>
      </c>
      <c r="AJ332" s="326">
        <v>0</v>
      </c>
      <c r="AK332" s="3917">
        <v>0</v>
      </c>
      <c r="AL332" s="349">
        <f t="shared" si="56"/>
        <v>0</v>
      </c>
      <c r="AM332" s="2002"/>
      <c r="AN332" s="3357"/>
      <c r="AO332" s="695"/>
      <c r="AP332" s="3362" t="str">
        <f t="shared" si="58"/>
        <v>Planning Reg 2023-2024</v>
      </c>
      <c r="AQ332" s="3555">
        <f t="shared" si="58"/>
        <v>1.1576249999999999</v>
      </c>
      <c r="AR332" s="333"/>
      <c r="AS332" s="330"/>
      <c r="AT332" s="330"/>
      <c r="AU332" s="849"/>
      <c r="AV332" s="849"/>
      <c r="AW332" s="3156" t="e">
        <f t="shared" si="57"/>
        <v>#DIV/0!</v>
      </c>
      <c r="AX332" s="3140"/>
    </row>
    <row r="333" spans="1:50" ht="25.5">
      <c r="A333" s="2418" t="s">
        <v>4276</v>
      </c>
      <c r="B333" s="338" t="s">
        <v>12402</v>
      </c>
      <c r="C333" s="321"/>
      <c r="D333" s="325"/>
      <c r="E333" s="3058"/>
      <c r="F333" s="324"/>
      <c r="G333" s="2621"/>
      <c r="H333" s="332"/>
      <c r="I333" s="339"/>
      <c r="J333" s="322"/>
      <c r="K333" s="341"/>
      <c r="L333" s="339"/>
      <c r="M333" s="322"/>
      <c r="N333" s="339"/>
      <c r="O333" s="332"/>
      <c r="P333" s="345"/>
      <c r="Q333" s="322"/>
      <c r="R333" s="322"/>
      <c r="S333" s="346"/>
      <c r="T333" s="347"/>
      <c r="U333" s="326"/>
      <c r="V333" s="348"/>
      <c r="W333" s="347"/>
      <c r="X333" s="326"/>
      <c r="Y333" s="348"/>
      <c r="Z333" s="347"/>
      <c r="AA333" s="326"/>
      <c r="AB333" s="348"/>
      <c r="AC333" s="820"/>
      <c r="AD333" s="821"/>
      <c r="AE333" s="822"/>
      <c r="AF333" s="820"/>
      <c r="AG333" s="821"/>
      <c r="AH333" s="822"/>
      <c r="AI333" s="482">
        <v>0</v>
      </c>
      <c r="AJ333" s="326">
        <v>0</v>
      </c>
      <c r="AK333" s="3917">
        <v>0</v>
      </c>
      <c r="AL333" s="349">
        <f t="shared" si="56"/>
        <v>0</v>
      </c>
      <c r="AM333" s="2002"/>
      <c r="AN333" s="3357"/>
      <c r="AO333" s="695"/>
      <c r="AP333" s="3362" t="str">
        <f t="shared" si="58"/>
        <v>Planning Reg 2023-2024</v>
      </c>
      <c r="AQ333" s="3555">
        <f t="shared" si="58"/>
        <v>1.1576249999999999</v>
      </c>
      <c r="AR333" s="333"/>
      <c r="AS333" s="330"/>
      <c r="AT333" s="330"/>
      <c r="AU333" s="849"/>
      <c r="AV333" s="849"/>
      <c r="AW333" s="3156" t="e">
        <f t="shared" si="57"/>
        <v>#DIV/0!</v>
      </c>
      <c r="AX333" s="3140"/>
    </row>
    <row r="334" spans="1:50" ht="25.5">
      <c r="A334" s="2418" t="s">
        <v>4276</v>
      </c>
      <c r="B334" s="338" t="s">
        <v>12403</v>
      </c>
      <c r="C334" s="321"/>
      <c r="D334" s="325"/>
      <c r="E334" s="3058"/>
      <c r="F334" s="324"/>
      <c r="G334" s="2621"/>
      <c r="H334" s="332"/>
      <c r="I334" s="339"/>
      <c r="J334" s="322"/>
      <c r="K334" s="341"/>
      <c r="L334" s="339"/>
      <c r="M334" s="322"/>
      <c r="N334" s="339"/>
      <c r="O334" s="332"/>
      <c r="P334" s="345"/>
      <c r="Q334" s="322"/>
      <c r="R334" s="322"/>
      <c r="S334" s="346"/>
      <c r="T334" s="347"/>
      <c r="U334" s="326"/>
      <c r="V334" s="348"/>
      <c r="W334" s="347"/>
      <c r="X334" s="326"/>
      <c r="Y334" s="348"/>
      <c r="Z334" s="347"/>
      <c r="AA334" s="326"/>
      <c r="AB334" s="348"/>
      <c r="AC334" s="820"/>
      <c r="AD334" s="821"/>
      <c r="AE334" s="822"/>
      <c r="AF334" s="820"/>
      <c r="AG334" s="821"/>
      <c r="AH334" s="822"/>
      <c r="AI334" s="482">
        <v>0</v>
      </c>
      <c r="AJ334" s="326">
        <v>0</v>
      </c>
      <c r="AK334" s="3917">
        <v>0</v>
      </c>
      <c r="AL334" s="349">
        <f t="shared" si="56"/>
        <v>0</v>
      </c>
      <c r="AM334" s="2002"/>
      <c r="AN334" s="3357"/>
      <c r="AO334" s="695"/>
      <c r="AP334" s="3362" t="str">
        <f t="shared" si="58"/>
        <v>Planning Reg 2023-2024</v>
      </c>
      <c r="AQ334" s="3555">
        <f t="shared" si="58"/>
        <v>1.1576249999999999</v>
      </c>
      <c r="AR334" s="333"/>
      <c r="AS334" s="330"/>
      <c r="AT334" s="330"/>
      <c r="AU334" s="849"/>
      <c r="AV334" s="849"/>
      <c r="AW334" s="3156" t="e">
        <f t="shared" si="57"/>
        <v>#DIV/0!</v>
      </c>
      <c r="AX334" s="3140"/>
    </row>
    <row r="335" spans="1:50" ht="25.5">
      <c r="A335" s="2418" t="s">
        <v>4276</v>
      </c>
      <c r="B335" s="338" t="s">
        <v>12404</v>
      </c>
      <c r="C335" s="321"/>
      <c r="D335" s="325"/>
      <c r="E335" s="3058"/>
      <c r="F335" s="324"/>
      <c r="G335" s="2621"/>
      <c r="H335" s="332"/>
      <c r="I335" s="339"/>
      <c r="J335" s="322"/>
      <c r="K335" s="341"/>
      <c r="L335" s="339"/>
      <c r="M335" s="322"/>
      <c r="N335" s="339"/>
      <c r="O335" s="332"/>
      <c r="P335" s="345"/>
      <c r="Q335" s="322"/>
      <c r="R335" s="322"/>
      <c r="S335" s="346"/>
      <c r="T335" s="347"/>
      <c r="U335" s="326"/>
      <c r="V335" s="348"/>
      <c r="W335" s="347"/>
      <c r="X335" s="326"/>
      <c r="Y335" s="348"/>
      <c r="Z335" s="347"/>
      <c r="AA335" s="326"/>
      <c r="AB335" s="348"/>
      <c r="AC335" s="820"/>
      <c r="AD335" s="821"/>
      <c r="AE335" s="822"/>
      <c r="AF335" s="820"/>
      <c r="AG335" s="821"/>
      <c r="AH335" s="822"/>
      <c r="AI335" s="482">
        <v>0</v>
      </c>
      <c r="AJ335" s="326">
        <v>0</v>
      </c>
      <c r="AK335" s="3917">
        <v>0</v>
      </c>
      <c r="AL335" s="349">
        <f t="shared" si="56"/>
        <v>0</v>
      </c>
      <c r="AM335" s="2002"/>
      <c r="AN335" s="3357"/>
      <c r="AO335" s="695"/>
      <c r="AP335" s="3362" t="str">
        <f t="shared" ref="AP335:AQ344" si="59">AP$2</f>
        <v>Planning Reg 2023-2024</v>
      </c>
      <c r="AQ335" s="3555">
        <f t="shared" si="59"/>
        <v>1.1576249999999999</v>
      </c>
      <c r="AR335" s="333"/>
      <c r="AS335" s="330"/>
      <c r="AT335" s="330"/>
      <c r="AU335" s="849"/>
      <c r="AV335" s="849"/>
      <c r="AW335" s="3156" t="e">
        <f t="shared" si="57"/>
        <v>#DIV/0!</v>
      </c>
      <c r="AX335" s="3140"/>
    </row>
    <row r="336" spans="1:50" ht="25.5">
      <c r="A336" s="2418" t="s">
        <v>4276</v>
      </c>
      <c r="B336" s="338" t="s">
        <v>12405</v>
      </c>
      <c r="C336" s="321"/>
      <c r="D336" s="325"/>
      <c r="E336" s="3058"/>
      <c r="F336" s="324"/>
      <c r="G336" s="2621"/>
      <c r="H336" s="332"/>
      <c r="I336" s="339"/>
      <c r="J336" s="322"/>
      <c r="K336" s="341"/>
      <c r="L336" s="339"/>
      <c r="M336" s="322"/>
      <c r="N336" s="339"/>
      <c r="O336" s="332"/>
      <c r="P336" s="345"/>
      <c r="Q336" s="322"/>
      <c r="R336" s="322"/>
      <c r="S336" s="346"/>
      <c r="T336" s="347"/>
      <c r="U336" s="326"/>
      <c r="V336" s="348"/>
      <c r="W336" s="347"/>
      <c r="X336" s="326"/>
      <c r="Y336" s="348"/>
      <c r="Z336" s="347"/>
      <c r="AA336" s="326"/>
      <c r="AB336" s="348"/>
      <c r="AC336" s="820"/>
      <c r="AD336" s="821"/>
      <c r="AE336" s="822"/>
      <c r="AF336" s="820"/>
      <c r="AG336" s="821"/>
      <c r="AH336" s="822"/>
      <c r="AI336" s="482">
        <v>0</v>
      </c>
      <c r="AJ336" s="326">
        <v>0</v>
      </c>
      <c r="AK336" s="3917">
        <v>0</v>
      </c>
      <c r="AL336" s="349">
        <f t="shared" si="56"/>
        <v>0</v>
      </c>
      <c r="AM336" s="2002"/>
      <c r="AN336" s="3357"/>
      <c r="AO336" s="695"/>
      <c r="AP336" s="3362" t="str">
        <f t="shared" si="59"/>
        <v>Planning Reg 2023-2024</v>
      </c>
      <c r="AQ336" s="3555">
        <f t="shared" si="59"/>
        <v>1.1576249999999999</v>
      </c>
      <c r="AR336" s="333"/>
      <c r="AS336" s="330"/>
      <c r="AT336" s="330"/>
      <c r="AU336" s="849"/>
      <c r="AV336" s="849"/>
      <c r="AW336" s="3156" t="e">
        <f t="shared" si="57"/>
        <v>#DIV/0!</v>
      </c>
      <c r="AX336" s="3140"/>
    </row>
    <row r="337" spans="1:50" ht="25.5">
      <c r="A337" s="2418" t="s">
        <v>4276</v>
      </c>
      <c r="B337" s="338" t="s">
        <v>12406</v>
      </c>
      <c r="C337" s="321"/>
      <c r="D337" s="325"/>
      <c r="E337" s="3058"/>
      <c r="F337" s="324"/>
      <c r="G337" s="2621"/>
      <c r="H337" s="332"/>
      <c r="I337" s="339"/>
      <c r="J337" s="322"/>
      <c r="K337" s="341"/>
      <c r="L337" s="339"/>
      <c r="M337" s="322"/>
      <c r="N337" s="339"/>
      <c r="O337" s="332"/>
      <c r="P337" s="345"/>
      <c r="Q337" s="322"/>
      <c r="R337" s="322"/>
      <c r="S337" s="346"/>
      <c r="T337" s="347"/>
      <c r="U337" s="326"/>
      <c r="V337" s="348"/>
      <c r="W337" s="347"/>
      <c r="X337" s="326"/>
      <c r="Y337" s="348"/>
      <c r="Z337" s="347"/>
      <c r="AA337" s="326"/>
      <c r="AB337" s="348"/>
      <c r="AC337" s="820"/>
      <c r="AD337" s="821"/>
      <c r="AE337" s="822"/>
      <c r="AF337" s="820"/>
      <c r="AG337" s="821"/>
      <c r="AH337" s="822"/>
      <c r="AI337" s="482">
        <v>0</v>
      </c>
      <c r="AJ337" s="326">
        <v>0</v>
      </c>
      <c r="AK337" s="3917">
        <v>0</v>
      </c>
      <c r="AL337" s="349">
        <f t="shared" si="56"/>
        <v>0</v>
      </c>
      <c r="AM337" s="2002"/>
      <c r="AN337" s="3357"/>
      <c r="AO337" s="695"/>
      <c r="AP337" s="3362" t="str">
        <f t="shared" si="59"/>
        <v>Planning Reg 2023-2024</v>
      </c>
      <c r="AQ337" s="3555">
        <f t="shared" si="59"/>
        <v>1.1576249999999999</v>
      </c>
      <c r="AR337" s="333"/>
      <c r="AS337" s="330"/>
      <c r="AT337" s="330"/>
      <c r="AU337" s="849"/>
      <c r="AV337" s="849"/>
      <c r="AW337" s="3156" t="e">
        <f t="shared" si="57"/>
        <v>#DIV/0!</v>
      </c>
      <c r="AX337" s="3140"/>
    </row>
    <row r="338" spans="1:50" ht="25.5">
      <c r="A338" s="2418" t="s">
        <v>4276</v>
      </c>
      <c r="B338" s="338" t="s">
        <v>12407</v>
      </c>
      <c r="C338" s="321"/>
      <c r="D338" s="325"/>
      <c r="E338" s="3058"/>
      <c r="F338" s="324"/>
      <c r="G338" s="2621"/>
      <c r="H338" s="332"/>
      <c r="I338" s="339"/>
      <c r="J338" s="322"/>
      <c r="K338" s="341"/>
      <c r="L338" s="339"/>
      <c r="M338" s="322"/>
      <c r="N338" s="339"/>
      <c r="O338" s="332"/>
      <c r="P338" s="345"/>
      <c r="Q338" s="322"/>
      <c r="R338" s="322"/>
      <c r="S338" s="346"/>
      <c r="T338" s="347"/>
      <c r="U338" s="326"/>
      <c r="V338" s="348"/>
      <c r="W338" s="347"/>
      <c r="X338" s="326"/>
      <c r="Y338" s="348"/>
      <c r="Z338" s="347"/>
      <c r="AA338" s="326"/>
      <c r="AB338" s="348"/>
      <c r="AC338" s="820"/>
      <c r="AD338" s="821"/>
      <c r="AE338" s="822"/>
      <c r="AF338" s="820"/>
      <c r="AG338" s="821"/>
      <c r="AH338" s="822"/>
      <c r="AI338" s="482">
        <v>0</v>
      </c>
      <c r="AJ338" s="326">
        <v>0</v>
      </c>
      <c r="AK338" s="3917">
        <v>0</v>
      </c>
      <c r="AL338" s="349">
        <f t="shared" si="56"/>
        <v>0</v>
      </c>
      <c r="AM338" s="2002"/>
      <c r="AN338" s="3357"/>
      <c r="AO338" s="695"/>
      <c r="AP338" s="3362" t="str">
        <f t="shared" si="59"/>
        <v>Planning Reg 2023-2024</v>
      </c>
      <c r="AQ338" s="3555">
        <f t="shared" si="59"/>
        <v>1.1576249999999999</v>
      </c>
      <c r="AR338" s="333"/>
      <c r="AS338" s="330"/>
      <c r="AT338" s="330"/>
      <c r="AU338" s="849"/>
      <c r="AV338" s="849"/>
      <c r="AW338" s="3156" t="e">
        <f t="shared" si="57"/>
        <v>#DIV/0!</v>
      </c>
      <c r="AX338" s="3140"/>
    </row>
    <row r="339" spans="1:50" ht="25.5">
      <c r="A339" s="2418" t="s">
        <v>4276</v>
      </c>
      <c r="B339" s="338" t="s">
        <v>12408</v>
      </c>
      <c r="C339" s="321"/>
      <c r="D339" s="325"/>
      <c r="E339" s="3058"/>
      <c r="F339" s="324"/>
      <c r="G339" s="2621"/>
      <c r="H339" s="332"/>
      <c r="I339" s="339"/>
      <c r="J339" s="322"/>
      <c r="K339" s="341"/>
      <c r="L339" s="339"/>
      <c r="M339" s="322"/>
      <c r="N339" s="339"/>
      <c r="O339" s="332"/>
      <c r="P339" s="345"/>
      <c r="Q339" s="322"/>
      <c r="R339" s="322"/>
      <c r="S339" s="346"/>
      <c r="T339" s="347"/>
      <c r="U339" s="326"/>
      <c r="V339" s="348"/>
      <c r="W339" s="347"/>
      <c r="X339" s="326"/>
      <c r="Y339" s="348"/>
      <c r="Z339" s="347"/>
      <c r="AA339" s="326"/>
      <c r="AB339" s="348"/>
      <c r="AC339" s="820"/>
      <c r="AD339" s="821"/>
      <c r="AE339" s="822"/>
      <c r="AF339" s="820"/>
      <c r="AG339" s="821"/>
      <c r="AH339" s="822"/>
      <c r="AI339" s="482">
        <v>0</v>
      </c>
      <c r="AJ339" s="326">
        <v>0</v>
      </c>
      <c r="AK339" s="3917">
        <v>0</v>
      </c>
      <c r="AL339" s="349">
        <f t="shared" si="56"/>
        <v>0</v>
      </c>
      <c r="AM339" s="2002"/>
      <c r="AN339" s="3357"/>
      <c r="AO339" s="695"/>
      <c r="AP339" s="3362" t="str">
        <f t="shared" si="59"/>
        <v>Planning Reg 2023-2024</v>
      </c>
      <c r="AQ339" s="3555">
        <f t="shared" si="59"/>
        <v>1.1576249999999999</v>
      </c>
      <c r="AR339" s="333"/>
      <c r="AS339" s="330"/>
      <c r="AT339" s="330"/>
      <c r="AU339" s="849"/>
      <c r="AV339" s="849"/>
      <c r="AW339" s="3156" t="e">
        <f t="shared" si="57"/>
        <v>#DIV/0!</v>
      </c>
      <c r="AX339" s="3140"/>
    </row>
    <row r="340" spans="1:50" ht="25.5">
      <c r="A340" s="2418" t="s">
        <v>4276</v>
      </c>
      <c r="B340" s="338" t="s">
        <v>12409</v>
      </c>
      <c r="C340" s="321"/>
      <c r="D340" s="325"/>
      <c r="E340" s="3058"/>
      <c r="F340" s="324"/>
      <c r="G340" s="2621"/>
      <c r="H340" s="332"/>
      <c r="I340" s="339"/>
      <c r="J340" s="322"/>
      <c r="K340" s="341"/>
      <c r="L340" s="339"/>
      <c r="M340" s="322"/>
      <c r="N340" s="339"/>
      <c r="O340" s="332"/>
      <c r="P340" s="345"/>
      <c r="Q340" s="322"/>
      <c r="R340" s="322"/>
      <c r="S340" s="346"/>
      <c r="T340" s="347"/>
      <c r="U340" s="326"/>
      <c r="V340" s="348"/>
      <c r="W340" s="347"/>
      <c r="X340" s="326"/>
      <c r="Y340" s="348"/>
      <c r="Z340" s="347"/>
      <c r="AA340" s="326"/>
      <c r="AB340" s="348"/>
      <c r="AC340" s="820"/>
      <c r="AD340" s="821"/>
      <c r="AE340" s="822"/>
      <c r="AF340" s="820"/>
      <c r="AG340" s="821"/>
      <c r="AH340" s="822"/>
      <c r="AI340" s="482">
        <v>0</v>
      </c>
      <c r="AJ340" s="326">
        <v>0</v>
      </c>
      <c r="AK340" s="3917">
        <v>0</v>
      </c>
      <c r="AL340" s="349">
        <f t="shared" si="56"/>
        <v>0</v>
      </c>
      <c r="AM340" s="2002"/>
      <c r="AN340" s="3357"/>
      <c r="AO340" s="695"/>
      <c r="AP340" s="3362" t="str">
        <f t="shared" si="59"/>
        <v>Planning Reg 2023-2024</v>
      </c>
      <c r="AQ340" s="3555">
        <f t="shared" si="59"/>
        <v>1.1576249999999999</v>
      </c>
      <c r="AR340" s="333"/>
      <c r="AS340" s="330"/>
      <c r="AT340" s="330"/>
      <c r="AU340" s="849"/>
      <c r="AV340" s="849"/>
      <c r="AW340" s="3156" t="e">
        <f t="shared" si="57"/>
        <v>#DIV/0!</v>
      </c>
      <c r="AX340" s="3140"/>
    </row>
    <row r="341" spans="1:50" ht="25.5">
      <c r="A341" s="2418" t="s">
        <v>4276</v>
      </c>
      <c r="B341" s="338" t="s">
        <v>12410</v>
      </c>
      <c r="C341" s="321"/>
      <c r="D341" s="325"/>
      <c r="E341" s="3058"/>
      <c r="F341" s="324"/>
      <c r="G341" s="2621"/>
      <c r="H341" s="332"/>
      <c r="I341" s="339"/>
      <c r="J341" s="322"/>
      <c r="K341" s="341"/>
      <c r="L341" s="339"/>
      <c r="M341" s="322"/>
      <c r="N341" s="339"/>
      <c r="O341" s="332"/>
      <c r="P341" s="345"/>
      <c r="Q341" s="322"/>
      <c r="R341" s="322"/>
      <c r="S341" s="346"/>
      <c r="T341" s="347"/>
      <c r="U341" s="326"/>
      <c r="V341" s="348"/>
      <c r="W341" s="347"/>
      <c r="X341" s="326"/>
      <c r="Y341" s="348"/>
      <c r="Z341" s="347"/>
      <c r="AA341" s="326"/>
      <c r="AB341" s="348"/>
      <c r="AC341" s="820"/>
      <c r="AD341" s="821"/>
      <c r="AE341" s="822"/>
      <c r="AF341" s="820"/>
      <c r="AG341" s="821"/>
      <c r="AH341" s="822"/>
      <c r="AI341" s="482">
        <v>0</v>
      </c>
      <c r="AJ341" s="326">
        <v>0</v>
      </c>
      <c r="AK341" s="3917">
        <v>0</v>
      </c>
      <c r="AL341" s="349">
        <f t="shared" si="56"/>
        <v>0</v>
      </c>
      <c r="AM341" s="2002"/>
      <c r="AN341" s="3357"/>
      <c r="AO341" s="695"/>
      <c r="AP341" s="3362" t="str">
        <f t="shared" si="59"/>
        <v>Planning Reg 2023-2024</v>
      </c>
      <c r="AQ341" s="3555">
        <f t="shared" si="59"/>
        <v>1.1576249999999999</v>
      </c>
      <c r="AR341" s="333"/>
      <c r="AS341" s="330"/>
      <c r="AT341" s="330"/>
      <c r="AU341" s="849"/>
      <c r="AV341" s="849"/>
      <c r="AW341" s="3156" t="e">
        <f t="shared" si="57"/>
        <v>#DIV/0!</v>
      </c>
      <c r="AX341" s="3140"/>
    </row>
    <row r="342" spans="1:50" ht="25.5">
      <c r="A342" s="2418" t="s">
        <v>4276</v>
      </c>
      <c r="B342" s="338" t="s">
        <v>12411</v>
      </c>
      <c r="C342" s="321"/>
      <c r="D342" s="325"/>
      <c r="E342" s="3058"/>
      <c r="F342" s="324"/>
      <c r="G342" s="2621"/>
      <c r="H342" s="332"/>
      <c r="I342" s="339"/>
      <c r="J342" s="322"/>
      <c r="K342" s="341"/>
      <c r="L342" s="339"/>
      <c r="M342" s="322"/>
      <c r="N342" s="339"/>
      <c r="O342" s="332"/>
      <c r="P342" s="345"/>
      <c r="Q342" s="322"/>
      <c r="R342" s="322"/>
      <c r="S342" s="346"/>
      <c r="T342" s="347"/>
      <c r="U342" s="326"/>
      <c r="V342" s="348"/>
      <c r="W342" s="347"/>
      <c r="X342" s="326"/>
      <c r="Y342" s="348"/>
      <c r="Z342" s="347"/>
      <c r="AA342" s="326"/>
      <c r="AB342" s="348"/>
      <c r="AC342" s="820"/>
      <c r="AD342" s="821"/>
      <c r="AE342" s="822"/>
      <c r="AF342" s="820"/>
      <c r="AG342" s="821"/>
      <c r="AH342" s="822"/>
      <c r="AI342" s="482">
        <v>0</v>
      </c>
      <c r="AJ342" s="326">
        <v>0</v>
      </c>
      <c r="AK342" s="3917">
        <v>0</v>
      </c>
      <c r="AL342" s="349">
        <f t="shared" si="56"/>
        <v>0</v>
      </c>
      <c r="AM342" s="2002"/>
      <c r="AN342" s="3357"/>
      <c r="AO342" s="695"/>
      <c r="AP342" s="3362" t="str">
        <f t="shared" si="59"/>
        <v>Planning Reg 2023-2024</v>
      </c>
      <c r="AQ342" s="3555">
        <f t="shared" si="59"/>
        <v>1.1576249999999999</v>
      </c>
      <c r="AR342" s="333"/>
      <c r="AS342" s="330"/>
      <c r="AT342" s="330"/>
      <c r="AU342" s="849"/>
      <c r="AV342" s="849"/>
      <c r="AW342" s="3156" t="e">
        <f t="shared" si="57"/>
        <v>#DIV/0!</v>
      </c>
      <c r="AX342" s="3140"/>
    </row>
    <row r="343" spans="1:50" ht="25.5">
      <c r="A343" s="2418" t="s">
        <v>4276</v>
      </c>
      <c r="B343" s="338" t="s">
        <v>12412</v>
      </c>
      <c r="C343" s="321"/>
      <c r="D343" s="325"/>
      <c r="E343" s="3058"/>
      <c r="F343" s="324"/>
      <c r="G343" s="2621"/>
      <c r="H343" s="332"/>
      <c r="I343" s="339"/>
      <c r="J343" s="322"/>
      <c r="K343" s="341"/>
      <c r="L343" s="339"/>
      <c r="M343" s="322"/>
      <c r="N343" s="339"/>
      <c r="O343" s="332"/>
      <c r="P343" s="345"/>
      <c r="Q343" s="322"/>
      <c r="R343" s="322"/>
      <c r="S343" s="346"/>
      <c r="T343" s="347"/>
      <c r="U343" s="326"/>
      <c r="V343" s="348"/>
      <c r="W343" s="347"/>
      <c r="X343" s="326"/>
      <c r="Y343" s="348"/>
      <c r="Z343" s="347"/>
      <c r="AA343" s="326"/>
      <c r="AB343" s="348"/>
      <c r="AC343" s="820"/>
      <c r="AD343" s="821"/>
      <c r="AE343" s="822"/>
      <c r="AF343" s="820"/>
      <c r="AG343" s="821"/>
      <c r="AH343" s="822"/>
      <c r="AI343" s="482">
        <v>0</v>
      </c>
      <c r="AJ343" s="326">
        <v>0</v>
      </c>
      <c r="AK343" s="3917">
        <v>0</v>
      </c>
      <c r="AL343" s="349">
        <f t="shared" si="56"/>
        <v>0</v>
      </c>
      <c r="AM343" s="2002"/>
      <c r="AN343" s="3357"/>
      <c r="AO343" s="695"/>
      <c r="AP343" s="3362" t="str">
        <f t="shared" si="59"/>
        <v>Planning Reg 2023-2024</v>
      </c>
      <c r="AQ343" s="3555">
        <f t="shared" si="59"/>
        <v>1.1576249999999999</v>
      </c>
      <c r="AR343" s="333"/>
      <c r="AS343" s="330"/>
      <c r="AT343" s="330"/>
      <c r="AU343" s="849"/>
      <c r="AV343" s="849"/>
      <c r="AW343" s="3156" t="e">
        <f t="shared" si="57"/>
        <v>#DIV/0!</v>
      </c>
      <c r="AX343" s="3140"/>
    </row>
    <row r="344" spans="1:50" ht="25.5">
      <c r="A344" s="2418" t="s">
        <v>4276</v>
      </c>
      <c r="B344" s="338" t="s">
        <v>12413</v>
      </c>
      <c r="C344" s="321"/>
      <c r="D344" s="325"/>
      <c r="E344" s="3058"/>
      <c r="F344" s="324"/>
      <c r="G344" s="2621"/>
      <c r="H344" s="332"/>
      <c r="I344" s="339"/>
      <c r="J344" s="322"/>
      <c r="K344" s="341"/>
      <c r="L344" s="339"/>
      <c r="M344" s="322"/>
      <c r="N344" s="339"/>
      <c r="O344" s="332"/>
      <c r="P344" s="345"/>
      <c r="Q344" s="322"/>
      <c r="R344" s="322"/>
      <c r="S344" s="346"/>
      <c r="T344" s="347"/>
      <c r="U344" s="326"/>
      <c r="V344" s="348"/>
      <c r="W344" s="347"/>
      <c r="X344" s="326"/>
      <c r="Y344" s="348"/>
      <c r="Z344" s="347"/>
      <c r="AA344" s="326"/>
      <c r="AB344" s="348"/>
      <c r="AC344" s="820"/>
      <c r="AD344" s="821"/>
      <c r="AE344" s="822"/>
      <c r="AF344" s="820"/>
      <c r="AG344" s="821"/>
      <c r="AH344" s="822"/>
      <c r="AI344" s="482">
        <v>0</v>
      </c>
      <c r="AJ344" s="326">
        <v>0</v>
      </c>
      <c r="AK344" s="3917">
        <v>0</v>
      </c>
      <c r="AL344" s="349">
        <f t="shared" si="56"/>
        <v>0</v>
      </c>
      <c r="AM344" s="2002"/>
      <c r="AN344" s="3357"/>
      <c r="AO344" s="695"/>
      <c r="AP344" s="3362" t="str">
        <f t="shared" si="59"/>
        <v>Planning Reg 2023-2024</v>
      </c>
      <c r="AQ344" s="3555">
        <f t="shared" si="59"/>
        <v>1.1576249999999999</v>
      </c>
      <c r="AR344" s="333"/>
      <c r="AS344" s="330"/>
      <c r="AT344" s="330"/>
      <c r="AU344" s="849"/>
      <c r="AV344" s="849"/>
      <c r="AW344" s="3156" t="e">
        <f t="shared" si="57"/>
        <v>#DIV/0!</v>
      </c>
      <c r="AX344" s="3140"/>
    </row>
  </sheetData>
  <sheetProtection sheet="1" objects="1" scenarios="1"/>
  <sortState xmlns:xlrd2="http://schemas.microsoft.com/office/spreadsheetml/2017/richdata2" ref="A20:AB148">
    <sortCondition ref="B2:B43"/>
  </sortState>
  <mergeCells count="9">
    <mergeCell ref="A66:H66"/>
    <mergeCell ref="AR1:AX2"/>
    <mergeCell ref="A53:H53"/>
    <mergeCell ref="A42:H42"/>
    <mergeCell ref="AM2:AO2"/>
    <mergeCell ref="A12:H12"/>
    <mergeCell ref="T2:AL2"/>
    <mergeCell ref="A7:H7"/>
    <mergeCell ref="A4:H4"/>
  </mergeCells>
  <phoneticPr fontId="115"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O221"/>
  <sheetViews>
    <sheetView zoomScaleNormal="100" workbookViewId="0">
      <pane xSplit="3" ySplit="7" topLeftCell="AX217" activePane="bottomRight" state="frozen"/>
      <selection activeCell="D156" sqref="D156"/>
      <selection pane="topRight" activeCell="D156" sqref="D156"/>
      <selection pane="bottomLeft" activeCell="D156" sqref="D156"/>
      <selection pane="bottomRight" activeCell="BE223" sqref="BE223"/>
    </sheetView>
  </sheetViews>
  <sheetFormatPr defaultColWidth="9.140625" defaultRowHeight="11.25"/>
  <cols>
    <col min="1" max="1" width="21.85546875" style="27" customWidth="1"/>
    <col min="2" max="2" width="20.85546875" style="49" bestFit="1" customWidth="1"/>
    <col min="3" max="3" width="14.28515625" style="50" customWidth="1"/>
    <col min="4" max="4" width="10.28515625" style="79" bestFit="1" customWidth="1"/>
    <col min="5" max="5" width="15" style="13" customWidth="1"/>
    <col min="6" max="6" width="14.5703125" style="14" customWidth="1"/>
    <col min="7" max="7" width="14.7109375" style="13" customWidth="1"/>
    <col min="8" max="8" width="14.140625" style="14" customWidth="1"/>
    <col min="9" max="9" width="17.28515625" style="13" customWidth="1"/>
    <col min="10" max="10" width="22.42578125" style="29" customWidth="1"/>
    <col min="11" max="11" width="16.140625" style="95" customWidth="1"/>
    <col min="12" max="12" width="14.28515625" style="96" customWidth="1"/>
    <col min="13" max="13" width="12.7109375" style="112" customWidth="1"/>
    <col min="14" max="14" width="14.7109375" style="113" customWidth="1"/>
    <col min="15" max="15" width="10.5703125" style="95" customWidth="1"/>
    <col min="16" max="16" width="14.28515625" style="97" customWidth="1"/>
    <col min="17" max="17" width="9.7109375" style="95" bestFit="1" customWidth="1"/>
    <col min="18" max="18" width="14.85546875" style="96" bestFit="1" customWidth="1"/>
    <col min="19" max="19" width="13.7109375" style="95" customWidth="1"/>
    <col min="20" max="20" width="15" style="97" customWidth="1"/>
    <col min="21" max="21" width="10.5703125" style="95" customWidth="1"/>
    <col min="22" max="22" width="14.7109375" style="97" customWidth="1"/>
    <col min="23" max="23" width="10.5703125" style="95" customWidth="1"/>
    <col min="24" max="24" width="14.140625" style="96" customWidth="1"/>
    <col min="25" max="25" width="11.7109375" style="95" bestFit="1" customWidth="1"/>
    <col min="26" max="26" width="14.85546875" style="96" bestFit="1" customWidth="1"/>
    <col min="27" max="27" width="12" style="95" bestFit="1" customWidth="1"/>
    <col min="28" max="28" width="14.85546875" style="98" customWidth="1"/>
    <col min="29" max="29" width="14.42578125" style="58" customWidth="1"/>
    <col min="30" max="30" width="18.28515625" style="159" customWidth="1"/>
    <col min="31" max="31" width="14.5703125" style="151" bestFit="1" customWidth="1"/>
    <col min="32" max="32" width="10.85546875" style="152" bestFit="1" customWidth="1"/>
    <col min="33" max="33" width="15" style="88" bestFit="1" customWidth="1"/>
    <col min="34" max="34" width="12" style="89" customWidth="1"/>
    <col min="35" max="35" width="17.28515625" style="121" bestFit="1" customWidth="1"/>
    <col min="36" max="36" width="12" style="91" bestFit="1" customWidth="1"/>
    <col min="37" max="37" width="14.85546875" style="90" bestFit="1" customWidth="1"/>
    <col min="38" max="38" width="12.7109375" style="92" bestFit="1" customWidth="1"/>
    <col min="39" max="39" width="17.5703125" style="90" bestFit="1" customWidth="1"/>
    <col min="40" max="40" width="10.7109375" style="93" bestFit="1" customWidth="1"/>
    <col min="41" max="41" width="14.85546875" style="90" bestFit="1" customWidth="1"/>
    <col min="42" max="42" width="10.7109375" style="93" bestFit="1" customWidth="1"/>
    <col min="43" max="43" width="14.85546875" style="90" bestFit="1" customWidth="1"/>
    <col min="44" max="44" width="11.7109375" style="93" bestFit="1" customWidth="1"/>
    <col min="45" max="45" width="14.85546875" style="90" bestFit="1" customWidth="1"/>
    <col min="46" max="46" width="10.5703125" style="93" bestFit="1" customWidth="1"/>
    <col min="47" max="47" width="14.85546875" style="90" bestFit="1" customWidth="1"/>
    <col min="48" max="48" width="10.7109375" style="93" bestFit="1" customWidth="1"/>
    <col min="49" max="49" width="14.85546875" style="90" bestFit="1" customWidth="1"/>
    <col min="50" max="50" width="14.85546875" style="93" bestFit="1" customWidth="1"/>
    <col min="51" max="51" width="14.85546875" style="90" bestFit="1" customWidth="1"/>
    <col min="52" max="52" width="12" style="93" bestFit="1" customWidth="1"/>
    <col min="53" max="53" width="16.42578125" style="94" customWidth="1"/>
    <col min="54" max="54" width="12.5703125" style="99" bestFit="1" customWidth="1"/>
    <col min="55" max="55" width="12.28515625" style="85" customWidth="1"/>
    <col min="56" max="56" width="12" style="55" bestFit="1" customWidth="1"/>
    <col min="57" max="57" width="12.28515625" style="55" bestFit="1" customWidth="1"/>
    <col min="58" max="58" width="10.7109375" style="55" bestFit="1" customWidth="1"/>
    <col min="59" max="59" width="13.7109375" style="4119" bestFit="1" customWidth="1"/>
    <col min="60" max="60" width="13.85546875" style="787" bestFit="1" customWidth="1"/>
    <col min="61" max="61" width="16.28515625" style="4120" customWidth="1"/>
    <col min="62" max="62" width="9.7109375" style="55" bestFit="1" customWidth="1"/>
    <col min="63" max="16384" width="9.140625" style="55"/>
  </cols>
  <sheetData>
    <row r="1" spans="1:81" ht="12.75">
      <c r="A1" s="69" t="s">
        <v>518</v>
      </c>
      <c r="B1" s="136" t="s">
        <v>178</v>
      </c>
      <c r="C1" s="132" t="s">
        <v>1255</v>
      </c>
      <c r="D1" s="133"/>
      <c r="E1" s="134"/>
      <c r="F1" s="100"/>
      <c r="G1" s="47"/>
      <c r="H1" s="47"/>
      <c r="I1" s="47"/>
      <c r="J1" s="180" t="s">
        <v>772</v>
      </c>
      <c r="K1" s="190"/>
      <c r="L1" s="182">
        <f>SUM(K:K)</f>
        <v>643959</v>
      </c>
      <c r="M1" s="183"/>
      <c r="N1" s="184">
        <f>SUM(M:M)</f>
        <v>2302895</v>
      </c>
      <c r="O1" s="185"/>
      <c r="P1" s="184">
        <f>SUM(O:O)</f>
        <v>360198</v>
      </c>
      <c r="Q1" s="185"/>
      <c r="R1" s="184">
        <f>SUM(Q:Q)</f>
        <v>628225</v>
      </c>
      <c r="S1" s="185"/>
      <c r="T1" s="186">
        <f>SUM(S:S)</f>
        <v>3472202</v>
      </c>
      <c r="U1" s="185"/>
      <c r="V1" s="184">
        <f>SUM(U:U)</f>
        <v>2516930</v>
      </c>
      <c r="W1" s="185"/>
      <c r="X1" s="184">
        <f>SUM(W:W)</f>
        <v>971173</v>
      </c>
      <c r="Y1" s="185"/>
      <c r="Z1" s="184">
        <f>SUM(Y:Y)</f>
        <v>439929</v>
      </c>
      <c r="AA1" s="185"/>
      <c r="AB1" s="187">
        <f>SUM(AA:AA)</f>
        <v>1412301.01</v>
      </c>
      <c r="AC1" s="188" t="s">
        <v>940</v>
      </c>
      <c r="AD1" s="191">
        <f>SUM(AB1,Z1,X1,V1,T1,R1,P1,N1,L1)</f>
        <v>12747812.01</v>
      </c>
      <c r="AE1" s="192"/>
      <c r="AF1" s="143"/>
      <c r="AG1" s="61"/>
      <c r="AH1" s="34"/>
      <c r="AI1" s="41" t="s">
        <v>1104</v>
      </c>
      <c r="AJ1" s="51"/>
      <c r="AK1" s="43">
        <f>SUM(AJ:AJ)</f>
        <v>716334</v>
      </c>
      <c r="AL1" s="44"/>
      <c r="AM1" s="43">
        <f>SUM(AL:AL)</f>
        <v>2549580</v>
      </c>
      <c r="AN1" s="42"/>
      <c r="AO1" s="43">
        <f>SUM(AN:AN)</f>
        <v>10628</v>
      </c>
      <c r="AP1" s="42"/>
      <c r="AQ1" s="43">
        <f>SUM(AP:AP)</f>
        <v>660376</v>
      </c>
      <c r="AR1" s="42"/>
      <c r="AS1" s="114">
        <f>SUM(AR:AR)</f>
        <v>748594</v>
      </c>
      <c r="AT1" s="42"/>
      <c r="AU1" s="114">
        <f>SUM(AT:AT)</f>
        <v>496219</v>
      </c>
      <c r="AV1" s="42"/>
      <c r="AW1" s="43">
        <f>SUM(AV:AV)</f>
        <v>998011</v>
      </c>
      <c r="AX1" s="42"/>
      <c r="AY1" s="43">
        <f>SUM(AX:AX)</f>
        <v>450085</v>
      </c>
      <c r="AZ1" s="42"/>
      <c r="BA1" s="45">
        <f>SUM(AZ:AZ)</f>
        <v>1408073.76</v>
      </c>
      <c r="BB1" s="680" t="s">
        <v>1125</v>
      </c>
      <c r="BC1" s="678">
        <f>AK1+AM1+AO1+AQ1+AS1+AU1+AW1+AY1+BA1</f>
        <v>8037900.7599999998</v>
      </c>
      <c r="BG1" s="4124">
        <f>BC1-BH1</f>
        <v>6793087.7599999998</v>
      </c>
      <c r="BH1" s="4124">
        <f>AS1+AU1</f>
        <v>1244813</v>
      </c>
      <c r="BI1" s="4014">
        <f>BC1-BG1-BH1</f>
        <v>0</v>
      </c>
      <c r="BJ1" s="1719" t="s">
        <v>7236</v>
      </c>
    </row>
    <row r="2" spans="1:81" ht="33.75">
      <c r="A2" s="70" t="s">
        <v>271</v>
      </c>
      <c r="B2" s="137" t="s">
        <v>517</v>
      </c>
      <c r="C2" s="166" t="s">
        <v>440</v>
      </c>
      <c r="D2" s="75" t="s">
        <v>1103</v>
      </c>
      <c r="E2" s="67"/>
      <c r="F2" s="68"/>
      <c r="G2" s="21"/>
      <c r="H2" s="21"/>
      <c r="I2" s="3898"/>
      <c r="J2" s="4011"/>
      <c r="K2" s="167"/>
      <c r="L2" s="168"/>
      <c r="M2" s="110"/>
      <c r="N2" s="111"/>
      <c r="O2" s="15"/>
      <c r="P2" s="16"/>
      <c r="Q2" s="15"/>
      <c r="R2" s="16"/>
      <c r="S2" s="15"/>
      <c r="T2" s="31"/>
      <c r="U2" s="15"/>
      <c r="V2" s="16"/>
      <c r="W2" s="15"/>
      <c r="X2" s="16"/>
      <c r="Y2" s="15"/>
      <c r="Z2" s="16"/>
      <c r="AA2" s="15"/>
      <c r="AB2" s="17"/>
      <c r="AC2" s="56" t="s">
        <v>1269</v>
      </c>
      <c r="AD2" s="165">
        <f>SUM(AC:AC)-AD1</f>
        <v>0</v>
      </c>
      <c r="AE2" s="144"/>
      <c r="AF2" s="153"/>
      <c r="AG2" s="55"/>
      <c r="AH2" s="34"/>
      <c r="AI2" s="1"/>
      <c r="AJ2" s="52"/>
      <c r="AK2" s="39"/>
      <c r="AL2" s="18"/>
      <c r="AM2" s="18"/>
      <c r="AN2" s="19"/>
      <c r="AO2" s="18"/>
      <c r="AP2" s="19"/>
      <c r="AQ2" s="18"/>
      <c r="AR2" s="19"/>
      <c r="AS2" s="86"/>
      <c r="AT2" s="19"/>
      <c r="AU2" s="86"/>
      <c r="AV2" s="19"/>
      <c r="AW2" s="18"/>
      <c r="AX2" s="19"/>
      <c r="AY2" s="18"/>
      <c r="AZ2" s="19"/>
      <c r="BA2" s="18"/>
      <c r="BB2" s="681" t="s">
        <v>828</v>
      </c>
      <c r="BC2" s="679">
        <f>SUM(BB:BB)-BC1</f>
        <v>0</v>
      </c>
      <c r="BG2" s="4125">
        <f>SUM(BE:BE)</f>
        <v>6793087.7599999998</v>
      </c>
      <c r="BH2" s="4125">
        <f>SUM(BF:BF)</f>
        <v>1244813</v>
      </c>
      <c r="BI2" s="4014">
        <f>BC1-BG2-BH2</f>
        <v>0</v>
      </c>
      <c r="BJ2" s="1719" t="s">
        <v>7236</v>
      </c>
    </row>
    <row r="3" spans="1:81" ht="12" thickBot="1">
      <c r="A3" s="71"/>
      <c r="B3" s="138"/>
      <c r="C3" s="166" t="s">
        <v>1256</v>
      </c>
      <c r="D3" s="176">
        <f>COUNTA(C:C)-COUNTA(C1:C6)</f>
        <v>212</v>
      </c>
      <c r="E3" s="177"/>
      <c r="F3" s="101"/>
      <c r="G3" s="22"/>
      <c r="H3" s="22"/>
      <c r="I3" s="22"/>
      <c r="J3" s="170"/>
      <c r="K3" s="169"/>
      <c r="L3" s="178">
        <f>COUNTA(K:K)-COUNTA(K1:K6)</f>
        <v>98</v>
      </c>
      <c r="M3" s="8"/>
      <c r="N3" s="178">
        <f>COUNTA(M:M)-COUNTA(M1:M6)</f>
        <v>129</v>
      </c>
      <c r="O3" s="8"/>
      <c r="P3" s="178">
        <f>COUNTA(O:O)-COUNTA(O1:O6)</f>
        <v>4</v>
      </c>
      <c r="Q3" s="8"/>
      <c r="R3" s="178">
        <f>COUNTA(Q:Q)-COUNTA(Q1:Q6)</f>
        <v>54</v>
      </c>
      <c r="S3" s="8"/>
      <c r="T3" s="178">
        <f>COUNTA(S:S)-COUNTA(S1:S6)</f>
        <v>85</v>
      </c>
      <c r="U3" s="8"/>
      <c r="V3" s="178">
        <f>COUNTA(U:U)-COUNTA(U1:U6)</f>
        <v>92</v>
      </c>
      <c r="W3" s="8"/>
      <c r="X3" s="178">
        <f>COUNTA(W:W)-COUNTA(W1:W6)</f>
        <v>33</v>
      </c>
      <c r="Y3" s="8"/>
      <c r="Z3" s="178">
        <f>COUNTA(Y:Y)-COUNTA(Y1:Y6)</f>
        <v>29</v>
      </c>
      <c r="AA3" s="8"/>
      <c r="AB3" s="178">
        <f>COUNTA(AA:AA)-COUNTA(AA1:AA6)</f>
        <v>14</v>
      </c>
      <c r="AC3" s="57"/>
      <c r="AD3" s="17"/>
      <c r="AE3" s="145"/>
      <c r="AF3" s="143"/>
      <c r="AG3" s="61"/>
      <c r="AH3" s="117"/>
      <c r="AI3" s="115"/>
      <c r="AJ3" s="53"/>
      <c r="AK3" s="164">
        <f>COUNTA(AJ:AJ)-COUNTA(AJ1:AJ6)</f>
        <v>96</v>
      </c>
      <c r="AL3" s="37"/>
      <c r="AM3" s="115">
        <f>COUNTA(AL:AL)-COUNTA(AL1:AL6)</f>
        <v>130</v>
      </c>
      <c r="AN3" s="20"/>
      <c r="AO3" s="115">
        <f>COUNTA(AN:AN)-COUNTA(AN1:AN6)</f>
        <v>2</v>
      </c>
      <c r="AP3" s="20"/>
      <c r="AQ3" s="115">
        <f>COUNTA(AP:AP)-COUNTA(AP1:AP6)</f>
        <v>44</v>
      </c>
      <c r="AR3" s="20"/>
      <c r="AS3" s="115">
        <f>COUNTA(AR:AR)-COUNTA(AR1:AR6)</f>
        <v>30</v>
      </c>
      <c r="AT3" s="20"/>
      <c r="AU3" s="115">
        <f>COUNTA(AT:AT)-COUNTA(AT1:AT6)</f>
        <v>30</v>
      </c>
      <c r="AV3" s="20"/>
      <c r="AW3" s="115">
        <f>COUNTA(AV:AV)-COUNTA(AV1:AV6)</f>
        <v>33</v>
      </c>
      <c r="AX3" s="20"/>
      <c r="AY3" s="115">
        <f>COUNTA(AX:AX)-COUNTA(AX1:AX6)</f>
        <v>29</v>
      </c>
      <c r="AZ3" s="20"/>
      <c r="BA3" s="115">
        <f>COUNTA(AZ:AZ)-COUNTA(AZ1:AZ6)</f>
        <v>12</v>
      </c>
      <c r="BB3" s="62"/>
      <c r="BC3" s="679"/>
      <c r="BD3" s="230"/>
      <c r="BE3" s="230"/>
      <c r="BF3" s="230"/>
      <c r="BG3" s="4130" t="s">
        <v>7234</v>
      </c>
      <c r="BH3" s="4126" t="s">
        <v>7235</v>
      </c>
      <c r="BI3" s="4119"/>
    </row>
    <row r="4" spans="1:81" ht="12.75" customHeight="1">
      <c r="A4" s="128"/>
      <c r="B4" s="122"/>
      <c r="C4" s="72" t="s">
        <v>666</v>
      </c>
      <c r="D4" s="76" t="s">
        <v>18</v>
      </c>
      <c r="E4" s="102" t="s">
        <v>456</v>
      </c>
      <c r="F4" s="103"/>
      <c r="G4" s="116" t="s">
        <v>173</v>
      </c>
      <c r="H4" s="103"/>
      <c r="I4" s="6655" t="s">
        <v>631</v>
      </c>
      <c r="J4" s="6680"/>
      <c r="K4" s="123"/>
      <c r="L4" s="124"/>
      <c r="M4" s="123"/>
      <c r="N4" s="25"/>
      <c r="O4" s="123"/>
      <c r="P4" s="2"/>
      <c r="Q4" s="123"/>
      <c r="R4" s="2"/>
      <c r="S4" s="941"/>
      <c r="T4" s="942"/>
      <c r="U4" s="941"/>
      <c r="V4" s="942"/>
      <c r="W4" s="9"/>
      <c r="X4" s="2"/>
      <c r="Y4" s="123"/>
      <c r="Z4" s="2"/>
      <c r="AA4" s="123"/>
      <c r="AB4" s="23"/>
      <c r="AC4" s="6652" t="s">
        <v>1253</v>
      </c>
      <c r="AD4" s="156" t="s">
        <v>695</v>
      </c>
      <c r="AE4" s="154"/>
      <c r="AF4" s="155"/>
      <c r="AG4" s="26" t="s">
        <v>583</v>
      </c>
      <c r="AH4" s="63"/>
      <c r="AI4" s="118"/>
      <c r="AJ4" s="125"/>
      <c r="AK4" s="40"/>
      <c r="AL4" s="126"/>
      <c r="AM4" s="3"/>
      <c r="AN4" s="127"/>
      <c r="AO4" s="3"/>
      <c r="AP4" s="127"/>
      <c r="AQ4" s="3"/>
      <c r="AR4" s="937"/>
      <c r="AS4" s="938"/>
      <c r="AT4" s="937"/>
      <c r="AU4" s="938"/>
      <c r="AV4" s="127"/>
      <c r="AW4" s="3"/>
      <c r="AX4" s="127"/>
      <c r="AY4" s="3"/>
      <c r="AZ4" s="127"/>
      <c r="BA4" s="32"/>
      <c r="BB4" s="6685" t="s">
        <v>1253</v>
      </c>
      <c r="BC4" s="18"/>
    </row>
    <row r="5" spans="1:81" ht="38.25" customHeight="1">
      <c r="A5" s="78" t="s">
        <v>130</v>
      </c>
      <c r="B5" s="129" t="s">
        <v>4930</v>
      </c>
      <c r="C5" s="73"/>
      <c r="D5" s="77" t="s">
        <v>19</v>
      </c>
      <c r="E5" s="104"/>
      <c r="F5" s="105"/>
      <c r="G5" s="104"/>
      <c r="H5" s="105"/>
      <c r="I5" s="6681"/>
      <c r="J5" s="6682"/>
      <c r="K5" s="6645" t="s">
        <v>1791</v>
      </c>
      <c r="L5" s="6646"/>
      <c r="M5" s="6645" t="s">
        <v>1189</v>
      </c>
      <c r="N5" s="6661"/>
      <c r="O5" s="6645" t="s">
        <v>1789</v>
      </c>
      <c r="P5" s="6646"/>
      <c r="Q5" s="6645" t="s">
        <v>1788</v>
      </c>
      <c r="R5" s="6646"/>
      <c r="S5" s="6659" t="s">
        <v>1785</v>
      </c>
      <c r="T5" s="6660"/>
      <c r="U5" s="6659" t="s">
        <v>1784</v>
      </c>
      <c r="V5" s="6660"/>
      <c r="W5" s="6645" t="s">
        <v>1786</v>
      </c>
      <c r="X5" s="6646"/>
      <c r="Y5" s="6645" t="s">
        <v>1783</v>
      </c>
      <c r="Z5" s="6646"/>
      <c r="AA5" s="6645" t="s">
        <v>1787</v>
      </c>
      <c r="AB5" s="6646"/>
      <c r="AC5" s="6683"/>
      <c r="AD5" s="157"/>
      <c r="AE5" s="139"/>
      <c r="AF5" s="141"/>
      <c r="AG5" s="4" t="s">
        <v>670</v>
      </c>
      <c r="AH5" s="35" t="s">
        <v>495</v>
      </c>
      <c r="AI5" s="119" t="s">
        <v>1101</v>
      </c>
      <c r="AJ5" s="6647" t="s">
        <v>1792</v>
      </c>
      <c r="AK5" s="6648"/>
      <c r="AL5" s="6647" t="s">
        <v>1189</v>
      </c>
      <c r="AM5" s="6649"/>
      <c r="AN5" s="6647" t="s">
        <v>1789</v>
      </c>
      <c r="AO5" s="6648"/>
      <c r="AP5" s="6647" t="s">
        <v>1788</v>
      </c>
      <c r="AQ5" s="6648"/>
      <c r="AR5" s="6650" t="s">
        <v>1785</v>
      </c>
      <c r="AS5" s="6651"/>
      <c r="AT5" s="6650" t="s">
        <v>1784</v>
      </c>
      <c r="AU5" s="6651"/>
      <c r="AV5" s="6647" t="s">
        <v>1786</v>
      </c>
      <c r="AW5" s="6648"/>
      <c r="AX5" s="6647" t="s">
        <v>1783</v>
      </c>
      <c r="AY5" s="6648"/>
      <c r="AZ5" s="6647" t="s">
        <v>1787</v>
      </c>
      <c r="BA5" s="6648"/>
      <c r="BB5" s="6686"/>
      <c r="BD5" s="80" t="s">
        <v>2019</v>
      </c>
      <c r="BE5" s="5320" t="s">
        <v>2020</v>
      </c>
      <c r="BF5" s="5320" t="s">
        <v>2021</v>
      </c>
      <c r="BG5" s="237" t="s">
        <v>7300</v>
      </c>
      <c r="BH5" s="5321" t="s">
        <v>8458</v>
      </c>
      <c r="BI5" s="5322" t="s">
        <v>7301</v>
      </c>
    </row>
    <row r="6" spans="1:81" ht="12" thickBot="1">
      <c r="A6" s="130"/>
      <c r="B6" s="131"/>
      <c r="C6" s="74"/>
      <c r="D6" s="135"/>
      <c r="E6" s="106" t="s">
        <v>1005</v>
      </c>
      <c r="F6" s="107" t="s">
        <v>603</v>
      </c>
      <c r="G6" s="106" t="s">
        <v>236</v>
      </c>
      <c r="H6" s="107" t="s">
        <v>603</v>
      </c>
      <c r="I6" s="108" t="s">
        <v>477</v>
      </c>
      <c r="J6" s="109" t="s">
        <v>1277</v>
      </c>
      <c r="K6" s="10" t="s">
        <v>247</v>
      </c>
      <c r="L6" s="83" t="s">
        <v>1254</v>
      </c>
      <c r="M6" s="10" t="s">
        <v>247</v>
      </c>
      <c r="N6" s="5" t="s">
        <v>1254</v>
      </c>
      <c r="O6" s="10" t="s">
        <v>247</v>
      </c>
      <c r="P6" s="5" t="s">
        <v>1254</v>
      </c>
      <c r="Q6" s="10" t="s">
        <v>247</v>
      </c>
      <c r="R6" s="5" t="s">
        <v>1254</v>
      </c>
      <c r="S6" s="943" t="s">
        <v>247</v>
      </c>
      <c r="T6" s="944" t="s">
        <v>1254</v>
      </c>
      <c r="U6" s="943" t="s">
        <v>247</v>
      </c>
      <c r="V6" s="944" t="s">
        <v>1254</v>
      </c>
      <c r="W6" s="10" t="s">
        <v>247</v>
      </c>
      <c r="X6" s="5" t="s">
        <v>1254</v>
      </c>
      <c r="Y6" s="10" t="s">
        <v>247</v>
      </c>
      <c r="Z6" s="5" t="s">
        <v>1254</v>
      </c>
      <c r="AA6" s="10" t="s">
        <v>247</v>
      </c>
      <c r="AB6" s="24" t="s">
        <v>1254</v>
      </c>
      <c r="AC6" s="6684"/>
      <c r="AD6" s="158" t="s">
        <v>753</v>
      </c>
      <c r="AE6" s="140" t="s">
        <v>928</v>
      </c>
      <c r="AF6" s="142" t="s">
        <v>979</v>
      </c>
      <c r="AG6" s="6"/>
      <c r="AH6" s="36"/>
      <c r="AI6" s="120"/>
      <c r="AJ6" s="54" t="s">
        <v>247</v>
      </c>
      <c r="AK6" s="7" t="s">
        <v>1254</v>
      </c>
      <c r="AL6" s="38" t="s">
        <v>247</v>
      </c>
      <c r="AM6" s="7" t="s">
        <v>1254</v>
      </c>
      <c r="AN6" s="11" t="s">
        <v>247</v>
      </c>
      <c r="AO6" s="7" t="s">
        <v>1254</v>
      </c>
      <c r="AP6" s="11" t="s">
        <v>247</v>
      </c>
      <c r="AQ6" s="7" t="s">
        <v>1254</v>
      </c>
      <c r="AR6" s="939" t="s">
        <v>247</v>
      </c>
      <c r="AS6" s="940" t="s">
        <v>1254</v>
      </c>
      <c r="AT6" s="939" t="s">
        <v>247</v>
      </c>
      <c r="AU6" s="940" t="s">
        <v>1254</v>
      </c>
      <c r="AV6" s="11" t="s">
        <v>247</v>
      </c>
      <c r="AW6" s="7" t="s">
        <v>1254</v>
      </c>
      <c r="AX6" s="11" t="s">
        <v>247</v>
      </c>
      <c r="AY6" s="7" t="s">
        <v>1254</v>
      </c>
      <c r="AZ6" s="11" t="s">
        <v>247</v>
      </c>
      <c r="BA6" s="33" t="s">
        <v>1254</v>
      </c>
      <c r="BB6" s="6687"/>
    </row>
    <row r="7" spans="1:81" s="267" customFormat="1" ht="13.5" thickBot="1">
      <c r="A7" s="6249" t="s">
        <v>2257</v>
      </c>
      <c r="B7" s="269"/>
      <c r="C7" s="270"/>
      <c r="D7" s="271"/>
      <c r="E7" s="270"/>
      <c r="F7" s="272"/>
      <c r="G7" s="272"/>
      <c r="H7" s="270"/>
      <c r="I7" s="272"/>
      <c r="J7" s="272"/>
      <c r="K7" s="272"/>
      <c r="L7" s="272"/>
      <c r="M7" s="272"/>
      <c r="N7" s="274"/>
      <c r="O7" s="274"/>
      <c r="P7" s="272"/>
      <c r="Q7" s="275"/>
      <c r="R7" s="274"/>
      <c r="S7" s="272"/>
      <c r="T7" s="275"/>
      <c r="U7" s="274"/>
      <c r="V7" s="272"/>
      <c r="W7" s="272"/>
      <c r="X7" s="275"/>
      <c r="Y7" s="275"/>
      <c r="Z7" s="272"/>
      <c r="AA7" s="274"/>
      <c r="AB7" s="278"/>
      <c r="AC7" s="278"/>
      <c r="AD7" s="278"/>
      <c r="AE7" s="278"/>
      <c r="AF7" s="278"/>
      <c r="AG7" s="275"/>
      <c r="AH7" s="275"/>
      <c r="AI7" s="275"/>
      <c r="AJ7" s="275"/>
      <c r="AK7" s="275"/>
      <c r="AL7" s="275"/>
      <c r="AM7" s="1279"/>
      <c r="AN7" s="272"/>
      <c r="AO7" s="272"/>
      <c r="AP7" s="272"/>
      <c r="AQ7" s="272"/>
      <c r="AR7" s="272"/>
      <c r="AS7" s="272"/>
      <c r="AT7" s="272"/>
      <c r="AU7" s="272"/>
      <c r="AV7" s="272"/>
      <c r="AW7" s="272"/>
      <c r="AX7" s="272"/>
      <c r="AY7" s="272"/>
      <c r="AZ7" s="272"/>
      <c r="BA7" s="272"/>
      <c r="BB7" s="277"/>
      <c r="BC7" s="4015"/>
      <c r="BD7" s="307"/>
      <c r="BE7" s="307"/>
      <c r="BF7" s="307"/>
      <c r="BG7" s="307"/>
      <c r="BH7" s="307"/>
      <c r="BI7" s="307"/>
    </row>
    <row r="8" spans="1:81" ht="79.5" thickBot="1">
      <c r="A8" s="5323" t="s">
        <v>2418</v>
      </c>
      <c r="B8" s="1813" t="s">
        <v>2117</v>
      </c>
      <c r="C8" s="5324" t="s">
        <v>2110</v>
      </c>
      <c r="D8" s="5325" t="s">
        <v>233</v>
      </c>
      <c r="E8" s="5326" t="s">
        <v>895</v>
      </c>
      <c r="F8" s="5327" t="s">
        <v>7</v>
      </c>
      <c r="G8" s="5326" t="s">
        <v>404</v>
      </c>
      <c r="H8" s="5327" t="s">
        <v>403</v>
      </c>
      <c r="I8" s="5326" t="s">
        <v>435</v>
      </c>
      <c r="J8" s="5328" t="s">
        <v>841</v>
      </c>
      <c r="K8" s="5329">
        <v>15643</v>
      </c>
      <c r="L8" s="5330">
        <v>39783</v>
      </c>
      <c r="M8" s="5331">
        <v>64662</v>
      </c>
      <c r="N8" s="5332">
        <v>39783</v>
      </c>
      <c r="O8" s="5333"/>
      <c r="P8" s="5334" t="s">
        <v>1740</v>
      </c>
      <c r="Q8" s="5329">
        <v>69598</v>
      </c>
      <c r="R8" s="5330">
        <v>39783</v>
      </c>
      <c r="S8" s="1173">
        <v>86589</v>
      </c>
      <c r="T8" s="5335">
        <v>39783</v>
      </c>
      <c r="U8" s="1173">
        <v>75258</v>
      </c>
      <c r="V8" s="5336">
        <v>39783</v>
      </c>
      <c r="W8" s="5329"/>
      <c r="X8" s="5327"/>
      <c r="Y8" s="5329"/>
      <c r="Z8" s="5327"/>
      <c r="AA8" s="5329"/>
      <c r="AB8" s="5328"/>
      <c r="AC8" s="5337">
        <f t="shared" ref="AC8:AC39" si="0">K8+M8+O8+Q8+S8+U8+W8+Y8+AA8</f>
        <v>311750</v>
      </c>
      <c r="AD8" s="5338" t="s">
        <v>872</v>
      </c>
      <c r="AE8" s="5339" t="s">
        <v>1391</v>
      </c>
      <c r="AF8" s="5340" t="s">
        <v>1390</v>
      </c>
      <c r="AG8" s="5341" t="s">
        <v>1738</v>
      </c>
      <c r="AH8" s="5342">
        <v>41655</v>
      </c>
      <c r="AI8" s="5343">
        <v>1140834</v>
      </c>
      <c r="AJ8" s="5344">
        <v>17611</v>
      </c>
      <c r="AK8" s="5345">
        <v>41518</v>
      </c>
      <c r="AL8" s="4129">
        <v>72797</v>
      </c>
      <c r="AM8" s="5345">
        <v>41518</v>
      </c>
      <c r="AN8" s="5346">
        <f>39188-39188</f>
        <v>0</v>
      </c>
      <c r="AO8" s="5334" t="s">
        <v>1739</v>
      </c>
      <c r="AP8" s="5346">
        <v>78354</v>
      </c>
      <c r="AQ8" s="5345">
        <v>41518</v>
      </c>
      <c r="AR8" s="1184">
        <v>97483</v>
      </c>
      <c r="AS8" s="5347">
        <v>41518</v>
      </c>
      <c r="AT8" s="1184">
        <v>84726</v>
      </c>
      <c r="AU8" s="5347">
        <v>41518</v>
      </c>
      <c r="AV8" s="5346"/>
      <c r="AW8" s="5348"/>
      <c r="AX8" s="5346"/>
      <c r="AY8" s="5348"/>
      <c r="AZ8" s="5346"/>
      <c r="BA8" s="5349"/>
      <c r="BB8" s="5350">
        <f t="shared" ref="BB8:BB39" si="1">AJ8+AL8+AN8+AP8+AR8+AT8+AV8+AX8+AZ8</f>
        <v>350971</v>
      </c>
      <c r="BC8" s="5351" t="s">
        <v>1948</v>
      </c>
      <c r="BD8" s="756">
        <f>SUM(BB8)</f>
        <v>350971</v>
      </c>
      <c r="BE8" s="757">
        <f>BD8-BF8</f>
        <v>168762</v>
      </c>
      <c r="BF8" s="757">
        <f>AR8+AT8</f>
        <v>182209</v>
      </c>
    </row>
    <row r="9" spans="1:81" s="47" customFormat="1" ht="112.5">
      <c r="A9" s="1074" t="s">
        <v>2416</v>
      </c>
      <c r="B9" s="792" t="s">
        <v>661</v>
      </c>
      <c r="C9" s="793" t="s">
        <v>311</v>
      </c>
      <c r="D9" s="791" t="s">
        <v>788</v>
      </c>
      <c r="E9" s="794" t="s">
        <v>1036</v>
      </c>
      <c r="F9" s="795" t="s">
        <v>667</v>
      </c>
      <c r="G9" s="794" t="s">
        <v>514</v>
      </c>
      <c r="H9" s="795" t="s">
        <v>516</v>
      </c>
      <c r="I9" s="794" t="s">
        <v>229</v>
      </c>
      <c r="J9" s="796" t="s">
        <v>482</v>
      </c>
      <c r="K9" s="797"/>
      <c r="L9" s="798"/>
      <c r="M9" s="1086">
        <f>1332*1</f>
        <v>1332</v>
      </c>
      <c r="N9" s="800" t="s">
        <v>1875</v>
      </c>
      <c r="O9" s="797"/>
      <c r="P9" s="801"/>
      <c r="Q9" s="797"/>
      <c r="R9" s="798"/>
      <c r="S9" s="960"/>
      <c r="T9" s="961"/>
      <c r="U9" s="960"/>
      <c r="V9" s="962"/>
      <c r="W9" s="797"/>
      <c r="X9" s="795"/>
      <c r="Y9" s="797"/>
      <c r="Z9" s="795"/>
      <c r="AA9" s="797"/>
      <c r="AB9" s="796"/>
      <c r="AC9" s="802">
        <f t="shared" si="0"/>
        <v>1332</v>
      </c>
      <c r="AD9" s="1804" t="s">
        <v>1293</v>
      </c>
      <c r="AE9" s="1805" t="s">
        <v>698</v>
      </c>
      <c r="AF9" s="805">
        <v>40512</v>
      </c>
      <c r="AG9" s="806" t="s">
        <v>1878</v>
      </c>
      <c r="AH9" s="807" t="s">
        <v>1872</v>
      </c>
      <c r="AI9" s="808" t="s">
        <v>1873</v>
      </c>
      <c r="AJ9" s="809"/>
      <c r="AK9" s="812"/>
      <c r="AL9" s="811">
        <v>1576</v>
      </c>
      <c r="AM9" s="812" t="s">
        <v>1874</v>
      </c>
      <c r="AN9" s="813"/>
      <c r="AO9" s="810"/>
      <c r="AP9" s="813"/>
      <c r="AQ9" s="812"/>
      <c r="AR9" s="990"/>
      <c r="AS9" s="1228"/>
      <c r="AT9" s="990"/>
      <c r="AU9" s="1228"/>
      <c r="AV9" s="813"/>
      <c r="AW9" s="810"/>
      <c r="AX9" s="813"/>
      <c r="AY9" s="810"/>
      <c r="AZ9" s="813"/>
      <c r="BA9" s="814"/>
      <c r="BB9" s="815">
        <f t="shared" si="1"/>
        <v>1576</v>
      </c>
      <c r="BC9" s="238"/>
      <c r="BD9" s="55"/>
      <c r="BE9" s="55"/>
      <c r="BF9" s="55"/>
      <c r="BG9" s="4119"/>
      <c r="BH9" s="787"/>
      <c r="BI9" s="4120"/>
      <c r="BJ9" s="55"/>
      <c r="BK9" s="55"/>
      <c r="BL9" s="55"/>
      <c r="BM9" s="55"/>
      <c r="BN9" s="55"/>
      <c r="BO9" s="55"/>
      <c r="BP9" s="55"/>
      <c r="BQ9" s="55"/>
      <c r="BR9" s="55"/>
      <c r="BS9" s="55"/>
      <c r="BT9" s="55"/>
      <c r="BU9" s="55"/>
      <c r="BV9" s="55"/>
      <c r="BW9" s="55"/>
      <c r="BX9" s="55"/>
      <c r="BY9" s="55"/>
      <c r="BZ9" s="55"/>
      <c r="CA9" s="55"/>
      <c r="CB9" s="55"/>
      <c r="CC9" s="55"/>
    </row>
    <row r="10" spans="1:81" ht="56.25">
      <c r="A10" s="442" t="s">
        <v>1368</v>
      </c>
      <c r="B10" s="510" t="s">
        <v>1378</v>
      </c>
      <c r="C10" s="511" t="s">
        <v>1361</v>
      </c>
      <c r="D10" s="462" t="s">
        <v>1270</v>
      </c>
      <c r="E10" s="461" t="s">
        <v>1362</v>
      </c>
      <c r="F10" s="406" t="s">
        <v>1382</v>
      </c>
      <c r="G10" s="461" t="s">
        <v>1370</v>
      </c>
      <c r="H10" s="406" t="s">
        <v>1001</v>
      </c>
      <c r="I10" s="461" t="s">
        <v>1168</v>
      </c>
      <c r="J10" s="407" t="s">
        <v>1364</v>
      </c>
      <c r="K10" s="396">
        <v>4147</v>
      </c>
      <c r="L10" s="397">
        <v>41426</v>
      </c>
      <c r="M10" s="392">
        <v>42497</v>
      </c>
      <c r="N10" s="393">
        <v>41426</v>
      </c>
      <c r="O10" s="396"/>
      <c r="P10" s="415"/>
      <c r="Q10" s="396"/>
      <c r="R10" s="406"/>
      <c r="S10" s="948">
        <v>56901</v>
      </c>
      <c r="T10" s="949">
        <v>41426</v>
      </c>
      <c r="U10" s="948">
        <v>49452</v>
      </c>
      <c r="V10" s="950">
        <v>41426</v>
      </c>
      <c r="W10" s="396"/>
      <c r="X10" s="406"/>
      <c r="Y10" s="396"/>
      <c r="Z10" s="406"/>
      <c r="AA10" s="396"/>
      <c r="AB10" s="407"/>
      <c r="AC10" s="512">
        <f t="shared" si="0"/>
        <v>152997</v>
      </c>
      <c r="AD10" s="513" t="s">
        <v>1376</v>
      </c>
      <c r="AE10" s="602" t="s">
        <v>498</v>
      </c>
      <c r="AF10" s="465">
        <v>41811</v>
      </c>
      <c r="AG10" s="514" t="s">
        <v>1859</v>
      </c>
      <c r="AH10" s="515">
        <v>41709</v>
      </c>
      <c r="AI10" s="516">
        <v>1145433</v>
      </c>
      <c r="AJ10" s="439">
        <f>8799/2</f>
        <v>4399.5</v>
      </c>
      <c r="AK10" s="440">
        <v>41609</v>
      </c>
      <c r="AL10" s="445">
        <f>90166/2</f>
        <v>45083</v>
      </c>
      <c r="AM10" s="440">
        <v>41609</v>
      </c>
      <c r="AN10" s="441"/>
      <c r="AO10" s="466"/>
      <c r="AP10" s="441"/>
      <c r="AQ10" s="466"/>
      <c r="AR10" s="982">
        <f>120727/2</f>
        <v>60363.5</v>
      </c>
      <c r="AS10" s="983">
        <v>41609</v>
      </c>
      <c r="AT10" s="982">
        <f>104922/2</f>
        <v>52461</v>
      </c>
      <c r="AU10" s="983">
        <v>41609</v>
      </c>
      <c r="AV10" s="441"/>
      <c r="AW10" s="466"/>
      <c r="AX10" s="441"/>
      <c r="AY10" s="466"/>
      <c r="AZ10" s="441"/>
      <c r="BA10" s="467"/>
      <c r="BB10" s="517">
        <f t="shared" si="1"/>
        <v>162307</v>
      </c>
      <c r="BC10" s="216"/>
      <c r="BD10" s="87"/>
    </row>
    <row r="11" spans="1:81" ht="56.25">
      <c r="A11" s="442" t="s">
        <v>1369</v>
      </c>
      <c r="B11" s="510" t="s">
        <v>1380</v>
      </c>
      <c r="C11" s="511" t="s">
        <v>1367</v>
      </c>
      <c r="D11" s="462" t="s">
        <v>1270</v>
      </c>
      <c r="E11" s="461" t="s">
        <v>1362</v>
      </c>
      <c r="F11" s="406" t="s">
        <v>1382</v>
      </c>
      <c r="G11" s="461" t="s">
        <v>1370</v>
      </c>
      <c r="H11" s="406" t="s">
        <v>1001</v>
      </c>
      <c r="I11" s="461" t="s">
        <v>1168</v>
      </c>
      <c r="J11" s="407" t="s">
        <v>1365</v>
      </c>
      <c r="K11" s="396">
        <v>4147</v>
      </c>
      <c r="L11" s="397">
        <v>41426</v>
      </c>
      <c r="M11" s="392">
        <v>42497</v>
      </c>
      <c r="N11" s="393">
        <v>41426</v>
      </c>
      <c r="O11" s="396"/>
      <c r="P11" s="415"/>
      <c r="Q11" s="396"/>
      <c r="R11" s="406"/>
      <c r="S11" s="948">
        <v>56901</v>
      </c>
      <c r="T11" s="949">
        <v>41426</v>
      </c>
      <c r="U11" s="948">
        <v>49452</v>
      </c>
      <c r="V11" s="950">
        <v>41426</v>
      </c>
      <c r="W11" s="396"/>
      <c r="X11" s="406"/>
      <c r="Y11" s="396"/>
      <c r="Z11" s="406"/>
      <c r="AA11" s="396"/>
      <c r="AB11" s="407"/>
      <c r="AC11" s="512">
        <f t="shared" si="0"/>
        <v>152997</v>
      </c>
      <c r="AD11" s="513" t="s">
        <v>1376</v>
      </c>
      <c r="AE11" s="602" t="s">
        <v>1377</v>
      </c>
      <c r="AF11" s="629" t="s">
        <v>1383</v>
      </c>
      <c r="AG11" s="514" t="s">
        <v>1859</v>
      </c>
      <c r="AH11" s="515">
        <v>41709</v>
      </c>
      <c r="AI11" s="516">
        <v>1145433</v>
      </c>
      <c r="AJ11" s="439">
        <f>8799/2</f>
        <v>4399.5</v>
      </c>
      <c r="AK11" s="440">
        <v>41609</v>
      </c>
      <c r="AL11" s="445">
        <f>90166/2</f>
        <v>45083</v>
      </c>
      <c r="AM11" s="440">
        <v>41609</v>
      </c>
      <c r="AN11" s="441"/>
      <c r="AO11" s="466"/>
      <c r="AP11" s="441"/>
      <c r="AQ11" s="466"/>
      <c r="AR11" s="982">
        <f>120727/2</f>
        <v>60363.5</v>
      </c>
      <c r="AS11" s="983">
        <v>41609</v>
      </c>
      <c r="AT11" s="982">
        <f>104922/2</f>
        <v>52461</v>
      </c>
      <c r="AU11" s="983">
        <v>41609</v>
      </c>
      <c r="AV11" s="441"/>
      <c r="AW11" s="466"/>
      <c r="AX11" s="441"/>
      <c r="AY11" s="466"/>
      <c r="AZ11" s="441"/>
      <c r="BA11" s="467"/>
      <c r="BB11" s="517">
        <f t="shared" si="1"/>
        <v>162307</v>
      </c>
      <c r="BC11" s="4016"/>
      <c r="BD11" s="87"/>
    </row>
    <row r="12" spans="1:81" ht="56.25">
      <c r="A12" s="462" t="s">
        <v>2419</v>
      </c>
      <c r="B12" s="510" t="s">
        <v>638</v>
      </c>
      <c r="C12" s="511" t="s">
        <v>639</v>
      </c>
      <c r="D12" s="462" t="s">
        <v>1330</v>
      </c>
      <c r="E12" s="461" t="s">
        <v>640</v>
      </c>
      <c r="F12" s="406" t="s">
        <v>1283</v>
      </c>
      <c r="G12" s="461" t="s">
        <v>539</v>
      </c>
      <c r="H12" s="406" t="s">
        <v>540</v>
      </c>
      <c r="I12" s="461" t="s">
        <v>1168</v>
      </c>
      <c r="J12" s="407" t="s">
        <v>536</v>
      </c>
      <c r="K12" s="396"/>
      <c r="L12" s="397"/>
      <c r="M12" s="392">
        <v>500</v>
      </c>
      <c r="N12" s="393" t="s">
        <v>1890</v>
      </c>
      <c r="O12" s="396"/>
      <c r="P12" s="415"/>
      <c r="Q12" s="396"/>
      <c r="R12" s="406"/>
      <c r="S12" s="948"/>
      <c r="T12" s="951"/>
      <c r="U12" s="948"/>
      <c r="V12" s="952"/>
      <c r="W12" s="396"/>
      <c r="X12" s="406"/>
      <c r="Y12" s="396"/>
      <c r="Z12" s="406"/>
      <c r="AA12" s="396"/>
      <c r="AB12" s="407"/>
      <c r="AC12" s="512">
        <f t="shared" si="0"/>
        <v>500</v>
      </c>
      <c r="AD12" s="634" t="s">
        <v>269</v>
      </c>
      <c r="AE12" s="464">
        <v>40350</v>
      </c>
      <c r="AF12" s="465">
        <v>41081</v>
      </c>
      <c r="AG12" s="514" t="s">
        <v>1888</v>
      </c>
      <c r="AH12" s="515">
        <v>41717</v>
      </c>
      <c r="AI12" s="516">
        <v>1145782</v>
      </c>
      <c r="AJ12" s="439"/>
      <c r="AK12" s="466"/>
      <c r="AL12" s="445">
        <v>500</v>
      </c>
      <c r="AM12" s="466" t="s">
        <v>1901</v>
      </c>
      <c r="AN12" s="441"/>
      <c r="AO12" s="466"/>
      <c r="AP12" s="441"/>
      <c r="AQ12" s="466"/>
      <c r="AR12" s="982"/>
      <c r="AS12" s="984"/>
      <c r="AT12" s="982"/>
      <c r="AU12" s="984"/>
      <c r="AV12" s="441"/>
      <c r="AW12" s="466"/>
      <c r="AX12" s="441"/>
      <c r="AY12" s="466"/>
      <c r="AZ12" s="441"/>
      <c r="BA12" s="467"/>
      <c r="BB12" s="517">
        <f t="shared" si="1"/>
        <v>500</v>
      </c>
      <c r="BC12" s="216"/>
      <c r="BD12" s="87"/>
    </row>
    <row r="13" spans="1:81" ht="56.25">
      <c r="A13" s="462" t="s">
        <v>2420</v>
      </c>
      <c r="B13" s="510" t="s">
        <v>460</v>
      </c>
      <c r="C13" s="511" t="s">
        <v>787</v>
      </c>
      <c r="D13" s="462" t="s">
        <v>1330</v>
      </c>
      <c r="E13" s="461" t="s">
        <v>413</v>
      </c>
      <c r="F13" s="406" t="s">
        <v>711</v>
      </c>
      <c r="G13" s="461" t="s">
        <v>162</v>
      </c>
      <c r="H13" s="406" t="s">
        <v>163</v>
      </c>
      <c r="I13" s="461" t="s">
        <v>1257</v>
      </c>
      <c r="J13" s="407" t="s">
        <v>536</v>
      </c>
      <c r="K13" s="396"/>
      <c r="L13" s="397"/>
      <c r="M13" s="392">
        <v>2946</v>
      </c>
      <c r="N13" s="393">
        <v>39692</v>
      </c>
      <c r="O13" s="396"/>
      <c r="P13" s="415"/>
      <c r="Q13" s="396"/>
      <c r="R13" s="406"/>
      <c r="S13" s="948"/>
      <c r="T13" s="951"/>
      <c r="U13" s="948"/>
      <c r="V13" s="952"/>
      <c r="W13" s="396"/>
      <c r="X13" s="406"/>
      <c r="Y13" s="396"/>
      <c r="Z13" s="406"/>
      <c r="AA13" s="396"/>
      <c r="AB13" s="407"/>
      <c r="AC13" s="512">
        <f t="shared" si="0"/>
        <v>2946</v>
      </c>
      <c r="AD13" s="463" t="s">
        <v>269</v>
      </c>
      <c r="AE13" s="464">
        <v>39829</v>
      </c>
      <c r="AF13" s="465">
        <v>40551</v>
      </c>
      <c r="AG13" s="514" t="s">
        <v>1889</v>
      </c>
      <c r="AH13" s="515">
        <v>41717</v>
      </c>
      <c r="AI13" s="516">
        <v>1145833</v>
      </c>
      <c r="AJ13" s="439"/>
      <c r="AK13" s="466"/>
      <c r="AL13" s="445">
        <v>4829</v>
      </c>
      <c r="AM13" s="440">
        <v>41609</v>
      </c>
      <c r="AN13" s="441"/>
      <c r="AO13" s="466"/>
      <c r="AP13" s="441"/>
      <c r="AQ13" s="466"/>
      <c r="AR13" s="982"/>
      <c r="AS13" s="984"/>
      <c r="AT13" s="982"/>
      <c r="AU13" s="984"/>
      <c r="AV13" s="441"/>
      <c r="AW13" s="466"/>
      <c r="AX13" s="441"/>
      <c r="AY13" s="466"/>
      <c r="AZ13" s="441"/>
      <c r="BA13" s="467"/>
      <c r="BB13" s="517">
        <f t="shared" si="1"/>
        <v>4829</v>
      </c>
      <c r="BC13" s="216"/>
      <c r="BD13" s="87"/>
    </row>
    <row r="14" spans="1:81" s="47" customFormat="1" ht="78.75">
      <c r="A14" s="462" t="s">
        <v>2421</v>
      </c>
      <c r="B14" s="510" t="s">
        <v>319</v>
      </c>
      <c r="C14" s="511" t="s">
        <v>207</v>
      </c>
      <c r="D14" s="462" t="s">
        <v>1330</v>
      </c>
      <c r="E14" s="461" t="s">
        <v>840</v>
      </c>
      <c r="F14" s="406" t="s">
        <v>533</v>
      </c>
      <c r="G14" s="461" t="s">
        <v>444</v>
      </c>
      <c r="H14" s="406" t="s">
        <v>785</v>
      </c>
      <c r="I14" s="461" t="s">
        <v>1257</v>
      </c>
      <c r="J14" s="407" t="s">
        <v>581</v>
      </c>
      <c r="K14" s="396"/>
      <c r="L14" s="397"/>
      <c r="M14" s="392"/>
      <c r="N14" s="393" t="s">
        <v>1899</v>
      </c>
      <c r="O14" s="396"/>
      <c r="P14" s="415"/>
      <c r="Q14" s="396"/>
      <c r="R14" s="406"/>
      <c r="S14" s="948"/>
      <c r="T14" s="951"/>
      <c r="U14" s="948"/>
      <c r="V14" s="952"/>
      <c r="W14" s="396"/>
      <c r="X14" s="406"/>
      <c r="Y14" s="396"/>
      <c r="Z14" s="406"/>
      <c r="AA14" s="396"/>
      <c r="AB14" s="407"/>
      <c r="AC14" s="512">
        <f t="shared" si="0"/>
        <v>0</v>
      </c>
      <c r="AD14" s="513" t="s">
        <v>779</v>
      </c>
      <c r="AE14" s="464">
        <v>38958</v>
      </c>
      <c r="AF14" s="465">
        <v>39684</v>
      </c>
      <c r="AG14" s="524" t="s">
        <v>1898</v>
      </c>
      <c r="AH14" s="525">
        <v>41722</v>
      </c>
      <c r="AI14" s="526">
        <v>1146009</v>
      </c>
      <c r="AJ14" s="403"/>
      <c r="AK14" s="408"/>
      <c r="AL14" s="416">
        <v>3639</v>
      </c>
      <c r="AM14" s="408" t="s">
        <v>1900</v>
      </c>
      <c r="AN14" s="405"/>
      <c r="AO14" s="408"/>
      <c r="AP14" s="405"/>
      <c r="AQ14" s="408"/>
      <c r="AR14" s="935"/>
      <c r="AS14" s="936"/>
      <c r="AT14" s="935"/>
      <c r="AU14" s="936"/>
      <c r="AV14" s="405"/>
      <c r="AW14" s="408"/>
      <c r="AX14" s="405"/>
      <c r="AY14" s="408"/>
      <c r="AZ14" s="405"/>
      <c r="BA14" s="409"/>
      <c r="BB14" s="517">
        <f t="shared" si="1"/>
        <v>3639</v>
      </c>
      <c r="BC14" s="238"/>
      <c r="BD14" s="87"/>
      <c r="BE14" s="87"/>
      <c r="BF14" s="87"/>
      <c r="BG14" s="4119"/>
      <c r="BH14" s="787"/>
      <c r="BI14" s="86"/>
      <c r="BJ14" s="87"/>
      <c r="BK14" s="87"/>
      <c r="BL14" s="87"/>
      <c r="BM14" s="87"/>
      <c r="BN14" s="87"/>
      <c r="BO14" s="87"/>
      <c r="BP14" s="87"/>
      <c r="BQ14" s="87"/>
      <c r="BR14" s="87"/>
      <c r="BS14" s="87"/>
      <c r="BT14" s="87"/>
      <c r="BU14" s="87"/>
      <c r="BV14" s="87"/>
      <c r="BW14" s="87"/>
      <c r="BX14" s="87"/>
      <c r="BY14" s="87"/>
      <c r="BZ14" s="87"/>
    </row>
    <row r="15" spans="1:81" ht="90">
      <c r="A15" s="462" t="s">
        <v>2422</v>
      </c>
      <c r="B15" s="510" t="s">
        <v>508</v>
      </c>
      <c r="C15" s="511" t="s">
        <v>1010</v>
      </c>
      <c r="D15" s="462" t="s">
        <v>1330</v>
      </c>
      <c r="E15" s="461" t="s">
        <v>251</v>
      </c>
      <c r="F15" s="406" t="s">
        <v>821</v>
      </c>
      <c r="G15" s="461" t="s">
        <v>204</v>
      </c>
      <c r="H15" s="406" t="s">
        <v>1027</v>
      </c>
      <c r="I15" s="461" t="s">
        <v>1257</v>
      </c>
      <c r="J15" s="407" t="s">
        <v>536</v>
      </c>
      <c r="K15" s="396"/>
      <c r="L15" s="397"/>
      <c r="M15" s="392">
        <v>2905</v>
      </c>
      <c r="N15" s="393">
        <v>39600</v>
      </c>
      <c r="O15" s="396"/>
      <c r="P15" s="415"/>
      <c r="Q15" s="396"/>
      <c r="R15" s="406"/>
      <c r="S15" s="948"/>
      <c r="T15" s="951"/>
      <c r="U15" s="948"/>
      <c r="V15" s="952"/>
      <c r="W15" s="396"/>
      <c r="X15" s="406"/>
      <c r="Y15" s="396"/>
      <c r="Z15" s="406"/>
      <c r="AA15" s="396"/>
      <c r="AB15" s="407"/>
      <c r="AC15" s="512">
        <f t="shared" si="0"/>
        <v>2905</v>
      </c>
      <c r="AD15" s="463" t="s">
        <v>269</v>
      </c>
      <c r="AE15" s="464">
        <v>39686</v>
      </c>
      <c r="AF15" s="465">
        <v>40416</v>
      </c>
      <c r="AG15" s="514" t="s">
        <v>1061</v>
      </c>
      <c r="AH15" s="515">
        <v>41723</v>
      </c>
      <c r="AI15" s="516">
        <v>1146077</v>
      </c>
      <c r="AJ15" s="439"/>
      <c r="AK15" s="466"/>
      <c r="AL15" s="445">
        <v>3335</v>
      </c>
      <c r="AM15" s="440">
        <v>41609</v>
      </c>
      <c r="AN15" s="441"/>
      <c r="AO15" s="466"/>
      <c r="AP15" s="441"/>
      <c r="AQ15" s="466"/>
      <c r="AR15" s="982"/>
      <c r="AS15" s="984"/>
      <c r="AT15" s="982"/>
      <c r="AU15" s="984"/>
      <c r="AV15" s="441"/>
      <c r="AW15" s="466"/>
      <c r="AX15" s="441"/>
      <c r="AY15" s="466"/>
      <c r="AZ15" s="441"/>
      <c r="BA15" s="467"/>
      <c r="BB15" s="517">
        <f t="shared" si="1"/>
        <v>3335</v>
      </c>
      <c r="BC15" s="216"/>
      <c r="BD15" s="87"/>
      <c r="BE15" s="87"/>
      <c r="BF15" s="87"/>
      <c r="BI15" s="86"/>
      <c r="BJ15" s="87"/>
      <c r="BK15" s="87"/>
      <c r="BL15" s="87"/>
      <c r="BM15" s="87"/>
      <c r="BN15" s="87"/>
      <c r="BO15" s="87"/>
      <c r="BP15" s="87"/>
      <c r="BQ15" s="87"/>
      <c r="BR15" s="87"/>
      <c r="BS15" s="87"/>
      <c r="BT15" s="87"/>
      <c r="BU15" s="87"/>
      <c r="BV15" s="87"/>
      <c r="BW15" s="87"/>
      <c r="BX15" s="87"/>
      <c r="BY15" s="87"/>
      <c r="BZ15" s="87"/>
    </row>
    <row r="16" spans="1:81" ht="67.5">
      <c r="A16" s="462" t="s">
        <v>2423</v>
      </c>
      <c r="B16" s="510" t="s">
        <v>658</v>
      </c>
      <c r="C16" s="511" t="s">
        <v>659</v>
      </c>
      <c r="D16" s="462" t="s">
        <v>1330</v>
      </c>
      <c r="E16" s="461" t="s">
        <v>660</v>
      </c>
      <c r="F16" s="406" t="s">
        <v>1002</v>
      </c>
      <c r="G16" s="461" t="s">
        <v>950</v>
      </c>
      <c r="H16" s="406" t="s">
        <v>820</v>
      </c>
      <c r="I16" s="461" t="s">
        <v>1257</v>
      </c>
      <c r="J16" s="407" t="s">
        <v>536</v>
      </c>
      <c r="K16" s="396"/>
      <c r="L16" s="397"/>
      <c r="M16" s="392">
        <v>3013</v>
      </c>
      <c r="N16" s="393">
        <v>40148</v>
      </c>
      <c r="O16" s="396"/>
      <c r="P16" s="415"/>
      <c r="Q16" s="396"/>
      <c r="R16" s="406"/>
      <c r="S16" s="948"/>
      <c r="T16" s="951"/>
      <c r="U16" s="948"/>
      <c r="V16" s="952"/>
      <c r="W16" s="396"/>
      <c r="X16" s="406"/>
      <c r="Y16" s="396"/>
      <c r="Z16" s="406"/>
      <c r="AA16" s="396"/>
      <c r="AB16" s="407"/>
      <c r="AC16" s="512">
        <f t="shared" si="0"/>
        <v>3013</v>
      </c>
      <c r="AD16" s="463" t="s">
        <v>269</v>
      </c>
      <c r="AE16" s="464">
        <v>40207</v>
      </c>
      <c r="AF16" s="465">
        <v>40937</v>
      </c>
      <c r="AG16" s="514" t="s">
        <v>909</v>
      </c>
      <c r="AH16" s="515">
        <v>41724</v>
      </c>
      <c r="AI16" s="516">
        <v>1146120</v>
      </c>
      <c r="AJ16" s="439"/>
      <c r="AK16" s="466"/>
      <c r="AL16" s="445">
        <v>3474</v>
      </c>
      <c r="AM16" s="408" t="s">
        <v>1902</v>
      </c>
      <c r="AN16" s="441"/>
      <c r="AO16" s="466"/>
      <c r="AP16" s="441"/>
      <c r="AQ16" s="466"/>
      <c r="AR16" s="982"/>
      <c r="AS16" s="984"/>
      <c r="AT16" s="982"/>
      <c r="AU16" s="984"/>
      <c r="AV16" s="441"/>
      <c r="AW16" s="466"/>
      <c r="AX16" s="441"/>
      <c r="AY16" s="466"/>
      <c r="AZ16" s="441"/>
      <c r="BA16" s="467"/>
      <c r="BB16" s="517">
        <f t="shared" si="1"/>
        <v>3474</v>
      </c>
      <c r="BC16" s="216"/>
      <c r="BD16" s="87"/>
      <c r="BE16" s="87"/>
      <c r="BF16" s="87"/>
      <c r="BI16" s="86"/>
      <c r="BJ16" s="87"/>
      <c r="BK16" s="87"/>
      <c r="BL16" s="87"/>
      <c r="BM16" s="87"/>
      <c r="BN16" s="87"/>
      <c r="BO16" s="87"/>
      <c r="BP16" s="87"/>
      <c r="BQ16" s="87"/>
      <c r="BR16" s="87"/>
      <c r="BS16" s="87"/>
      <c r="BT16" s="87"/>
      <c r="BU16" s="87"/>
      <c r="BV16" s="87"/>
      <c r="BW16" s="87"/>
      <c r="BX16" s="87"/>
    </row>
    <row r="17" spans="1:84" ht="67.5">
      <c r="A17" s="462" t="s">
        <v>2424</v>
      </c>
      <c r="B17" s="510" t="s">
        <v>748</v>
      </c>
      <c r="C17" s="511" t="s">
        <v>749</v>
      </c>
      <c r="D17" s="462" t="s">
        <v>1330</v>
      </c>
      <c r="E17" s="461" t="s">
        <v>380</v>
      </c>
      <c r="F17" s="406" t="s">
        <v>750</v>
      </c>
      <c r="G17" s="461" t="s">
        <v>751</v>
      </c>
      <c r="H17" s="406" t="s">
        <v>931</v>
      </c>
      <c r="I17" s="461" t="s">
        <v>1257</v>
      </c>
      <c r="J17" s="407" t="s">
        <v>536</v>
      </c>
      <c r="K17" s="396"/>
      <c r="L17" s="397"/>
      <c r="M17" s="392">
        <v>2329</v>
      </c>
      <c r="N17" s="393">
        <v>40057</v>
      </c>
      <c r="O17" s="396"/>
      <c r="P17" s="415"/>
      <c r="Q17" s="396"/>
      <c r="R17" s="406"/>
      <c r="S17" s="948"/>
      <c r="T17" s="951"/>
      <c r="U17" s="948"/>
      <c r="V17" s="952"/>
      <c r="W17" s="396"/>
      <c r="X17" s="406"/>
      <c r="Y17" s="396"/>
      <c r="Z17" s="406"/>
      <c r="AA17" s="396"/>
      <c r="AB17" s="407"/>
      <c r="AC17" s="512">
        <f t="shared" si="0"/>
        <v>2329</v>
      </c>
      <c r="AD17" s="463" t="s">
        <v>269</v>
      </c>
      <c r="AE17" s="464">
        <v>40156</v>
      </c>
      <c r="AF17" s="465">
        <v>40886</v>
      </c>
      <c r="AG17" s="514" t="s">
        <v>909</v>
      </c>
      <c r="AH17" s="515">
        <v>41726</v>
      </c>
      <c r="AI17" s="516">
        <v>1146256</v>
      </c>
      <c r="AJ17" s="439"/>
      <c r="AK17" s="466"/>
      <c r="AL17" s="445">
        <v>2694</v>
      </c>
      <c r="AM17" s="466" t="s">
        <v>1904</v>
      </c>
      <c r="AN17" s="441"/>
      <c r="AO17" s="466"/>
      <c r="AP17" s="441"/>
      <c r="AQ17" s="466"/>
      <c r="AR17" s="982"/>
      <c r="AS17" s="984"/>
      <c r="AT17" s="982"/>
      <c r="AU17" s="984"/>
      <c r="AV17" s="441"/>
      <c r="AW17" s="466"/>
      <c r="AX17" s="441"/>
      <c r="AY17" s="466"/>
      <c r="AZ17" s="441"/>
      <c r="BA17" s="467"/>
      <c r="BB17" s="517">
        <f t="shared" si="1"/>
        <v>2694</v>
      </c>
      <c r="BC17" s="216"/>
      <c r="BD17" s="87"/>
      <c r="BE17" s="87"/>
      <c r="BF17" s="87"/>
      <c r="BI17" s="86"/>
      <c r="BJ17" s="87"/>
      <c r="BK17" s="87"/>
      <c r="BL17" s="87"/>
      <c r="BM17" s="87"/>
      <c r="BN17" s="87"/>
      <c r="BO17" s="87"/>
      <c r="BP17" s="87"/>
      <c r="BQ17" s="87"/>
      <c r="BR17" s="87"/>
      <c r="BS17" s="87"/>
      <c r="BT17" s="87"/>
      <c r="BU17" s="87"/>
      <c r="BV17" s="87"/>
      <c r="BW17" s="87"/>
      <c r="BX17" s="87"/>
    </row>
    <row r="18" spans="1:84" s="47" customFormat="1" ht="90">
      <c r="A18" s="462" t="s">
        <v>2425</v>
      </c>
      <c r="B18" s="510" t="s">
        <v>21</v>
      </c>
      <c r="C18" s="511" t="s">
        <v>1336</v>
      </c>
      <c r="D18" s="462" t="s">
        <v>788</v>
      </c>
      <c r="E18" s="461" t="s">
        <v>1099</v>
      </c>
      <c r="F18" s="406" t="s">
        <v>1028</v>
      </c>
      <c r="G18" s="461" t="s">
        <v>1085</v>
      </c>
      <c r="H18" s="406" t="s">
        <v>982</v>
      </c>
      <c r="I18" s="461" t="s">
        <v>1915</v>
      </c>
      <c r="J18" s="407" t="s">
        <v>1914</v>
      </c>
      <c r="K18" s="638">
        <v>534</v>
      </c>
      <c r="L18" s="397" t="s">
        <v>16</v>
      </c>
      <c r="M18" s="639"/>
      <c r="N18" s="393" t="s">
        <v>1910</v>
      </c>
      <c r="O18" s="396"/>
      <c r="P18" s="415"/>
      <c r="Q18" s="638">
        <v>528</v>
      </c>
      <c r="R18" s="397" t="s">
        <v>17</v>
      </c>
      <c r="S18" s="953">
        <v>1195</v>
      </c>
      <c r="T18" s="949" t="s">
        <v>17</v>
      </c>
      <c r="U18" s="953">
        <v>1448</v>
      </c>
      <c r="V18" s="950">
        <v>39965</v>
      </c>
      <c r="W18" s="396"/>
      <c r="X18" s="406"/>
      <c r="Y18" s="396"/>
      <c r="Z18" s="397"/>
      <c r="AA18" s="396"/>
      <c r="AB18" s="407"/>
      <c r="AC18" s="512">
        <f t="shared" si="0"/>
        <v>3705</v>
      </c>
      <c r="AD18" s="513" t="s">
        <v>1282</v>
      </c>
      <c r="AE18" s="464">
        <v>40059</v>
      </c>
      <c r="AF18" s="465">
        <v>40265</v>
      </c>
      <c r="AG18" s="524" t="s">
        <v>1993</v>
      </c>
      <c r="AH18" s="525" t="s">
        <v>1994</v>
      </c>
      <c r="AI18" s="526" t="s">
        <v>1995</v>
      </c>
      <c r="AJ18" s="403">
        <v>601</v>
      </c>
      <c r="AK18" s="404">
        <v>41609</v>
      </c>
      <c r="AL18" s="416">
        <v>1766</v>
      </c>
      <c r="AM18" s="404" t="s">
        <v>1909</v>
      </c>
      <c r="AN18" s="405"/>
      <c r="AO18" s="408"/>
      <c r="AP18" s="405">
        <v>595</v>
      </c>
      <c r="AQ18" s="404">
        <v>41609</v>
      </c>
      <c r="AR18" s="935">
        <v>1345</v>
      </c>
      <c r="AS18" s="981">
        <v>41609</v>
      </c>
      <c r="AT18" s="935">
        <v>1630</v>
      </c>
      <c r="AU18" s="981">
        <v>41609</v>
      </c>
      <c r="AV18" s="405"/>
      <c r="AW18" s="408"/>
      <c r="AX18" s="405"/>
      <c r="AY18" s="404"/>
      <c r="AZ18" s="405"/>
      <c r="BA18" s="409"/>
      <c r="BB18" s="517">
        <f t="shared" si="1"/>
        <v>5937</v>
      </c>
      <c r="BC18" s="238"/>
      <c r="BD18" s="87"/>
      <c r="BE18" s="87"/>
      <c r="BF18" s="87"/>
      <c r="BG18" s="4119"/>
      <c r="BH18" s="787"/>
      <c r="BI18" s="86"/>
      <c r="BJ18" s="87"/>
      <c r="BK18" s="87"/>
      <c r="BL18" s="87"/>
      <c r="BM18" s="87"/>
      <c r="BN18" s="87"/>
      <c r="BO18" s="87"/>
      <c r="BP18" s="87"/>
      <c r="BQ18" s="87"/>
      <c r="BR18" s="87"/>
      <c r="BS18" s="87"/>
      <c r="BT18" s="87"/>
      <c r="BU18" s="87"/>
      <c r="BV18" s="87"/>
      <c r="BW18" s="87"/>
      <c r="BX18" s="87"/>
      <c r="BY18" s="55"/>
      <c r="BZ18" s="55"/>
      <c r="CA18" s="55"/>
      <c r="CB18" s="55"/>
      <c r="CC18" s="55"/>
      <c r="CD18" s="55"/>
      <c r="CE18" s="55"/>
      <c r="CF18" s="55"/>
    </row>
    <row r="19" spans="1:84" s="47" customFormat="1" ht="191.25">
      <c r="A19" s="894" t="s">
        <v>2426</v>
      </c>
      <c r="B19" s="510" t="s">
        <v>551</v>
      </c>
      <c r="C19" s="511" t="s">
        <v>1747</v>
      </c>
      <c r="D19" s="462" t="s">
        <v>788</v>
      </c>
      <c r="E19" s="461" t="s">
        <v>88</v>
      </c>
      <c r="F19" s="406" t="s">
        <v>469</v>
      </c>
      <c r="G19" s="461" t="s">
        <v>1207</v>
      </c>
      <c r="H19" s="406" t="s">
        <v>933</v>
      </c>
      <c r="I19" s="461" t="s">
        <v>1129</v>
      </c>
      <c r="J19" s="407" t="s">
        <v>131</v>
      </c>
      <c r="K19" s="396"/>
      <c r="L19" s="397"/>
      <c r="M19" s="600">
        <v>420</v>
      </c>
      <c r="N19" s="648" t="s">
        <v>1917</v>
      </c>
      <c r="O19" s="396"/>
      <c r="P19" s="399" t="s">
        <v>235</v>
      </c>
      <c r="Q19" s="396"/>
      <c r="R19" s="406"/>
      <c r="S19" s="948"/>
      <c r="T19" s="949" t="s">
        <v>1757</v>
      </c>
      <c r="U19" s="948"/>
      <c r="V19" s="949" t="s">
        <v>1758</v>
      </c>
      <c r="W19" s="649">
        <v>2768</v>
      </c>
      <c r="X19" s="648" t="s">
        <v>8141</v>
      </c>
      <c r="Y19" s="396"/>
      <c r="Z19" s="398" t="s">
        <v>1759</v>
      </c>
      <c r="AA19" s="396"/>
      <c r="AB19" s="407"/>
      <c r="AC19" s="512">
        <f t="shared" si="0"/>
        <v>3188</v>
      </c>
      <c r="AD19" s="601" t="s">
        <v>448</v>
      </c>
      <c r="AE19" s="602" t="s">
        <v>694</v>
      </c>
      <c r="AF19" s="465" t="s">
        <v>523</v>
      </c>
      <c r="AG19" s="650" t="s">
        <v>1924</v>
      </c>
      <c r="AH19" s="525" t="s">
        <v>1923</v>
      </c>
      <c r="AI19" s="526" t="s">
        <v>1922</v>
      </c>
      <c r="AJ19" s="403"/>
      <c r="AK19" s="408"/>
      <c r="AL19" s="416">
        <v>420</v>
      </c>
      <c r="AM19" s="212" t="s">
        <v>2022</v>
      </c>
      <c r="AN19" s="405"/>
      <c r="AO19" s="408"/>
      <c r="AP19" s="405"/>
      <c r="AQ19" s="408"/>
      <c r="AR19" s="935"/>
      <c r="AS19" s="981" t="s">
        <v>1919</v>
      </c>
      <c r="AT19" s="935"/>
      <c r="AU19" s="981" t="s">
        <v>1918</v>
      </c>
      <c r="AV19" s="405">
        <v>2768</v>
      </c>
      <c r="AW19" s="404" t="s">
        <v>1920</v>
      </c>
      <c r="AX19" s="405"/>
      <c r="AY19" s="404" t="s">
        <v>1921</v>
      </c>
      <c r="AZ19" s="405"/>
      <c r="BA19" s="409"/>
      <c r="BB19" s="517">
        <f t="shared" si="1"/>
        <v>3188</v>
      </c>
      <c r="BC19" s="238"/>
      <c r="BD19" s="55"/>
      <c r="BE19" s="55"/>
      <c r="BF19" s="55"/>
      <c r="BG19" s="4119"/>
      <c r="BH19" s="787"/>
      <c r="BI19" s="4120"/>
      <c r="BJ19" s="55"/>
      <c r="BK19" s="55"/>
      <c r="BL19" s="55"/>
      <c r="BM19" s="55"/>
      <c r="BN19" s="55"/>
      <c r="BO19" s="55"/>
      <c r="BP19" s="55"/>
      <c r="BQ19" s="55"/>
      <c r="BR19" s="55"/>
      <c r="BS19" s="55"/>
      <c r="BT19" s="55"/>
      <c r="BU19" s="55"/>
      <c r="BV19" s="55"/>
      <c r="BW19" s="55"/>
      <c r="BX19" s="55"/>
    </row>
    <row r="20" spans="1:84" ht="78.75">
      <c r="A20" s="462" t="s">
        <v>2427</v>
      </c>
      <c r="B20" s="510" t="s">
        <v>638</v>
      </c>
      <c r="C20" s="511" t="s">
        <v>639</v>
      </c>
      <c r="D20" s="462" t="s">
        <v>1330</v>
      </c>
      <c r="E20" s="461" t="s">
        <v>640</v>
      </c>
      <c r="F20" s="406" t="s">
        <v>1283</v>
      </c>
      <c r="G20" s="461" t="s">
        <v>539</v>
      </c>
      <c r="H20" s="406" t="s">
        <v>540</v>
      </c>
      <c r="I20" s="461" t="s">
        <v>1168</v>
      </c>
      <c r="J20" s="407" t="s">
        <v>536</v>
      </c>
      <c r="K20" s="396"/>
      <c r="L20" s="397"/>
      <c r="M20" s="392">
        <v>500</v>
      </c>
      <c r="N20" s="393" t="s">
        <v>1930</v>
      </c>
      <c r="O20" s="396"/>
      <c r="P20" s="415"/>
      <c r="Q20" s="396"/>
      <c r="R20" s="406"/>
      <c r="S20" s="948"/>
      <c r="T20" s="951"/>
      <c r="U20" s="948"/>
      <c r="V20" s="952"/>
      <c r="W20" s="396"/>
      <c r="X20" s="406"/>
      <c r="Y20" s="396"/>
      <c r="Z20" s="406"/>
      <c r="AA20" s="396"/>
      <c r="AB20" s="407"/>
      <c r="AC20" s="512">
        <f t="shared" si="0"/>
        <v>500</v>
      </c>
      <c r="AD20" s="634" t="s">
        <v>269</v>
      </c>
      <c r="AE20" s="464">
        <v>40350</v>
      </c>
      <c r="AF20" s="465">
        <v>41081</v>
      </c>
      <c r="AG20" s="524" t="s">
        <v>1927</v>
      </c>
      <c r="AH20" s="525" t="s">
        <v>1928</v>
      </c>
      <c r="AI20" s="526" t="s">
        <v>1929</v>
      </c>
      <c r="AJ20" s="439"/>
      <c r="AK20" s="466"/>
      <c r="AL20" s="445">
        <v>500</v>
      </c>
      <c r="AM20" s="408" t="s">
        <v>1931</v>
      </c>
      <c r="AN20" s="441"/>
      <c r="AO20" s="466"/>
      <c r="AP20" s="441"/>
      <c r="AQ20" s="466"/>
      <c r="AR20" s="982"/>
      <c r="AS20" s="984"/>
      <c r="AT20" s="982"/>
      <c r="AU20" s="984"/>
      <c r="AV20" s="441"/>
      <c r="AW20" s="466"/>
      <c r="AX20" s="441"/>
      <c r="AY20" s="466"/>
      <c r="AZ20" s="441"/>
      <c r="BA20" s="467"/>
      <c r="BB20" s="517">
        <f t="shared" si="1"/>
        <v>500</v>
      </c>
      <c r="BC20" s="216"/>
    </row>
    <row r="21" spans="1:84" ht="101.25">
      <c r="A21" s="462" t="s">
        <v>2428</v>
      </c>
      <c r="B21" s="510" t="s">
        <v>133</v>
      </c>
      <c r="C21" s="511" t="s">
        <v>794</v>
      </c>
      <c r="D21" s="462" t="s">
        <v>1330</v>
      </c>
      <c r="E21" s="461" t="s">
        <v>134</v>
      </c>
      <c r="F21" s="406" t="s">
        <v>135</v>
      </c>
      <c r="G21" s="461" t="s">
        <v>172</v>
      </c>
      <c r="H21" s="406" t="s">
        <v>1026</v>
      </c>
      <c r="I21" s="461" t="s">
        <v>455</v>
      </c>
      <c r="J21" s="407" t="s">
        <v>536</v>
      </c>
      <c r="K21" s="396"/>
      <c r="L21" s="397"/>
      <c r="M21" s="392">
        <v>2939</v>
      </c>
      <c r="N21" s="393">
        <v>39783</v>
      </c>
      <c r="O21" s="396"/>
      <c r="P21" s="415"/>
      <c r="Q21" s="396"/>
      <c r="R21" s="406"/>
      <c r="S21" s="948"/>
      <c r="T21" s="951"/>
      <c r="U21" s="948"/>
      <c r="V21" s="952"/>
      <c r="W21" s="396"/>
      <c r="X21" s="406"/>
      <c r="Y21" s="396"/>
      <c r="Z21" s="406"/>
      <c r="AA21" s="396"/>
      <c r="AB21" s="407"/>
      <c r="AC21" s="512">
        <f t="shared" si="0"/>
        <v>2939</v>
      </c>
      <c r="AD21" s="463" t="s">
        <v>269</v>
      </c>
      <c r="AE21" s="464">
        <v>39666</v>
      </c>
      <c r="AF21" s="465">
        <v>40396</v>
      </c>
      <c r="AG21" s="514" t="s">
        <v>1748</v>
      </c>
      <c r="AH21" s="515" t="s">
        <v>1932</v>
      </c>
      <c r="AI21" s="516">
        <v>1146340</v>
      </c>
      <c r="AJ21" s="439"/>
      <c r="AK21" s="466"/>
      <c r="AL21" s="445">
        <v>3476</v>
      </c>
      <c r="AM21" s="466" t="s">
        <v>1933</v>
      </c>
      <c r="AN21" s="441"/>
      <c r="AO21" s="466"/>
      <c r="AP21" s="441"/>
      <c r="AQ21" s="466"/>
      <c r="AR21" s="982"/>
      <c r="AS21" s="984"/>
      <c r="AT21" s="982"/>
      <c r="AU21" s="984"/>
      <c r="AV21" s="441"/>
      <c r="AW21" s="466"/>
      <c r="AX21" s="441"/>
      <c r="AY21" s="466"/>
      <c r="AZ21" s="441"/>
      <c r="BA21" s="467"/>
      <c r="BB21" s="517">
        <f t="shared" si="1"/>
        <v>3476</v>
      </c>
      <c r="BC21" s="216"/>
    </row>
    <row r="22" spans="1:84" ht="67.5">
      <c r="A22" s="442" t="s">
        <v>2429</v>
      </c>
      <c r="B22" s="510" t="s">
        <v>1118</v>
      </c>
      <c r="C22" s="511" t="s">
        <v>73</v>
      </c>
      <c r="D22" s="462" t="s">
        <v>788</v>
      </c>
      <c r="E22" s="461" t="s">
        <v>494</v>
      </c>
      <c r="F22" s="406" t="s">
        <v>919</v>
      </c>
      <c r="G22" s="461" t="s">
        <v>87</v>
      </c>
      <c r="H22" s="406" t="s">
        <v>869</v>
      </c>
      <c r="I22" s="461" t="s">
        <v>870</v>
      </c>
      <c r="J22" s="407" t="s">
        <v>281</v>
      </c>
      <c r="K22" s="396"/>
      <c r="L22" s="397" t="s">
        <v>1942</v>
      </c>
      <c r="M22" s="392">
        <v>28490</v>
      </c>
      <c r="N22" s="393">
        <v>39600</v>
      </c>
      <c r="O22" s="396"/>
      <c r="P22" s="415"/>
      <c r="Q22" s="396"/>
      <c r="R22" s="397" t="s">
        <v>1943</v>
      </c>
      <c r="S22" s="948"/>
      <c r="T22" s="949" t="s">
        <v>1944</v>
      </c>
      <c r="U22" s="948"/>
      <c r="V22" s="950" t="s">
        <v>1945</v>
      </c>
      <c r="W22" s="396"/>
      <c r="X22" s="406"/>
      <c r="Y22" s="396"/>
      <c r="Z22" s="406"/>
      <c r="AA22" s="396"/>
      <c r="AB22" s="407"/>
      <c r="AC22" s="512">
        <f t="shared" si="0"/>
        <v>28490</v>
      </c>
      <c r="AD22" s="513" t="s">
        <v>937</v>
      </c>
      <c r="AE22" s="464">
        <v>39771</v>
      </c>
      <c r="AF22" s="465">
        <v>41232</v>
      </c>
      <c r="AG22" s="524" t="s">
        <v>1939</v>
      </c>
      <c r="AH22" s="525" t="s">
        <v>1940</v>
      </c>
      <c r="AI22" s="526" t="s">
        <v>1941</v>
      </c>
      <c r="AJ22" s="439"/>
      <c r="AK22" s="440" t="s">
        <v>1934</v>
      </c>
      <c r="AL22" s="445">
        <v>34012</v>
      </c>
      <c r="AM22" s="466" t="s">
        <v>1938</v>
      </c>
      <c r="AN22" s="441"/>
      <c r="AO22" s="466"/>
      <c r="AP22" s="441"/>
      <c r="AQ22" s="440" t="s">
        <v>1935</v>
      </c>
      <c r="AR22" s="982"/>
      <c r="AS22" s="983" t="s">
        <v>1937</v>
      </c>
      <c r="AT22" s="982"/>
      <c r="AU22" s="983" t="s">
        <v>1936</v>
      </c>
      <c r="AV22" s="441"/>
      <c r="AW22" s="466"/>
      <c r="AX22" s="441"/>
      <c r="AY22" s="466"/>
      <c r="AZ22" s="441"/>
      <c r="BA22" s="467"/>
      <c r="BB22" s="517">
        <f t="shared" si="1"/>
        <v>34012</v>
      </c>
      <c r="BC22" s="4017"/>
    </row>
    <row r="23" spans="1:84" ht="78.75">
      <c r="A23" s="462" t="s">
        <v>1864</v>
      </c>
      <c r="B23" s="510" t="s">
        <v>382</v>
      </c>
      <c r="C23" s="511" t="s">
        <v>383</v>
      </c>
      <c r="D23" s="462" t="s">
        <v>1330</v>
      </c>
      <c r="E23" s="461" t="s">
        <v>894</v>
      </c>
      <c r="F23" s="406" t="s">
        <v>563</v>
      </c>
      <c r="G23" s="461" t="s">
        <v>873</v>
      </c>
      <c r="H23" s="406" t="s">
        <v>691</v>
      </c>
      <c r="I23" s="461" t="s">
        <v>1257</v>
      </c>
      <c r="J23" s="407" t="s">
        <v>536</v>
      </c>
      <c r="K23" s="396"/>
      <c r="L23" s="397"/>
      <c r="M23" s="392">
        <v>3003</v>
      </c>
      <c r="N23" s="393">
        <v>40057</v>
      </c>
      <c r="O23" s="197"/>
      <c r="P23" s="199"/>
      <c r="Q23" s="197"/>
      <c r="R23" s="198"/>
      <c r="S23" s="954"/>
      <c r="T23" s="955"/>
      <c r="U23" s="954"/>
      <c r="V23" s="956"/>
      <c r="W23" s="197"/>
      <c r="X23" s="195"/>
      <c r="Y23" s="197"/>
      <c r="Z23" s="195"/>
      <c r="AA23" s="197"/>
      <c r="AB23" s="196"/>
      <c r="AC23" s="512">
        <f t="shared" si="0"/>
        <v>3003</v>
      </c>
      <c r="AD23" s="463" t="s">
        <v>269</v>
      </c>
      <c r="AE23" s="464">
        <v>40164</v>
      </c>
      <c r="AF23" s="465">
        <v>40529</v>
      </c>
      <c r="AG23" s="524" t="s">
        <v>2023</v>
      </c>
      <c r="AH23" s="525" t="s">
        <v>1907</v>
      </c>
      <c r="AI23" s="526" t="s">
        <v>1908</v>
      </c>
      <c r="AJ23" s="439"/>
      <c r="AK23" s="466"/>
      <c r="AL23" s="635">
        <v>3186</v>
      </c>
      <c r="AM23" s="636">
        <v>41334</v>
      </c>
      <c r="AN23" s="263"/>
      <c r="AO23" s="265"/>
      <c r="AP23" s="263"/>
      <c r="AQ23" s="262"/>
      <c r="AR23" s="985"/>
      <c r="AS23" s="986"/>
      <c r="AT23" s="985"/>
      <c r="AU23" s="986"/>
      <c r="AV23" s="263"/>
      <c r="AW23" s="265"/>
      <c r="AX23" s="263"/>
      <c r="AY23" s="265"/>
      <c r="AZ23" s="263"/>
      <c r="BA23" s="266"/>
      <c r="BB23" s="517">
        <f t="shared" si="1"/>
        <v>3186</v>
      </c>
      <c r="BC23" s="4018"/>
      <c r="BD23" s="697"/>
      <c r="BE23" s="217"/>
      <c r="BF23" s="217"/>
    </row>
    <row r="24" spans="1:84" ht="113.25" thickBot="1">
      <c r="A24" s="4638" t="s">
        <v>2430</v>
      </c>
      <c r="B24" s="4593" t="s">
        <v>560</v>
      </c>
      <c r="C24" s="4627" t="s">
        <v>109</v>
      </c>
      <c r="D24" s="4626" t="s">
        <v>788</v>
      </c>
      <c r="E24" s="468" t="s">
        <v>1300</v>
      </c>
      <c r="F24" s="4596" t="s">
        <v>884</v>
      </c>
      <c r="G24" s="468" t="s">
        <v>304</v>
      </c>
      <c r="H24" s="4596" t="s">
        <v>1206</v>
      </c>
      <c r="I24" s="468" t="s">
        <v>1257</v>
      </c>
      <c r="J24" s="4597" t="s">
        <v>250</v>
      </c>
      <c r="K24" s="473"/>
      <c r="L24" s="4628"/>
      <c r="M24" s="653">
        <v>2648</v>
      </c>
      <c r="N24" s="4639">
        <v>38777</v>
      </c>
      <c r="O24" s="473"/>
      <c r="P24" s="4629"/>
      <c r="Q24" s="473"/>
      <c r="R24" s="4628"/>
      <c r="S24" s="957"/>
      <c r="T24" s="4640"/>
      <c r="U24" s="957"/>
      <c r="V24" s="4641" t="s">
        <v>2024</v>
      </c>
      <c r="W24" s="473"/>
      <c r="X24" s="4596"/>
      <c r="Y24" s="473"/>
      <c r="Z24" s="4596"/>
      <c r="AA24" s="473"/>
      <c r="AB24" s="4597"/>
      <c r="AC24" s="4604">
        <f t="shared" si="0"/>
        <v>2648</v>
      </c>
      <c r="AD24" s="4605" t="s">
        <v>266</v>
      </c>
      <c r="AE24" s="4631">
        <v>38883</v>
      </c>
      <c r="AF24" s="4632">
        <v>40344</v>
      </c>
      <c r="AG24" s="4633" t="s">
        <v>2025</v>
      </c>
      <c r="AH24" s="4634" t="s">
        <v>1905</v>
      </c>
      <c r="AI24" s="4635" t="s">
        <v>1906</v>
      </c>
      <c r="AJ24" s="722"/>
      <c r="AK24" s="4642"/>
      <c r="AL24" s="4643">
        <v>3186</v>
      </c>
      <c r="AM24" s="4644">
        <v>41334</v>
      </c>
      <c r="AN24" s="478"/>
      <c r="AO24" s="4611"/>
      <c r="AP24" s="478"/>
      <c r="AQ24" s="4645"/>
      <c r="AR24" s="987"/>
      <c r="AS24" s="4646"/>
      <c r="AT24" s="972"/>
      <c r="AU24" s="4637" t="s">
        <v>2026</v>
      </c>
      <c r="AV24" s="478"/>
      <c r="AW24" s="4611"/>
      <c r="AX24" s="478"/>
      <c r="AY24" s="4611"/>
      <c r="AZ24" s="478"/>
      <c r="BA24" s="4614"/>
      <c r="BB24" s="4615">
        <f t="shared" si="1"/>
        <v>3186</v>
      </c>
      <c r="BC24" s="4019" t="s">
        <v>1947</v>
      </c>
      <c r="BD24" s="741">
        <f>SUM(BB9:BB24)</f>
        <v>398146</v>
      </c>
      <c r="BE24" s="742">
        <f>BD24-BF24</f>
        <v>169522</v>
      </c>
      <c r="BF24" s="742">
        <f>SUM(AR9:AR24)+SUM(AT9:AT24)</f>
        <v>228624</v>
      </c>
    </row>
    <row r="25" spans="1:84" s="47" customFormat="1" ht="56.25">
      <c r="A25" s="698" t="s">
        <v>2431</v>
      </c>
      <c r="B25" s="699" t="s">
        <v>217</v>
      </c>
      <c r="C25" s="700" t="s">
        <v>728</v>
      </c>
      <c r="D25" s="698" t="s">
        <v>1330</v>
      </c>
      <c r="E25" s="701" t="s">
        <v>218</v>
      </c>
      <c r="F25" s="702" t="s">
        <v>219</v>
      </c>
      <c r="G25" s="701" t="s">
        <v>401</v>
      </c>
      <c r="H25" s="702" t="s">
        <v>1284</v>
      </c>
      <c r="I25" s="701" t="s">
        <v>1257</v>
      </c>
      <c r="J25" s="703" t="s">
        <v>536</v>
      </c>
      <c r="K25" s="704"/>
      <c r="L25" s="705"/>
      <c r="M25" s="706">
        <v>2725</v>
      </c>
      <c r="N25" s="707">
        <v>39142</v>
      </c>
      <c r="O25" s="704"/>
      <c r="P25" s="708"/>
      <c r="Q25" s="704"/>
      <c r="R25" s="705"/>
      <c r="S25" s="960"/>
      <c r="T25" s="961"/>
      <c r="U25" s="960"/>
      <c r="V25" s="962"/>
      <c r="W25" s="704"/>
      <c r="X25" s="702"/>
      <c r="Y25" s="704"/>
      <c r="Z25" s="702"/>
      <c r="AA25" s="704"/>
      <c r="AB25" s="703"/>
      <c r="AC25" s="536">
        <f t="shared" si="0"/>
        <v>2725</v>
      </c>
      <c r="AD25" s="709" t="s">
        <v>269</v>
      </c>
      <c r="AE25" s="710">
        <v>39246</v>
      </c>
      <c r="AF25" s="711">
        <v>39971</v>
      </c>
      <c r="AG25" s="712" t="s">
        <v>1748</v>
      </c>
      <c r="AH25" s="713">
        <v>41731</v>
      </c>
      <c r="AI25" s="714">
        <v>1146440</v>
      </c>
      <c r="AJ25" s="715"/>
      <c r="AK25" s="716"/>
      <c r="AL25" s="717">
        <v>3335</v>
      </c>
      <c r="AM25" s="718">
        <v>41609</v>
      </c>
      <c r="AN25" s="719"/>
      <c r="AO25" s="716"/>
      <c r="AP25" s="719"/>
      <c r="AQ25" s="716"/>
      <c r="AR25" s="990"/>
      <c r="AS25" s="991"/>
      <c r="AT25" s="990"/>
      <c r="AU25" s="991"/>
      <c r="AV25" s="719"/>
      <c r="AW25" s="716"/>
      <c r="AX25" s="719"/>
      <c r="AY25" s="716"/>
      <c r="AZ25" s="719"/>
      <c r="BA25" s="720"/>
      <c r="BB25" s="721">
        <f t="shared" si="1"/>
        <v>3335</v>
      </c>
      <c r="BC25" s="238"/>
      <c r="BD25" s="55"/>
      <c r="BE25" s="55"/>
      <c r="BF25" s="55"/>
      <c r="BG25" s="4119"/>
      <c r="BH25" s="787"/>
      <c r="BI25" s="4120"/>
      <c r="BJ25" s="55"/>
      <c r="BK25" s="55"/>
      <c r="BL25" s="55"/>
      <c r="BM25" s="55"/>
      <c r="BN25" s="55"/>
      <c r="BO25" s="55"/>
      <c r="BP25" s="55"/>
      <c r="BQ25" s="55"/>
      <c r="BR25" s="55"/>
      <c r="BS25" s="55"/>
      <c r="BT25" s="55"/>
      <c r="BU25" s="55"/>
      <c r="BV25" s="55"/>
      <c r="BW25" s="55"/>
      <c r="BX25" s="55"/>
      <c r="BY25" s="55"/>
      <c r="BZ25" s="55"/>
      <c r="CA25" s="55"/>
    </row>
    <row r="26" spans="1:84" ht="45">
      <c r="A26" s="350" t="s">
        <v>2432</v>
      </c>
      <c r="B26" s="368" t="s">
        <v>1274</v>
      </c>
      <c r="C26" s="215" t="s">
        <v>354</v>
      </c>
      <c r="D26" s="350" t="s">
        <v>1330</v>
      </c>
      <c r="E26" s="354" t="s">
        <v>813</v>
      </c>
      <c r="F26" s="353" t="s">
        <v>814</v>
      </c>
      <c r="G26" s="354" t="s">
        <v>1096</v>
      </c>
      <c r="H26" s="353" t="s">
        <v>1166</v>
      </c>
      <c r="I26" s="354" t="s">
        <v>1168</v>
      </c>
      <c r="J26" s="355" t="s">
        <v>536</v>
      </c>
      <c r="K26" s="370"/>
      <c r="L26" s="357"/>
      <c r="M26" s="371">
        <v>2372</v>
      </c>
      <c r="N26" s="372">
        <v>40330</v>
      </c>
      <c r="O26" s="370"/>
      <c r="P26" s="373"/>
      <c r="Q26" s="370"/>
      <c r="R26" s="353"/>
      <c r="S26" s="948"/>
      <c r="T26" s="951"/>
      <c r="U26" s="948"/>
      <c r="V26" s="952"/>
      <c r="W26" s="370"/>
      <c r="X26" s="353"/>
      <c r="Y26" s="370"/>
      <c r="Z26" s="353"/>
      <c r="AA26" s="370"/>
      <c r="AB26" s="355"/>
      <c r="AC26" s="358">
        <f t="shared" si="0"/>
        <v>2372</v>
      </c>
      <c r="AD26" s="660" t="s">
        <v>269</v>
      </c>
      <c r="AE26" s="457">
        <v>40409</v>
      </c>
      <c r="AF26" s="458">
        <v>41140</v>
      </c>
      <c r="AG26" s="359" t="s">
        <v>1748</v>
      </c>
      <c r="AH26" s="360">
        <v>41732</v>
      </c>
      <c r="AI26" s="379">
        <v>1146488</v>
      </c>
      <c r="AJ26" s="380"/>
      <c r="AK26" s="381"/>
      <c r="AL26" s="382">
        <v>2695</v>
      </c>
      <c r="AM26" s="381" t="s">
        <v>1949</v>
      </c>
      <c r="AN26" s="383"/>
      <c r="AO26" s="381"/>
      <c r="AP26" s="383"/>
      <c r="AQ26" s="381"/>
      <c r="AR26" s="982"/>
      <c r="AS26" s="984"/>
      <c r="AT26" s="982"/>
      <c r="AU26" s="984"/>
      <c r="AV26" s="383"/>
      <c r="AW26" s="381"/>
      <c r="AX26" s="383"/>
      <c r="AY26" s="381"/>
      <c r="AZ26" s="383"/>
      <c r="BA26" s="384"/>
      <c r="BB26" s="367">
        <f t="shared" si="1"/>
        <v>2695</v>
      </c>
      <c r="BC26" s="216"/>
    </row>
    <row r="27" spans="1:84" ht="94.5">
      <c r="A27" s="395" t="s">
        <v>2433</v>
      </c>
      <c r="B27" s="368" t="s">
        <v>254</v>
      </c>
      <c r="C27" s="215" t="s">
        <v>121</v>
      </c>
      <c r="D27" s="350" t="s">
        <v>788</v>
      </c>
      <c r="E27" s="354" t="s">
        <v>1268</v>
      </c>
      <c r="F27" s="353" t="s">
        <v>1191</v>
      </c>
      <c r="G27" s="354" t="s">
        <v>1126</v>
      </c>
      <c r="H27" s="353" t="s">
        <v>449</v>
      </c>
      <c r="I27" s="354" t="s">
        <v>63</v>
      </c>
      <c r="J27" s="369" t="s">
        <v>1298</v>
      </c>
      <c r="K27" s="370"/>
      <c r="L27" s="357"/>
      <c r="M27" s="371">
        <v>859</v>
      </c>
      <c r="N27" s="429" t="s">
        <v>1299</v>
      </c>
      <c r="O27" s="370"/>
      <c r="P27" s="373"/>
      <c r="Q27" s="370">
        <v>599</v>
      </c>
      <c r="R27" s="426" t="s">
        <v>782</v>
      </c>
      <c r="S27" s="948"/>
      <c r="T27" s="951"/>
      <c r="U27" s="948"/>
      <c r="V27" s="952"/>
      <c r="W27" s="370"/>
      <c r="X27" s="353"/>
      <c r="Y27" s="370"/>
      <c r="Z27" s="353"/>
      <c r="AA27" s="370"/>
      <c r="AB27" s="355"/>
      <c r="AC27" s="358">
        <f t="shared" si="0"/>
        <v>1458</v>
      </c>
      <c r="AD27" s="427" t="s">
        <v>252</v>
      </c>
      <c r="AE27" s="428" t="s">
        <v>253</v>
      </c>
      <c r="AF27" s="458">
        <v>41195</v>
      </c>
      <c r="AG27" s="377" t="s">
        <v>1952</v>
      </c>
      <c r="AH27" s="378">
        <v>41733</v>
      </c>
      <c r="AI27" s="379">
        <v>1146546</v>
      </c>
      <c r="AJ27" s="380"/>
      <c r="AK27" s="381"/>
      <c r="AL27" s="382">
        <v>1176</v>
      </c>
      <c r="AM27" s="381" t="s">
        <v>1933</v>
      </c>
      <c r="AN27" s="383"/>
      <c r="AO27" s="381"/>
      <c r="AP27" s="383"/>
      <c r="AQ27" s="381"/>
      <c r="AR27" s="982"/>
      <c r="AS27" s="984"/>
      <c r="AT27" s="982"/>
      <c r="AU27" s="984"/>
      <c r="AV27" s="383"/>
      <c r="AW27" s="381"/>
      <c r="AX27" s="383"/>
      <c r="AY27" s="381"/>
      <c r="AZ27" s="383"/>
      <c r="BA27" s="384"/>
      <c r="BB27" s="367">
        <f t="shared" si="1"/>
        <v>1176</v>
      </c>
      <c r="BC27" s="216"/>
    </row>
    <row r="28" spans="1:84" ht="78.75">
      <c r="A28" s="350" t="s">
        <v>1966</v>
      </c>
      <c r="B28" s="368" t="s">
        <v>246</v>
      </c>
      <c r="C28" s="215" t="s">
        <v>1147</v>
      </c>
      <c r="D28" s="350" t="s">
        <v>1330</v>
      </c>
      <c r="E28" s="354" t="s">
        <v>1325</v>
      </c>
      <c r="F28" s="353" t="s">
        <v>712</v>
      </c>
      <c r="G28" s="354" t="s">
        <v>756</v>
      </c>
      <c r="H28" s="353" t="s">
        <v>287</v>
      </c>
      <c r="I28" s="354" t="s">
        <v>1257</v>
      </c>
      <c r="J28" s="355" t="s">
        <v>536</v>
      </c>
      <c r="K28" s="370"/>
      <c r="L28" s="357"/>
      <c r="M28" s="371">
        <v>2963</v>
      </c>
      <c r="N28" s="372">
        <v>39965</v>
      </c>
      <c r="O28" s="370"/>
      <c r="P28" s="373"/>
      <c r="Q28" s="370"/>
      <c r="R28" s="353"/>
      <c r="S28" s="948"/>
      <c r="T28" s="951"/>
      <c r="U28" s="948"/>
      <c r="V28" s="952"/>
      <c r="W28" s="370"/>
      <c r="X28" s="353"/>
      <c r="Y28" s="370"/>
      <c r="Z28" s="353"/>
      <c r="AA28" s="370"/>
      <c r="AB28" s="355"/>
      <c r="AC28" s="358">
        <f t="shared" si="0"/>
        <v>2963</v>
      </c>
      <c r="AD28" s="660" t="s">
        <v>269</v>
      </c>
      <c r="AE28" s="457">
        <v>40084</v>
      </c>
      <c r="AF28" s="458">
        <v>40814</v>
      </c>
      <c r="AG28" s="359" t="s">
        <v>1967</v>
      </c>
      <c r="AH28" s="378">
        <v>40271</v>
      </c>
      <c r="AI28" s="361" t="s">
        <v>1969</v>
      </c>
      <c r="AJ28" s="380"/>
      <c r="AK28" s="381"/>
      <c r="AL28" s="382">
        <v>4682</v>
      </c>
      <c r="AM28" s="381" t="s">
        <v>1968</v>
      </c>
      <c r="AN28" s="383"/>
      <c r="AO28" s="381"/>
      <c r="AP28" s="383"/>
      <c r="AQ28" s="381"/>
      <c r="AR28" s="982"/>
      <c r="AS28" s="984"/>
      <c r="AT28" s="982"/>
      <c r="AU28" s="984"/>
      <c r="AV28" s="383"/>
      <c r="AW28" s="381"/>
      <c r="AX28" s="383"/>
      <c r="AY28" s="381"/>
      <c r="AZ28" s="383"/>
      <c r="BA28" s="384"/>
      <c r="BB28" s="367">
        <f t="shared" si="1"/>
        <v>4682</v>
      </c>
      <c r="BC28" s="216"/>
    </row>
    <row r="29" spans="1:84" ht="67.5">
      <c r="A29" s="350" t="s">
        <v>1992</v>
      </c>
      <c r="B29" s="368" t="s">
        <v>634</v>
      </c>
      <c r="C29" s="215" t="s">
        <v>1006</v>
      </c>
      <c r="D29" s="350" t="s">
        <v>1330</v>
      </c>
      <c r="E29" s="354" t="s">
        <v>653</v>
      </c>
      <c r="F29" s="353" t="s">
        <v>1065</v>
      </c>
      <c r="G29" s="354" t="s">
        <v>425</v>
      </c>
      <c r="H29" s="353" t="s">
        <v>917</v>
      </c>
      <c r="I29" s="354" t="s">
        <v>1257</v>
      </c>
      <c r="J29" s="355" t="s">
        <v>536</v>
      </c>
      <c r="K29" s="370"/>
      <c r="L29" s="357"/>
      <c r="M29" s="371">
        <v>3013</v>
      </c>
      <c r="N29" s="372">
        <v>40148</v>
      </c>
      <c r="O29" s="370"/>
      <c r="P29" s="373"/>
      <c r="Q29" s="370"/>
      <c r="R29" s="353"/>
      <c r="S29" s="948"/>
      <c r="T29" s="951"/>
      <c r="U29" s="948"/>
      <c r="V29" s="952"/>
      <c r="W29" s="370"/>
      <c r="X29" s="353"/>
      <c r="Y29" s="370"/>
      <c r="Z29" s="353"/>
      <c r="AA29" s="370"/>
      <c r="AB29" s="355"/>
      <c r="AC29" s="358">
        <f t="shared" si="0"/>
        <v>3013</v>
      </c>
      <c r="AD29" s="660" t="s">
        <v>269</v>
      </c>
      <c r="AE29" s="457">
        <v>40238</v>
      </c>
      <c r="AF29" s="458">
        <v>40958</v>
      </c>
      <c r="AG29" s="359" t="s">
        <v>1990</v>
      </c>
      <c r="AH29" s="378">
        <v>41738</v>
      </c>
      <c r="AI29" s="379">
        <v>1146720</v>
      </c>
      <c r="AJ29" s="380"/>
      <c r="AK29" s="381"/>
      <c r="AL29" s="382">
        <v>3484</v>
      </c>
      <c r="AM29" s="381" t="s">
        <v>1991</v>
      </c>
      <c r="AN29" s="383"/>
      <c r="AO29" s="381"/>
      <c r="AP29" s="383"/>
      <c r="AQ29" s="381"/>
      <c r="AR29" s="982"/>
      <c r="AS29" s="984"/>
      <c r="AT29" s="982"/>
      <c r="AU29" s="984"/>
      <c r="AV29" s="383"/>
      <c r="AW29" s="381"/>
      <c r="AX29" s="383"/>
      <c r="AY29" s="381"/>
      <c r="AZ29" s="383"/>
      <c r="BA29" s="384"/>
      <c r="BB29" s="367">
        <f t="shared" si="1"/>
        <v>3484</v>
      </c>
      <c r="BC29" s="4017"/>
    </row>
    <row r="30" spans="1:84" s="47" customFormat="1" ht="67.5">
      <c r="A30" s="670" t="s">
        <v>1315</v>
      </c>
      <c r="B30" s="368" t="s">
        <v>1302</v>
      </c>
      <c r="C30" s="215" t="s">
        <v>1303</v>
      </c>
      <c r="D30" s="350" t="s">
        <v>9</v>
      </c>
      <c r="E30" s="351" t="s">
        <v>1318</v>
      </c>
      <c r="F30" s="353" t="s">
        <v>1319</v>
      </c>
      <c r="G30" s="351" t="s">
        <v>1320</v>
      </c>
      <c r="H30" s="352" t="s">
        <v>1321</v>
      </c>
      <c r="I30" s="354" t="s">
        <v>684</v>
      </c>
      <c r="J30" s="355" t="s">
        <v>1306</v>
      </c>
      <c r="K30" s="370">
        <v>768</v>
      </c>
      <c r="L30" s="357">
        <v>40695</v>
      </c>
      <c r="M30" s="371">
        <v>3176</v>
      </c>
      <c r="N30" s="357">
        <v>40695</v>
      </c>
      <c r="O30" s="370"/>
      <c r="P30" s="373"/>
      <c r="Q30" s="370"/>
      <c r="R30" s="353" t="s">
        <v>1290</v>
      </c>
      <c r="S30" s="948">
        <v>5349</v>
      </c>
      <c r="T30" s="963">
        <v>40695</v>
      </c>
      <c r="U30" s="948">
        <v>2159</v>
      </c>
      <c r="V30" s="963">
        <v>40695</v>
      </c>
      <c r="W30" s="370"/>
      <c r="X30" s="353"/>
      <c r="Y30" s="370"/>
      <c r="Z30" s="353"/>
      <c r="AA30" s="370"/>
      <c r="AB30" s="355"/>
      <c r="AC30" s="358">
        <f t="shared" si="0"/>
        <v>11452</v>
      </c>
      <c r="AD30" s="427" t="s">
        <v>1305</v>
      </c>
      <c r="AE30" s="428" t="s">
        <v>1323</v>
      </c>
      <c r="AF30" s="458">
        <v>40056</v>
      </c>
      <c r="AG30" s="359" t="s">
        <v>909</v>
      </c>
      <c r="AH30" s="360">
        <v>41374</v>
      </c>
      <c r="AI30" s="361">
        <v>1146784</v>
      </c>
      <c r="AJ30" s="364">
        <v>807</v>
      </c>
      <c r="AK30" s="394">
        <v>41609</v>
      </c>
      <c r="AL30" s="364">
        <v>3335</v>
      </c>
      <c r="AM30" s="394">
        <v>41609</v>
      </c>
      <c r="AN30" s="365"/>
      <c r="AO30" s="363"/>
      <c r="AP30" s="365"/>
      <c r="AQ30" s="363"/>
      <c r="AR30" s="935">
        <v>5618</v>
      </c>
      <c r="AS30" s="981">
        <v>41609</v>
      </c>
      <c r="AT30" s="992">
        <v>2267</v>
      </c>
      <c r="AU30" s="981">
        <v>41609</v>
      </c>
      <c r="AV30" s="365"/>
      <c r="AW30" s="363"/>
      <c r="AX30" s="365"/>
      <c r="AY30" s="363"/>
      <c r="AZ30" s="365"/>
      <c r="BA30" s="366"/>
      <c r="BB30" s="367">
        <f t="shared" si="1"/>
        <v>12027</v>
      </c>
      <c r="BC30" s="238"/>
      <c r="BD30" s="55"/>
      <c r="BE30" s="55"/>
      <c r="BF30" s="55"/>
      <c r="BG30" s="4119"/>
      <c r="BH30" s="787"/>
      <c r="BI30" s="4120"/>
      <c r="BJ30" s="55"/>
      <c r="BK30" s="55"/>
      <c r="BL30" s="55"/>
      <c r="BM30" s="55"/>
      <c r="BN30" s="55"/>
      <c r="BO30" s="55"/>
      <c r="BP30" s="55"/>
      <c r="BQ30" s="55"/>
      <c r="BR30" s="55"/>
      <c r="BS30" s="55"/>
      <c r="BT30" s="55"/>
      <c r="BU30" s="55"/>
      <c r="BV30" s="55"/>
      <c r="BW30" s="55"/>
      <c r="BX30" s="55"/>
    </row>
    <row r="31" spans="1:84" s="47" customFormat="1" ht="67.5">
      <c r="A31" s="670" t="s">
        <v>1315</v>
      </c>
      <c r="B31" s="368" t="s">
        <v>764</v>
      </c>
      <c r="C31" s="215" t="s">
        <v>943</v>
      </c>
      <c r="D31" s="350" t="s">
        <v>9</v>
      </c>
      <c r="E31" s="351" t="s">
        <v>1318</v>
      </c>
      <c r="F31" s="353" t="s">
        <v>1319</v>
      </c>
      <c r="G31" s="351" t="s">
        <v>1320</v>
      </c>
      <c r="H31" s="352" t="s">
        <v>1321</v>
      </c>
      <c r="I31" s="354" t="s">
        <v>684</v>
      </c>
      <c r="J31" s="355" t="s">
        <v>762</v>
      </c>
      <c r="K31" s="370">
        <v>4610</v>
      </c>
      <c r="L31" s="357">
        <v>40695</v>
      </c>
      <c r="M31" s="371">
        <v>19053</v>
      </c>
      <c r="N31" s="357">
        <v>40695</v>
      </c>
      <c r="O31" s="370"/>
      <c r="P31" s="373"/>
      <c r="Q31" s="370"/>
      <c r="R31" s="353" t="s">
        <v>1290</v>
      </c>
      <c r="S31" s="948">
        <v>32092</v>
      </c>
      <c r="T31" s="963">
        <v>40695</v>
      </c>
      <c r="U31" s="948">
        <v>12957</v>
      </c>
      <c r="V31" s="963">
        <v>40695</v>
      </c>
      <c r="W31" s="370"/>
      <c r="X31" s="353"/>
      <c r="Y31" s="370"/>
      <c r="Z31" s="353"/>
      <c r="AA31" s="370"/>
      <c r="AB31" s="355"/>
      <c r="AC31" s="358">
        <f t="shared" si="0"/>
        <v>68712</v>
      </c>
      <c r="AD31" s="427" t="s">
        <v>1305</v>
      </c>
      <c r="AE31" s="428" t="s">
        <v>1323</v>
      </c>
      <c r="AF31" s="458">
        <v>40056</v>
      </c>
      <c r="AG31" s="359" t="s">
        <v>909</v>
      </c>
      <c r="AH31" s="360">
        <v>41374</v>
      </c>
      <c r="AI31" s="361">
        <v>1146784</v>
      </c>
      <c r="AJ31" s="364">
        <v>4841</v>
      </c>
      <c r="AK31" s="394">
        <v>41609</v>
      </c>
      <c r="AL31" s="364">
        <v>20009</v>
      </c>
      <c r="AM31" s="394">
        <v>41609</v>
      </c>
      <c r="AN31" s="365"/>
      <c r="AO31" s="363"/>
      <c r="AP31" s="365"/>
      <c r="AQ31" s="363"/>
      <c r="AR31" s="935">
        <v>33703</v>
      </c>
      <c r="AS31" s="981">
        <v>41609</v>
      </c>
      <c r="AT31" s="992">
        <v>13607</v>
      </c>
      <c r="AU31" s="981">
        <v>41609</v>
      </c>
      <c r="AV31" s="365"/>
      <c r="AW31" s="363"/>
      <c r="AX31" s="365"/>
      <c r="AY31" s="363"/>
      <c r="AZ31" s="365"/>
      <c r="BA31" s="366"/>
      <c r="BB31" s="367">
        <f t="shared" si="1"/>
        <v>72160</v>
      </c>
      <c r="BC31" s="238"/>
      <c r="BD31" s="55"/>
      <c r="BE31" s="55"/>
      <c r="BF31" s="55"/>
      <c r="BG31" s="4119"/>
      <c r="BH31" s="787"/>
      <c r="BI31" s="4120"/>
      <c r="BJ31" s="55"/>
      <c r="BK31" s="55"/>
      <c r="BL31" s="55"/>
      <c r="BM31" s="55"/>
      <c r="BN31" s="55"/>
      <c r="BO31" s="55"/>
      <c r="BP31" s="55"/>
      <c r="BQ31" s="55"/>
      <c r="BR31" s="55"/>
      <c r="BS31" s="55"/>
      <c r="BT31" s="55"/>
      <c r="BU31" s="55"/>
      <c r="BV31" s="55"/>
      <c r="BW31" s="55"/>
      <c r="BX31" s="55"/>
    </row>
    <row r="32" spans="1:84" s="47" customFormat="1" ht="67.5">
      <c r="A32" s="670" t="s">
        <v>1315</v>
      </c>
      <c r="B32" s="368" t="s">
        <v>765</v>
      </c>
      <c r="C32" s="215" t="s">
        <v>944</v>
      </c>
      <c r="D32" s="350" t="s">
        <v>9</v>
      </c>
      <c r="E32" s="351" t="s">
        <v>1318</v>
      </c>
      <c r="F32" s="353" t="s">
        <v>1319</v>
      </c>
      <c r="G32" s="351" t="s">
        <v>1320</v>
      </c>
      <c r="H32" s="352" t="s">
        <v>1321</v>
      </c>
      <c r="I32" s="354" t="s">
        <v>684</v>
      </c>
      <c r="J32" s="355" t="s">
        <v>761</v>
      </c>
      <c r="K32" s="370">
        <v>3841</v>
      </c>
      <c r="L32" s="357">
        <v>40695</v>
      </c>
      <c r="M32" s="371">
        <v>15878</v>
      </c>
      <c r="N32" s="357">
        <v>40695</v>
      </c>
      <c r="O32" s="370"/>
      <c r="P32" s="373"/>
      <c r="Q32" s="370"/>
      <c r="R32" s="353" t="s">
        <v>1290</v>
      </c>
      <c r="S32" s="948">
        <v>26743</v>
      </c>
      <c r="T32" s="963">
        <v>40695</v>
      </c>
      <c r="U32" s="948">
        <v>10797</v>
      </c>
      <c r="V32" s="963">
        <v>40695</v>
      </c>
      <c r="W32" s="370"/>
      <c r="X32" s="353"/>
      <c r="Y32" s="370"/>
      <c r="Z32" s="353"/>
      <c r="AA32" s="370"/>
      <c r="AB32" s="355"/>
      <c r="AC32" s="358">
        <f t="shared" si="0"/>
        <v>57259</v>
      </c>
      <c r="AD32" s="427" t="s">
        <v>1305</v>
      </c>
      <c r="AE32" s="428" t="s">
        <v>1323</v>
      </c>
      <c r="AF32" s="458">
        <v>40056</v>
      </c>
      <c r="AG32" s="359" t="s">
        <v>909</v>
      </c>
      <c r="AH32" s="360">
        <v>41374</v>
      </c>
      <c r="AI32" s="361">
        <v>1146784</v>
      </c>
      <c r="AJ32" s="364">
        <v>4034</v>
      </c>
      <c r="AK32" s="394">
        <v>41609</v>
      </c>
      <c r="AL32" s="364">
        <v>16675</v>
      </c>
      <c r="AM32" s="394">
        <v>41609</v>
      </c>
      <c r="AN32" s="365"/>
      <c r="AO32" s="363"/>
      <c r="AP32" s="365"/>
      <c r="AQ32" s="363"/>
      <c r="AR32" s="935">
        <v>28086</v>
      </c>
      <c r="AS32" s="981">
        <v>41609</v>
      </c>
      <c r="AT32" s="992">
        <v>11339</v>
      </c>
      <c r="AU32" s="981">
        <v>41609</v>
      </c>
      <c r="AV32" s="365"/>
      <c r="AW32" s="363"/>
      <c r="AX32" s="365"/>
      <c r="AY32" s="363"/>
      <c r="AZ32" s="365"/>
      <c r="BA32" s="366"/>
      <c r="BB32" s="367">
        <f t="shared" si="1"/>
        <v>60134</v>
      </c>
      <c r="BC32" s="238"/>
      <c r="BD32" s="55"/>
      <c r="BE32" s="55"/>
      <c r="BF32" s="55"/>
      <c r="BG32" s="4119"/>
      <c r="BH32" s="787"/>
      <c r="BI32" s="4120"/>
      <c r="BJ32" s="55"/>
      <c r="BK32" s="55"/>
      <c r="BL32" s="55"/>
      <c r="BM32" s="55"/>
      <c r="BN32" s="55"/>
      <c r="BO32" s="55"/>
      <c r="BP32" s="55"/>
      <c r="BQ32" s="55"/>
      <c r="BR32" s="55"/>
      <c r="BS32" s="55"/>
      <c r="BT32" s="55"/>
      <c r="BU32" s="55"/>
      <c r="BV32" s="55"/>
      <c r="BW32" s="55"/>
      <c r="BX32" s="55"/>
    </row>
    <row r="33" spans="1:93" s="47" customFormat="1" ht="67.5">
      <c r="A33" s="670" t="s">
        <v>1315</v>
      </c>
      <c r="B33" s="368" t="s">
        <v>1215</v>
      </c>
      <c r="C33" s="215" t="s">
        <v>1212</v>
      </c>
      <c r="D33" s="350" t="s">
        <v>9</v>
      </c>
      <c r="E33" s="351" t="s">
        <v>1318</v>
      </c>
      <c r="F33" s="353" t="s">
        <v>1319</v>
      </c>
      <c r="G33" s="351" t="s">
        <v>1320</v>
      </c>
      <c r="H33" s="352" t="s">
        <v>1321</v>
      </c>
      <c r="I33" s="354" t="s">
        <v>684</v>
      </c>
      <c r="J33" s="355" t="s">
        <v>1219</v>
      </c>
      <c r="K33" s="370">
        <v>3073</v>
      </c>
      <c r="L33" s="357">
        <v>40695</v>
      </c>
      <c r="M33" s="371">
        <v>12702</v>
      </c>
      <c r="N33" s="357">
        <v>40695</v>
      </c>
      <c r="O33" s="370"/>
      <c r="P33" s="373"/>
      <c r="Q33" s="370"/>
      <c r="R33" s="353" t="s">
        <v>1290</v>
      </c>
      <c r="S33" s="948">
        <v>21395</v>
      </c>
      <c r="T33" s="963">
        <v>40695</v>
      </c>
      <c r="U33" s="948">
        <v>8638</v>
      </c>
      <c r="V33" s="963">
        <v>40695</v>
      </c>
      <c r="W33" s="370"/>
      <c r="X33" s="353"/>
      <c r="Y33" s="370"/>
      <c r="Z33" s="353"/>
      <c r="AA33" s="370"/>
      <c r="AB33" s="355"/>
      <c r="AC33" s="358">
        <f t="shared" si="0"/>
        <v>45808</v>
      </c>
      <c r="AD33" s="427" t="s">
        <v>1305</v>
      </c>
      <c r="AE33" s="428" t="s">
        <v>1323</v>
      </c>
      <c r="AF33" s="458">
        <v>40056</v>
      </c>
      <c r="AG33" s="359" t="s">
        <v>909</v>
      </c>
      <c r="AH33" s="360">
        <v>41374</v>
      </c>
      <c r="AI33" s="361">
        <v>1146784</v>
      </c>
      <c r="AJ33" s="364">
        <v>3227</v>
      </c>
      <c r="AK33" s="394">
        <v>41609</v>
      </c>
      <c r="AL33" s="364">
        <v>13340</v>
      </c>
      <c r="AM33" s="394">
        <v>41609</v>
      </c>
      <c r="AN33" s="365"/>
      <c r="AO33" s="363"/>
      <c r="AP33" s="365"/>
      <c r="AQ33" s="363"/>
      <c r="AR33" s="935">
        <v>22469</v>
      </c>
      <c r="AS33" s="981">
        <v>41609</v>
      </c>
      <c r="AT33" s="992">
        <v>9072</v>
      </c>
      <c r="AU33" s="981">
        <v>41609</v>
      </c>
      <c r="AV33" s="365"/>
      <c r="AW33" s="363"/>
      <c r="AX33" s="365"/>
      <c r="AY33" s="363"/>
      <c r="AZ33" s="365"/>
      <c r="BA33" s="366"/>
      <c r="BB33" s="367">
        <f t="shared" si="1"/>
        <v>48108</v>
      </c>
      <c r="BC33" s="238"/>
      <c r="BD33" s="55"/>
      <c r="BE33" s="55"/>
      <c r="BF33" s="55"/>
      <c r="BG33" s="4119"/>
      <c r="BH33" s="787"/>
      <c r="BI33" s="4120"/>
      <c r="BJ33" s="55"/>
      <c r="BK33" s="55"/>
      <c r="BL33" s="55"/>
      <c r="BM33" s="55"/>
      <c r="BN33" s="55"/>
      <c r="BO33" s="55"/>
      <c r="BP33" s="55"/>
      <c r="BQ33" s="55"/>
      <c r="BR33" s="55"/>
      <c r="BS33" s="55"/>
      <c r="BT33" s="55"/>
      <c r="BU33" s="55"/>
      <c r="BV33" s="55"/>
      <c r="BW33" s="55"/>
      <c r="BX33" s="55"/>
    </row>
    <row r="34" spans="1:93" s="47" customFormat="1" ht="67.5">
      <c r="A34" s="670" t="s">
        <v>1315</v>
      </c>
      <c r="B34" s="368" t="s">
        <v>1216</v>
      </c>
      <c r="C34" s="215" t="s">
        <v>1213</v>
      </c>
      <c r="D34" s="350" t="s">
        <v>9</v>
      </c>
      <c r="E34" s="351" t="s">
        <v>1318</v>
      </c>
      <c r="F34" s="353" t="s">
        <v>1319</v>
      </c>
      <c r="G34" s="351" t="s">
        <v>1320</v>
      </c>
      <c r="H34" s="352" t="s">
        <v>1321</v>
      </c>
      <c r="I34" s="354" t="s">
        <v>684</v>
      </c>
      <c r="J34" s="355" t="s">
        <v>1220</v>
      </c>
      <c r="K34" s="370">
        <v>3073</v>
      </c>
      <c r="L34" s="357">
        <v>40695</v>
      </c>
      <c r="M34" s="371">
        <v>12702</v>
      </c>
      <c r="N34" s="357">
        <v>40695</v>
      </c>
      <c r="O34" s="370"/>
      <c r="P34" s="373"/>
      <c r="Q34" s="370"/>
      <c r="R34" s="353" t="s">
        <v>1290</v>
      </c>
      <c r="S34" s="948">
        <v>21395</v>
      </c>
      <c r="T34" s="963">
        <v>40695</v>
      </c>
      <c r="U34" s="948">
        <v>8638</v>
      </c>
      <c r="V34" s="963">
        <v>40695</v>
      </c>
      <c r="W34" s="370"/>
      <c r="X34" s="353"/>
      <c r="Y34" s="370"/>
      <c r="Z34" s="353"/>
      <c r="AA34" s="370"/>
      <c r="AB34" s="355"/>
      <c r="AC34" s="358">
        <f t="shared" si="0"/>
        <v>45808</v>
      </c>
      <c r="AD34" s="427" t="s">
        <v>1305</v>
      </c>
      <c r="AE34" s="428" t="s">
        <v>1323</v>
      </c>
      <c r="AF34" s="458">
        <v>40056</v>
      </c>
      <c r="AG34" s="359" t="s">
        <v>909</v>
      </c>
      <c r="AH34" s="360">
        <v>41374</v>
      </c>
      <c r="AI34" s="361">
        <v>1146784</v>
      </c>
      <c r="AJ34" s="364">
        <v>3227</v>
      </c>
      <c r="AK34" s="394">
        <v>41609</v>
      </c>
      <c r="AL34" s="364">
        <v>13340</v>
      </c>
      <c r="AM34" s="394">
        <v>41609</v>
      </c>
      <c r="AN34" s="365"/>
      <c r="AO34" s="363"/>
      <c r="AP34" s="365"/>
      <c r="AQ34" s="363"/>
      <c r="AR34" s="935">
        <v>22469</v>
      </c>
      <c r="AS34" s="981">
        <v>41609</v>
      </c>
      <c r="AT34" s="992">
        <v>9072</v>
      </c>
      <c r="AU34" s="981">
        <v>41609</v>
      </c>
      <c r="AV34" s="365"/>
      <c r="AW34" s="363"/>
      <c r="AX34" s="365"/>
      <c r="AY34" s="363"/>
      <c r="AZ34" s="365"/>
      <c r="BA34" s="366"/>
      <c r="BB34" s="367">
        <f t="shared" si="1"/>
        <v>48108</v>
      </c>
      <c r="BC34" s="238"/>
      <c r="BD34" s="55"/>
      <c r="BE34" s="55"/>
      <c r="BF34" s="55"/>
      <c r="BG34" s="4119"/>
      <c r="BH34" s="787"/>
      <c r="BI34" s="4120"/>
      <c r="BJ34" s="55"/>
      <c r="BK34" s="55"/>
      <c r="BL34" s="55"/>
      <c r="BM34" s="55"/>
      <c r="BN34" s="55"/>
      <c r="BO34" s="55"/>
      <c r="BP34" s="55"/>
      <c r="BQ34" s="55"/>
      <c r="BR34" s="55"/>
      <c r="BS34" s="55"/>
      <c r="BT34" s="55"/>
      <c r="BU34" s="55"/>
      <c r="BV34" s="55"/>
      <c r="BW34" s="55"/>
      <c r="BX34" s="55"/>
    </row>
    <row r="35" spans="1:93" s="47" customFormat="1" ht="67.5">
      <c r="A35" s="670" t="s">
        <v>1315</v>
      </c>
      <c r="B35" s="368" t="s">
        <v>1217</v>
      </c>
      <c r="C35" s="215" t="s">
        <v>1214</v>
      </c>
      <c r="D35" s="350" t="s">
        <v>9</v>
      </c>
      <c r="E35" s="351" t="s">
        <v>1318</v>
      </c>
      <c r="F35" s="353" t="s">
        <v>1319</v>
      </c>
      <c r="G35" s="351" t="s">
        <v>1320</v>
      </c>
      <c r="H35" s="352" t="s">
        <v>1321</v>
      </c>
      <c r="I35" s="354" t="s">
        <v>684</v>
      </c>
      <c r="J35" s="355" t="s">
        <v>1218</v>
      </c>
      <c r="K35" s="370">
        <v>2305</v>
      </c>
      <c r="L35" s="357">
        <v>40695</v>
      </c>
      <c r="M35" s="371">
        <v>9527</v>
      </c>
      <c r="N35" s="357">
        <v>40695</v>
      </c>
      <c r="O35" s="370"/>
      <c r="P35" s="373"/>
      <c r="Q35" s="370"/>
      <c r="R35" s="353" t="s">
        <v>1290</v>
      </c>
      <c r="S35" s="948">
        <v>16046</v>
      </c>
      <c r="T35" s="963">
        <v>40695</v>
      </c>
      <c r="U35" s="948">
        <v>6478</v>
      </c>
      <c r="V35" s="963">
        <v>40695</v>
      </c>
      <c r="W35" s="370"/>
      <c r="X35" s="353"/>
      <c r="Y35" s="370"/>
      <c r="Z35" s="353"/>
      <c r="AA35" s="370"/>
      <c r="AB35" s="355"/>
      <c r="AC35" s="358">
        <f t="shared" si="0"/>
        <v>34356</v>
      </c>
      <c r="AD35" s="427" t="s">
        <v>1305</v>
      </c>
      <c r="AE35" s="428" t="s">
        <v>1323</v>
      </c>
      <c r="AF35" s="458">
        <v>40056</v>
      </c>
      <c r="AG35" s="359" t="s">
        <v>909</v>
      </c>
      <c r="AH35" s="360">
        <v>41374</v>
      </c>
      <c r="AI35" s="361">
        <v>1146784</v>
      </c>
      <c r="AJ35" s="364">
        <v>2421</v>
      </c>
      <c r="AK35" s="394">
        <v>41609</v>
      </c>
      <c r="AL35" s="364">
        <v>10005</v>
      </c>
      <c r="AM35" s="394">
        <v>41609</v>
      </c>
      <c r="AN35" s="365"/>
      <c r="AO35" s="363"/>
      <c r="AP35" s="365"/>
      <c r="AQ35" s="363"/>
      <c r="AR35" s="935">
        <v>16852</v>
      </c>
      <c r="AS35" s="981">
        <v>41609</v>
      </c>
      <c r="AT35" s="992">
        <v>6803</v>
      </c>
      <c r="AU35" s="981">
        <v>41609</v>
      </c>
      <c r="AV35" s="365"/>
      <c r="AW35" s="363"/>
      <c r="AX35" s="365"/>
      <c r="AY35" s="363"/>
      <c r="AZ35" s="365"/>
      <c r="BA35" s="366"/>
      <c r="BB35" s="367">
        <f t="shared" si="1"/>
        <v>36081</v>
      </c>
      <c r="BC35" s="4020"/>
      <c r="BD35" s="55"/>
      <c r="BE35" s="55"/>
      <c r="BF35" s="55"/>
      <c r="BG35" s="4119"/>
      <c r="BH35" s="787"/>
      <c r="BI35" s="4120"/>
      <c r="BJ35" s="55"/>
      <c r="BK35" s="55"/>
      <c r="BL35" s="55"/>
      <c r="BM35" s="55"/>
      <c r="BN35" s="55"/>
      <c r="BO35" s="55"/>
      <c r="BP35" s="55"/>
      <c r="BQ35" s="55"/>
      <c r="BR35" s="55"/>
      <c r="BS35" s="55"/>
      <c r="BT35" s="55"/>
      <c r="BU35" s="55"/>
      <c r="BV35" s="55"/>
      <c r="BW35" s="55"/>
      <c r="BX35" s="55"/>
    </row>
    <row r="36" spans="1:93" ht="90">
      <c r="A36" s="350" t="s">
        <v>2434</v>
      </c>
      <c r="B36" s="368" t="s">
        <v>1023</v>
      </c>
      <c r="C36" s="215" t="s">
        <v>626</v>
      </c>
      <c r="D36" s="350" t="s">
        <v>1330</v>
      </c>
      <c r="E36" s="354" t="s">
        <v>717</v>
      </c>
      <c r="F36" s="353" t="s">
        <v>222</v>
      </c>
      <c r="G36" s="354" t="s">
        <v>223</v>
      </c>
      <c r="H36" s="353" t="s">
        <v>1115</v>
      </c>
      <c r="I36" s="354" t="s">
        <v>1257</v>
      </c>
      <c r="J36" s="355" t="s">
        <v>581</v>
      </c>
      <c r="K36" s="370"/>
      <c r="L36" s="357"/>
      <c r="M36" s="371">
        <v>2818</v>
      </c>
      <c r="N36" s="372">
        <v>39417</v>
      </c>
      <c r="O36" s="370"/>
      <c r="P36" s="373"/>
      <c r="Q36" s="370"/>
      <c r="R36" s="353"/>
      <c r="S36" s="948"/>
      <c r="T36" s="951"/>
      <c r="U36" s="948"/>
      <c r="V36" s="952"/>
      <c r="W36" s="370"/>
      <c r="X36" s="353"/>
      <c r="Y36" s="370"/>
      <c r="Z36" s="353"/>
      <c r="AA36" s="370"/>
      <c r="AB36" s="355"/>
      <c r="AC36" s="358">
        <f t="shared" si="0"/>
        <v>2818</v>
      </c>
      <c r="AD36" s="660" t="s">
        <v>269</v>
      </c>
      <c r="AE36" s="457">
        <v>39510</v>
      </c>
      <c r="AF36" s="458">
        <v>40240</v>
      </c>
      <c r="AG36" s="359" t="s">
        <v>2001</v>
      </c>
      <c r="AH36" s="360" t="s">
        <v>1999</v>
      </c>
      <c r="AI36" s="361" t="s">
        <v>2000</v>
      </c>
      <c r="AJ36" s="380"/>
      <c r="AK36" s="381"/>
      <c r="AL36" s="382">
        <v>4183</v>
      </c>
      <c r="AM36" s="394" t="s">
        <v>2002</v>
      </c>
      <c r="AN36" s="383"/>
      <c r="AO36" s="381"/>
      <c r="AP36" s="383"/>
      <c r="AQ36" s="381"/>
      <c r="AR36" s="982"/>
      <c r="AS36" s="984"/>
      <c r="AT36" s="982"/>
      <c r="AU36" s="984"/>
      <c r="AV36" s="383"/>
      <c r="AW36" s="381"/>
      <c r="AX36" s="383"/>
      <c r="AY36" s="381"/>
      <c r="AZ36" s="383"/>
      <c r="BA36" s="384"/>
      <c r="BB36" s="367">
        <f t="shared" si="1"/>
        <v>4183</v>
      </c>
      <c r="BC36" s="4017"/>
    </row>
    <row r="37" spans="1:93" s="47" customFormat="1" ht="78.75">
      <c r="A37" s="350"/>
      <c r="B37" s="368" t="s">
        <v>2014</v>
      </c>
      <c r="C37" s="215" t="s">
        <v>906</v>
      </c>
      <c r="D37" s="350" t="s">
        <v>52</v>
      </c>
      <c r="E37" s="354" t="s">
        <v>72</v>
      </c>
      <c r="F37" s="353" t="s">
        <v>307</v>
      </c>
      <c r="G37" s="354" t="s">
        <v>524</v>
      </c>
      <c r="H37" s="353" t="s">
        <v>378</v>
      </c>
      <c r="I37" s="354" t="s">
        <v>1046</v>
      </c>
      <c r="J37" s="355" t="s">
        <v>860</v>
      </c>
      <c r="K37" s="370">
        <v>15824</v>
      </c>
      <c r="L37" s="357">
        <v>39142</v>
      </c>
      <c r="M37" s="371">
        <v>65408</v>
      </c>
      <c r="N37" s="372">
        <v>39142</v>
      </c>
      <c r="O37" s="370"/>
      <c r="P37" s="373"/>
      <c r="Q37" s="370"/>
      <c r="R37" s="353"/>
      <c r="S37" s="948">
        <v>87587</v>
      </c>
      <c r="T37" s="949">
        <v>39142</v>
      </c>
      <c r="U37" s="948">
        <v>47899</v>
      </c>
      <c r="V37" s="950">
        <v>39142</v>
      </c>
      <c r="W37" s="370"/>
      <c r="X37" s="353"/>
      <c r="Y37" s="370"/>
      <c r="Z37" s="353"/>
      <c r="AA37" s="370"/>
      <c r="AB37" s="355"/>
      <c r="AC37" s="358">
        <f t="shared" si="0"/>
        <v>216718</v>
      </c>
      <c r="AD37" s="427" t="s">
        <v>1266</v>
      </c>
      <c r="AE37" s="428" t="s">
        <v>445</v>
      </c>
      <c r="AF37" s="458" t="s">
        <v>1359</v>
      </c>
      <c r="AG37" s="359" t="s">
        <v>2017</v>
      </c>
      <c r="AH37" s="360">
        <v>41744</v>
      </c>
      <c r="AI37" s="361">
        <v>1146979</v>
      </c>
      <c r="AJ37" s="362">
        <v>19359</v>
      </c>
      <c r="AK37" s="394">
        <v>41609</v>
      </c>
      <c r="AL37" s="364">
        <v>80020</v>
      </c>
      <c r="AM37" s="394">
        <v>41609</v>
      </c>
      <c r="AN37" s="365"/>
      <c r="AO37" s="363"/>
      <c r="AP37" s="365"/>
      <c r="AQ37" s="363"/>
      <c r="AR37" s="935">
        <v>107153</v>
      </c>
      <c r="AS37" s="981">
        <v>41609</v>
      </c>
      <c r="AT37" s="935">
        <v>58599</v>
      </c>
      <c r="AU37" s="981">
        <v>41609</v>
      </c>
      <c r="AV37" s="365"/>
      <c r="AW37" s="363"/>
      <c r="AX37" s="365"/>
      <c r="AY37" s="363"/>
      <c r="AZ37" s="365"/>
      <c r="BA37" s="366"/>
      <c r="BB37" s="367">
        <f t="shared" si="1"/>
        <v>265131</v>
      </c>
      <c r="BC37" s="4020"/>
      <c r="BG37" s="4119"/>
      <c r="BH37" s="787"/>
      <c r="BI37" s="4120"/>
      <c r="BJ37" s="55"/>
      <c r="BK37" s="55"/>
      <c r="BL37" s="55"/>
      <c r="BM37" s="55"/>
      <c r="BN37" s="55"/>
      <c r="BO37" s="55"/>
      <c r="BP37" s="55"/>
      <c r="BQ37" s="55"/>
      <c r="BR37" s="55"/>
      <c r="BS37" s="55"/>
      <c r="BT37" s="55"/>
      <c r="BU37" s="55"/>
      <c r="BV37" s="55"/>
      <c r="BW37" s="55"/>
      <c r="BX37" s="55"/>
    </row>
    <row r="38" spans="1:93" s="47" customFormat="1" ht="135.75" thickBot="1">
      <c r="A38" s="4647" t="s">
        <v>2435</v>
      </c>
      <c r="B38" s="4191" t="s">
        <v>551</v>
      </c>
      <c r="C38" s="4572" t="s">
        <v>1747</v>
      </c>
      <c r="D38" s="4193" t="s">
        <v>788</v>
      </c>
      <c r="E38" s="530" t="s">
        <v>88</v>
      </c>
      <c r="F38" s="4573" t="s">
        <v>469</v>
      </c>
      <c r="G38" s="530" t="s">
        <v>1207</v>
      </c>
      <c r="H38" s="4573" t="s">
        <v>933</v>
      </c>
      <c r="I38" s="530" t="s">
        <v>1129</v>
      </c>
      <c r="J38" s="4574" t="s">
        <v>131</v>
      </c>
      <c r="K38" s="533"/>
      <c r="L38" s="4616"/>
      <c r="M38" s="726">
        <v>3496</v>
      </c>
      <c r="N38" s="4648" t="s">
        <v>2033</v>
      </c>
      <c r="O38" s="533"/>
      <c r="P38" s="4649" t="s">
        <v>235</v>
      </c>
      <c r="Q38" s="533"/>
      <c r="R38" s="4573"/>
      <c r="S38" s="957"/>
      <c r="T38" s="4640" t="s">
        <v>1757</v>
      </c>
      <c r="U38" s="957"/>
      <c r="V38" s="4640" t="s">
        <v>1758</v>
      </c>
      <c r="W38" s="728">
        <f>2769</f>
        <v>2769</v>
      </c>
      <c r="X38" s="4648" t="s">
        <v>8142</v>
      </c>
      <c r="Y38" s="533"/>
      <c r="Z38" s="4650" t="s">
        <v>1759</v>
      </c>
      <c r="AA38" s="533"/>
      <c r="AB38" s="4574"/>
      <c r="AC38" s="4202">
        <f t="shared" si="0"/>
        <v>6265</v>
      </c>
      <c r="AD38" s="4651" t="s">
        <v>448</v>
      </c>
      <c r="AE38" s="4652" t="s">
        <v>694</v>
      </c>
      <c r="AF38" s="4583" t="s">
        <v>523</v>
      </c>
      <c r="AG38" s="4653" t="s">
        <v>2028</v>
      </c>
      <c r="AH38" s="4585" t="s">
        <v>2030</v>
      </c>
      <c r="AI38" s="4586" t="s">
        <v>2029</v>
      </c>
      <c r="AJ38" s="733"/>
      <c r="AK38" s="4654"/>
      <c r="AL38" s="4655">
        <v>3496</v>
      </c>
      <c r="AM38" s="4590" t="s">
        <v>2031</v>
      </c>
      <c r="AN38" s="662"/>
      <c r="AO38" s="4654"/>
      <c r="AP38" s="662"/>
      <c r="AQ38" s="4654"/>
      <c r="AR38" s="972"/>
      <c r="AS38" s="4637"/>
      <c r="AT38" s="972"/>
      <c r="AU38" s="4637"/>
      <c r="AV38" s="662">
        <v>2769</v>
      </c>
      <c r="AW38" s="4590" t="s">
        <v>2032</v>
      </c>
      <c r="AX38" s="662"/>
      <c r="AY38" s="4590"/>
      <c r="AZ38" s="662"/>
      <c r="BA38" s="4656"/>
      <c r="BB38" s="4213">
        <f t="shared" si="1"/>
        <v>6265</v>
      </c>
      <c r="BC38" s="898" t="s">
        <v>2018</v>
      </c>
      <c r="BD38" s="756">
        <f>SUM(BB25:BB38)</f>
        <v>567569</v>
      </c>
      <c r="BE38" s="757">
        <f>BD38-BF38</f>
        <v>220460</v>
      </c>
      <c r="BF38" s="757">
        <f>SUM(AR25:AR37)+SUM(AT25:AT37)</f>
        <v>347109</v>
      </c>
      <c r="BG38" s="4119"/>
      <c r="BH38" s="787"/>
      <c r="BI38" s="4120"/>
      <c r="BJ38" s="55"/>
      <c r="BK38" s="55"/>
      <c r="BL38" s="55"/>
      <c r="BM38" s="55"/>
      <c r="BN38" s="55"/>
      <c r="BO38" s="55"/>
      <c r="BP38" s="55"/>
      <c r="BQ38" s="55"/>
      <c r="BR38" s="55"/>
      <c r="BS38" s="55"/>
      <c r="BT38" s="55"/>
      <c r="BU38" s="55"/>
      <c r="BV38" s="55"/>
      <c r="BW38" s="55"/>
      <c r="BX38" s="55"/>
    </row>
    <row r="39" spans="1:93" ht="56.25">
      <c r="A39" s="791" t="s">
        <v>2436</v>
      </c>
      <c r="B39" s="792" t="s">
        <v>638</v>
      </c>
      <c r="C39" s="793" t="s">
        <v>639</v>
      </c>
      <c r="D39" s="791" t="s">
        <v>1330</v>
      </c>
      <c r="E39" s="794" t="s">
        <v>640</v>
      </c>
      <c r="F39" s="795" t="s">
        <v>1283</v>
      </c>
      <c r="G39" s="794" t="s">
        <v>539</v>
      </c>
      <c r="H39" s="795" t="s">
        <v>540</v>
      </c>
      <c r="I39" s="794" t="s">
        <v>1168</v>
      </c>
      <c r="J39" s="796" t="s">
        <v>536</v>
      </c>
      <c r="K39" s="797"/>
      <c r="L39" s="798"/>
      <c r="M39" s="799"/>
      <c r="N39" s="1089" t="s">
        <v>2039</v>
      </c>
      <c r="O39" s="797"/>
      <c r="P39" s="801"/>
      <c r="Q39" s="797"/>
      <c r="R39" s="795"/>
      <c r="S39" s="960"/>
      <c r="T39" s="970"/>
      <c r="U39" s="960"/>
      <c r="V39" s="971"/>
      <c r="W39" s="797"/>
      <c r="X39" s="795"/>
      <c r="Y39" s="797"/>
      <c r="Z39" s="795"/>
      <c r="AA39" s="797"/>
      <c r="AB39" s="796"/>
      <c r="AC39" s="802">
        <f t="shared" si="0"/>
        <v>0</v>
      </c>
      <c r="AD39" s="1090" t="s">
        <v>269</v>
      </c>
      <c r="AE39" s="804">
        <v>40350</v>
      </c>
      <c r="AF39" s="805">
        <v>41081</v>
      </c>
      <c r="AG39" s="806" t="s">
        <v>2038</v>
      </c>
      <c r="AH39" s="807">
        <v>41764</v>
      </c>
      <c r="AI39" s="808">
        <v>1147596</v>
      </c>
      <c r="AJ39" s="1057"/>
      <c r="AK39" s="1041"/>
      <c r="AL39" s="1058">
        <v>500</v>
      </c>
      <c r="AM39" s="810" t="s">
        <v>2040</v>
      </c>
      <c r="AN39" s="1042"/>
      <c r="AO39" s="1041"/>
      <c r="AP39" s="1042"/>
      <c r="AQ39" s="1041"/>
      <c r="AR39" s="996"/>
      <c r="AS39" s="997"/>
      <c r="AT39" s="996"/>
      <c r="AU39" s="997"/>
      <c r="AV39" s="1042"/>
      <c r="AW39" s="1041"/>
      <c r="AX39" s="1042"/>
      <c r="AY39" s="1041"/>
      <c r="AZ39" s="1042"/>
      <c r="BA39" s="1043"/>
      <c r="BB39" s="815">
        <f t="shared" si="1"/>
        <v>500</v>
      </c>
      <c r="BC39" s="216"/>
    </row>
    <row r="40" spans="1:93" s="47" customFormat="1" ht="123.75">
      <c r="A40" s="462" t="s">
        <v>2437</v>
      </c>
      <c r="B40" s="510" t="s">
        <v>175</v>
      </c>
      <c r="C40" s="511" t="s">
        <v>992</v>
      </c>
      <c r="D40" s="462" t="s">
        <v>788</v>
      </c>
      <c r="E40" s="461" t="s">
        <v>1116</v>
      </c>
      <c r="F40" s="406" t="s">
        <v>64</v>
      </c>
      <c r="G40" s="461" t="s">
        <v>1197</v>
      </c>
      <c r="H40" s="406" t="s">
        <v>280</v>
      </c>
      <c r="I40" s="461" t="s">
        <v>684</v>
      </c>
      <c r="J40" s="407" t="s">
        <v>315</v>
      </c>
      <c r="K40" s="396">
        <v>247</v>
      </c>
      <c r="L40" s="397">
        <v>38231</v>
      </c>
      <c r="M40" s="392"/>
      <c r="N40" s="393" t="s">
        <v>412</v>
      </c>
      <c r="O40" s="396"/>
      <c r="P40" s="415"/>
      <c r="Q40" s="396"/>
      <c r="R40" s="406"/>
      <c r="S40" s="948"/>
      <c r="T40" s="951"/>
      <c r="U40" s="948"/>
      <c r="V40" s="952"/>
      <c r="W40" s="396"/>
      <c r="X40" s="406"/>
      <c r="Y40" s="396"/>
      <c r="Z40" s="406"/>
      <c r="AA40" s="396"/>
      <c r="AB40" s="407"/>
      <c r="AC40" s="512">
        <f t="shared" ref="AC40:AC71" si="2">K40+M40+O40+Q40+S40+U40+W40+Y40+AA40</f>
        <v>247</v>
      </c>
      <c r="AD40" s="513" t="s">
        <v>465</v>
      </c>
      <c r="AE40" s="464">
        <v>38358</v>
      </c>
      <c r="AF40" s="465">
        <v>39819</v>
      </c>
      <c r="AG40" s="524" t="s">
        <v>2051</v>
      </c>
      <c r="AH40" s="525" t="s">
        <v>2052</v>
      </c>
      <c r="AI40" s="526" t="s">
        <v>2053</v>
      </c>
      <c r="AJ40" s="403">
        <v>327</v>
      </c>
      <c r="AK40" s="404">
        <v>41699</v>
      </c>
      <c r="AL40" s="416"/>
      <c r="AM40" s="408"/>
      <c r="AN40" s="405"/>
      <c r="AO40" s="408"/>
      <c r="AP40" s="405"/>
      <c r="AQ40" s="408"/>
      <c r="AR40" s="935"/>
      <c r="AS40" s="936"/>
      <c r="AT40" s="935"/>
      <c r="AU40" s="936"/>
      <c r="AV40" s="405"/>
      <c r="AW40" s="408"/>
      <c r="AX40" s="405"/>
      <c r="AY40" s="408"/>
      <c r="AZ40" s="405"/>
      <c r="BA40" s="409"/>
      <c r="BB40" s="517">
        <f t="shared" ref="BB40:BB71" si="3">AJ40+AL40+AN40+AP40+AR40+AT40+AV40+AX40+AZ40</f>
        <v>327</v>
      </c>
      <c r="BC40" s="216"/>
      <c r="BD40" s="55"/>
      <c r="BE40" s="55"/>
      <c r="BF40" s="55"/>
      <c r="BG40" s="4119"/>
      <c r="BH40" s="787"/>
      <c r="BI40" s="4120"/>
      <c r="BJ40" s="55"/>
      <c r="BK40" s="55"/>
      <c r="BL40" s="55"/>
      <c r="BM40" s="55"/>
      <c r="BN40" s="55"/>
      <c r="BO40" s="55"/>
      <c r="BP40" s="55"/>
      <c r="BQ40" s="55"/>
      <c r="BR40" s="55"/>
      <c r="BS40" s="55"/>
      <c r="BT40" s="55"/>
      <c r="BU40" s="55"/>
      <c r="BV40" s="55"/>
      <c r="BW40" s="55"/>
      <c r="BX40" s="55"/>
      <c r="BY40" s="55"/>
    </row>
    <row r="41" spans="1:93" ht="67.5">
      <c r="A41" s="442" t="s">
        <v>2061</v>
      </c>
      <c r="B41" s="510" t="s">
        <v>175</v>
      </c>
      <c r="C41" s="511" t="s">
        <v>1349</v>
      </c>
      <c r="D41" s="462" t="s">
        <v>1350</v>
      </c>
      <c r="E41" s="461" t="s">
        <v>1351</v>
      </c>
      <c r="F41" s="406" t="s">
        <v>1352</v>
      </c>
      <c r="G41" s="461" t="s">
        <v>1354</v>
      </c>
      <c r="H41" s="406" t="s">
        <v>1353</v>
      </c>
      <c r="I41" s="461"/>
      <c r="J41" s="407" t="s">
        <v>1355</v>
      </c>
      <c r="K41" s="518"/>
      <c r="L41" s="519"/>
      <c r="M41" s="520"/>
      <c r="N41" s="521"/>
      <c r="O41" s="518"/>
      <c r="P41" s="522"/>
      <c r="Q41" s="518"/>
      <c r="R41" s="519"/>
      <c r="S41" s="964">
        <v>7088</v>
      </c>
      <c r="T41" s="965">
        <v>40603</v>
      </c>
      <c r="U41" s="964">
        <v>6782</v>
      </c>
      <c r="V41" s="966">
        <v>40603</v>
      </c>
      <c r="W41" s="518"/>
      <c r="X41" s="519"/>
      <c r="Y41" s="518"/>
      <c r="Z41" s="519"/>
      <c r="AA41" s="518"/>
      <c r="AB41" s="523"/>
      <c r="AC41" s="512">
        <f t="shared" si="2"/>
        <v>13870</v>
      </c>
      <c r="AD41" s="513" t="s">
        <v>809</v>
      </c>
      <c r="AE41" s="674">
        <v>40947</v>
      </c>
      <c r="AF41" s="675">
        <v>42408</v>
      </c>
      <c r="AG41" s="514" t="s">
        <v>1859</v>
      </c>
      <c r="AH41" s="515">
        <v>41772</v>
      </c>
      <c r="AI41" s="516">
        <v>1147958</v>
      </c>
      <c r="AJ41" s="439"/>
      <c r="AK41" s="466"/>
      <c r="AL41" s="445"/>
      <c r="AM41" s="466"/>
      <c r="AN41" s="441"/>
      <c r="AO41" s="466"/>
      <c r="AP41" s="441"/>
      <c r="AQ41" s="466"/>
      <c r="AR41" s="982">
        <v>7562</v>
      </c>
      <c r="AS41" s="983">
        <v>41699</v>
      </c>
      <c r="AT41" s="982">
        <v>7236</v>
      </c>
      <c r="AU41" s="983">
        <v>41699</v>
      </c>
      <c r="AV41" s="441"/>
      <c r="AW41" s="466"/>
      <c r="AX41" s="441"/>
      <c r="AY41" s="466"/>
      <c r="AZ41" s="441"/>
      <c r="BA41" s="467"/>
      <c r="BB41" s="517">
        <f t="shared" si="3"/>
        <v>14798</v>
      </c>
      <c r="BC41" s="216"/>
    </row>
    <row r="42" spans="1:93" ht="90">
      <c r="A42" s="442" t="s">
        <v>2062</v>
      </c>
      <c r="B42" s="510" t="s">
        <v>175</v>
      </c>
      <c r="C42" s="511" t="s">
        <v>1356</v>
      </c>
      <c r="D42" s="462" t="s">
        <v>1350</v>
      </c>
      <c r="E42" s="461" t="s">
        <v>1358</v>
      </c>
      <c r="F42" s="406" t="s">
        <v>1352</v>
      </c>
      <c r="G42" s="461" t="s">
        <v>1354</v>
      </c>
      <c r="H42" s="406" t="s">
        <v>1353</v>
      </c>
      <c r="I42" s="461"/>
      <c r="J42" s="407" t="s">
        <v>1357</v>
      </c>
      <c r="K42" s="518"/>
      <c r="L42" s="519"/>
      <c r="M42" s="520"/>
      <c r="N42" s="521"/>
      <c r="O42" s="518"/>
      <c r="P42" s="522"/>
      <c r="Q42" s="518"/>
      <c r="R42" s="519"/>
      <c r="S42" s="964">
        <v>1561</v>
      </c>
      <c r="T42" s="965">
        <v>41426</v>
      </c>
      <c r="U42" s="964">
        <v>1493</v>
      </c>
      <c r="V42" s="966">
        <v>41426</v>
      </c>
      <c r="W42" s="518"/>
      <c r="X42" s="519"/>
      <c r="Y42" s="518"/>
      <c r="Z42" s="519"/>
      <c r="AA42" s="518"/>
      <c r="AB42" s="523"/>
      <c r="AC42" s="512">
        <f t="shared" si="2"/>
        <v>3054</v>
      </c>
      <c r="AD42" s="513" t="s">
        <v>809</v>
      </c>
      <c r="AE42" s="674">
        <v>41498</v>
      </c>
      <c r="AF42" s="675"/>
      <c r="AG42" s="514" t="s">
        <v>1859</v>
      </c>
      <c r="AH42" s="515">
        <v>41772</v>
      </c>
      <c r="AI42" s="516">
        <v>1147958</v>
      </c>
      <c r="AJ42" s="439"/>
      <c r="AK42" s="466"/>
      <c r="AL42" s="445"/>
      <c r="AM42" s="466"/>
      <c r="AN42" s="441"/>
      <c r="AO42" s="466"/>
      <c r="AP42" s="441"/>
      <c r="AQ42" s="466"/>
      <c r="AR42" s="982">
        <v>1602</v>
      </c>
      <c r="AS42" s="983">
        <v>41699</v>
      </c>
      <c r="AT42" s="982">
        <v>1532</v>
      </c>
      <c r="AU42" s="983">
        <v>41699</v>
      </c>
      <c r="AV42" s="441"/>
      <c r="AW42" s="466"/>
      <c r="AX42" s="441"/>
      <c r="AY42" s="466"/>
      <c r="AZ42" s="441"/>
      <c r="BA42" s="467"/>
      <c r="BB42" s="517">
        <f t="shared" si="3"/>
        <v>3134</v>
      </c>
      <c r="BC42" s="4017"/>
    </row>
    <row r="43" spans="1:93" s="47" customFormat="1" ht="45">
      <c r="A43" s="737" t="s">
        <v>2063</v>
      </c>
      <c r="B43" s="510" t="s">
        <v>175</v>
      </c>
      <c r="C43" s="511" t="s">
        <v>608</v>
      </c>
      <c r="D43" s="462" t="s">
        <v>788</v>
      </c>
      <c r="E43" s="461" t="s">
        <v>480</v>
      </c>
      <c r="F43" s="406" t="s">
        <v>1012</v>
      </c>
      <c r="G43" s="461" t="s">
        <v>1281</v>
      </c>
      <c r="H43" s="406" t="s">
        <v>1066</v>
      </c>
      <c r="I43" s="461" t="s">
        <v>1100</v>
      </c>
      <c r="J43" s="407" t="s">
        <v>609</v>
      </c>
      <c r="K43" s="396">
        <v>672</v>
      </c>
      <c r="L43" s="397">
        <v>39142</v>
      </c>
      <c r="M43" s="392"/>
      <c r="N43" s="393"/>
      <c r="O43" s="396"/>
      <c r="P43" s="415"/>
      <c r="Q43" s="396"/>
      <c r="R43" s="406"/>
      <c r="S43" s="948"/>
      <c r="T43" s="951"/>
      <c r="U43" s="948"/>
      <c r="V43" s="952"/>
      <c r="W43" s="396"/>
      <c r="X43" s="406"/>
      <c r="Y43" s="396">
        <v>413</v>
      </c>
      <c r="Z43" s="397">
        <v>39142</v>
      </c>
      <c r="AA43" s="396"/>
      <c r="AB43" s="407"/>
      <c r="AC43" s="512">
        <f t="shared" si="2"/>
        <v>1085</v>
      </c>
      <c r="AD43" s="513" t="s">
        <v>465</v>
      </c>
      <c r="AE43" s="464">
        <v>39254</v>
      </c>
      <c r="AF43" s="465">
        <v>40715</v>
      </c>
      <c r="AG43" s="524" t="s">
        <v>2064</v>
      </c>
      <c r="AH43" s="525">
        <v>41773</v>
      </c>
      <c r="AI43" s="526">
        <v>1148007</v>
      </c>
      <c r="AJ43" s="403">
        <v>827</v>
      </c>
      <c r="AK43" s="404">
        <v>41699</v>
      </c>
      <c r="AL43" s="416"/>
      <c r="AM43" s="408"/>
      <c r="AN43" s="405"/>
      <c r="AO43" s="408"/>
      <c r="AP43" s="405"/>
      <c r="AQ43" s="408"/>
      <c r="AR43" s="935"/>
      <c r="AS43" s="936"/>
      <c r="AT43" s="935"/>
      <c r="AU43" s="936"/>
      <c r="AV43" s="405"/>
      <c r="AW43" s="408"/>
      <c r="AX43" s="405">
        <v>508</v>
      </c>
      <c r="AY43" s="404">
        <v>41699</v>
      </c>
      <c r="AZ43" s="405"/>
      <c r="BA43" s="409"/>
      <c r="BB43" s="517">
        <f t="shared" si="3"/>
        <v>1335</v>
      </c>
      <c r="BC43" s="4020"/>
      <c r="BG43" s="4119"/>
      <c r="BH43" s="787"/>
      <c r="BI43" s="4120"/>
      <c r="BJ43" s="55"/>
      <c r="BK43" s="55"/>
      <c r="BL43" s="55"/>
      <c r="BM43" s="55"/>
      <c r="BN43" s="55"/>
      <c r="BO43" s="55"/>
      <c r="BP43" s="55"/>
      <c r="BQ43" s="55"/>
      <c r="BR43" s="55"/>
      <c r="BS43" s="55"/>
      <c r="BT43" s="55"/>
      <c r="BU43" s="55"/>
      <c r="BV43" s="55"/>
      <c r="BW43" s="55"/>
      <c r="BX43" s="55"/>
    </row>
    <row r="44" spans="1:93" ht="67.5">
      <c r="A44" s="442" t="s">
        <v>2065</v>
      </c>
      <c r="B44" s="510" t="s">
        <v>175</v>
      </c>
      <c r="C44" s="511" t="s">
        <v>718</v>
      </c>
      <c r="D44" s="462" t="s">
        <v>9</v>
      </c>
      <c r="E44" s="461" t="s">
        <v>407</v>
      </c>
      <c r="F44" s="406" t="s">
        <v>119</v>
      </c>
      <c r="G44" s="461" t="s">
        <v>408</v>
      </c>
      <c r="H44" s="406" t="s">
        <v>527</v>
      </c>
      <c r="I44" s="461" t="s">
        <v>719</v>
      </c>
      <c r="J44" s="407" t="s">
        <v>720</v>
      </c>
      <c r="K44" s="396">
        <v>716</v>
      </c>
      <c r="L44" s="397">
        <v>40330</v>
      </c>
      <c r="M44" s="392"/>
      <c r="N44" s="393"/>
      <c r="O44" s="396"/>
      <c r="P44" s="415"/>
      <c r="Q44" s="396">
        <v>1465</v>
      </c>
      <c r="R44" s="397">
        <v>40330</v>
      </c>
      <c r="S44" s="948">
        <v>5183</v>
      </c>
      <c r="T44" s="949">
        <v>40330</v>
      </c>
      <c r="U44" s="948"/>
      <c r="V44" s="952"/>
      <c r="W44" s="396"/>
      <c r="X44" s="406"/>
      <c r="Y44" s="396">
        <v>1410</v>
      </c>
      <c r="Z44" s="397">
        <v>40330</v>
      </c>
      <c r="AA44" s="396"/>
      <c r="AB44" s="407"/>
      <c r="AC44" s="512">
        <f t="shared" si="2"/>
        <v>8774</v>
      </c>
      <c r="AD44" s="513" t="s">
        <v>465</v>
      </c>
      <c r="AE44" s="464">
        <v>40415</v>
      </c>
      <c r="AF44" s="465">
        <v>41876</v>
      </c>
      <c r="AG44" s="514" t="s">
        <v>2064</v>
      </c>
      <c r="AH44" s="515">
        <v>41774</v>
      </c>
      <c r="AI44" s="516">
        <v>1148099</v>
      </c>
      <c r="AJ44" s="439">
        <v>760</v>
      </c>
      <c r="AK44" s="440">
        <v>41699</v>
      </c>
      <c r="AL44" s="445"/>
      <c r="AM44" s="466"/>
      <c r="AN44" s="441"/>
      <c r="AO44" s="466"/>
      <c r="AP44" s="441">
        <v>1554</v>
      </c>
      <c r="AQ44" s="440">
        <v>41699</v>
      </c>
      <c r="AR44" s="982">
        <v>5498</v>
      </c>
      <c r="AS44" s="983">
        <v>41699</v>
      </c>
      <c r="AT44" s="982"/>
      <c r="AU44" s="984"/>
      <c r="AV44" s="441"/>
      <c r="AW44" s="466"/>
      <c r="AX44" s="441">
        <v>1496</v>
      </c>
      <c r="AY44" s="440">
        <v>41699</v>
      </c>
      <c r="AZ44" s="441"/>
      <c r="BA44" s="467"/>
      <c r="BB44" s="517">
        <f t="shared" si="3"/>
        <v>9308</v>
      </c>
      <c r="BC44" s="4017"/>
    </row>
    <row r="45" spans="1:93" ht="45">
      <c r="A45" s="462" t="s">
        <v>2438</v>
      </c>
      <c r="B45" s="510" t="s">
        <v>2050</v>
      </c>
      <c r="C45" s="738" t="s">
        <v>145</v>
      </c>
      <c r="D45" s="672" t="s">
        <v>788</v>
      </c>
      <c r="E45" s="461" t="s">
        <v>296</v>
      </c>
      <c r="F45" s="406" t="s">
        <v>146</v>
      </c>
      <c r="G45" s="461" t="s">
        <v>147</v>
      </c>
      <c r="H45" s="406" t="s">
        <v>148</v>
      </c>
      <c r="I45" s="461" t="s">
        <v>149</v>
      </c>
      <c r="J45" s="407" t="s">
        <v>317</v>
      </c>
      <c r="K45" s="518">
        <v>35</v>
      </c>
      <c r="L45" s="739">
        <v>40513</v>
      </c>
      <c r="M45" s="520">
        <v>1677</v>
      </c>
      <c r="N45" s="740">
        <v>40513</v>
      </c>
      <c r="O45" s="518"/>
      <c r="P45" s="522"/>
      <c r="Q45" s="518">
        <v>34</v>
      </c>
      <c r="R45" s="739">
        <v>40513</v>
      </c>
      <c r="S45" s="964">
        <v>139</v>
      </c>
      <c r="T45" s="965">
        <v>40513</v>
      </c>
      <c r="U45" s="964">
        <v>244</v>
      </c>
      <c r="V45" s="966">
        <v>40513</v>
      </c>
      <c r="W45" s="518"/>
      <c r="X45" s="519"/>
      <c r="Y45" s="518"/>
      <c r="Z45" s="519"/>
      <c r="AA45" s="518"/>
      <c r="AB45" s="523"/>
      <c r="AC45" s="512">
        <f t="shared" si="2"/>
        <v>2129</v>
      </c>
      <c r="AD45" s="513" t="s">
        <v>856</v>
      </c>
      <c r="AE45" s="674">
        <v>40631</v>
      </c>
      <c r="AF45" s="675">
        <v>42092</v>
      </c>
      <c r="AG45" s="514" t="s">
        <v>2064</v>
      </c>
      <c r="AH45" s="515">
        <v>41780</v>
      </c>
      <c r="AI45" s="516">
        <v>1148294</v>
      </c>
      <c r="AJ45" s="439">
        <v>38</v>
      </c>
      <c r="AK45" s="440">
        <v>41699</v>
      </c>
      <c r="AL45" s="445">
        <v>1811</v>
      </c>
      <c r="AM45" s="440">
        <v>41699</v>
      </c>
      <c r="AN45" s="441"/>
      <c r="AO45" s="466"/>
      <c r="AP45" s="441">
        <v>37</v>
      </c>
      <c r="AQ45" s="440">
        <v>41699</v>
      </c>
      <c r="AR45" s="982">
        <v>150</v>
      </c>
      <c r="AS45" s="983">
        <v>41699</v>
      </c>
      <c r="AT45" s="982">
        <v>264</v>
      </c>
      <c r="AU45" s="983">
        <v>41699</v>
      </c>
      <c r="AV45" s="441"/>
      <c r="AW45" s="466"/>
      <c r="AX45" s="441"/>
      <c r="AY45" s="466"/>
      <c r="AZ45" s="441"/>
      <c r="BA45" s="467"/>
      <c r="BB45" s="517">
        <f t="shared" si="3"/>
        <v>2300</v>
      </c>
      <c r="BC45" s="4017"/>
    </row>
    <row r="46" spans="1:93" s="47" customFormat="1" ht="225">
      <c r="A46" s="462" t="s">
        <v>2439</v>
      </c>
      <c r="B46" s="510" t="s">
        <v>175</v>
      </c>
      <c r="C46" s="511" t="s">
        <v>1340</v>
      </c>
      <c r="D46" s="462" t="s">
        <v>308</v>
      </c>
      <c r="E46" s="461" t="s">
        <v>309</v>
      </c>
      <c r="F46" s="406"/>
      <c r="G46" s="461" t="s">
        <v>723</v>
      </c>
      <c r="H46" s="406" t="s">
        <v>1048</v>
      </c>
      <c r="I46" s="461"/>
      <c r="J46" s="407" t="s">
        <v>1150</v>
      </c>
      <c r="K46" s="396"/>
      <c r="L46" s="397"/>
      <c r="M46" s="392"/>
      <c r="N46" s="393"/>
      <c r="O46" s="396"/>
      <c r="P46" s="415"/>
      <c r="Q46" s="396"/>
      <c r="R46" s="406"/>
      <c r="S46" s="948"/>
      <c r="T46" s="952"/>
      <c r="U46" s="948"/>
      <c r="V46" s="952"/>
      <c r="W46" s="396"/>
      <c r="X46" s="406"/>
      <c r="Y46" s="396"/>
      <c r="Z46" s="406"/>
      <c r="AA46" s="405">
        <v>50000</v>
      </c>
      <c r="AB46" s="407" t="s">
        <v>2067</v>
      </c>
      <c r="AC46" s="512">
        <f t="shared" si="2"/>
        <v>50000</v>
      </c>
      <c r="AD46" s="513" t="s">
        <v>1341</v>
      </c>
      <c r="AE46" s="464">
        <v>39281</v>
      </c>
      <c r="AF46" s="465" t="s">
        <v>1289</v>
      </c>
      <c r="AG46" s="650" t="s">
        <v>2068</v>
      </c>
      <c r="AH46" s="525" t="s">
        <v>2069</v>
      </c>
      <c r="AI46" s="526" t="s">
        <v>2070</v>
      </c>
      <c r="AJ46" s="403"/>
      <c r="AK46" s="408"/>
      <c r="AL46" s="416"/>
      <c r="AM46" s="408"/>
      <c r="AN46" s="405"/>
      <c r="AO46" s="408"/>
      <c r="AP46" s="405"/>
      <c r="AQ46" s="408"/>
      <c r="AR46" s="935"/>
      <c r="AS46" s="936"/>
      <c r="AT46" s="935"/>
      <c r="AU46" s="936"/>
      <c r="AV46" s="405"/>
      <c r="AW46" s="408"/>
      <c r="AX46" s="405"/>
      <c r="AY46" s="408"/>
      <c r="AZ46" s="405">
        <v>64858</v>
      </c>
      <c r="BA46" s="409" t="s">
        <v>2071</v>
      </c>
      <c r="BB46" s="517">
        <f t="shared" si="3"/>
        <v>64858</v>
      </c>
      <c r="BC46" s="4020"/>
      <c r="BG46" s="4119"/>
      <c r="BH46" s="787"/>
      <c r="BI46" s="4120"/>
      <c r="BJ46" s="55"/>
      <c r="BK46" s="55"/>
      <c r="BL46" s="55"/>
      <c r="BM46" s="55"/>
      <c r="BN46" s="55"/>
      <c r="BO46" s="55"/>
      <c r="BP46" s="55"/>
      <c r="BQ46" s="55"/>
      <c r="BR46" s="55"/>
      <c r="BS46" s="55"/>
      <c r="BT46" s="55"/>
      <c r="BU46" s="55"/>
      <c r="BV46" s="55"/>
      <c r="BW46" s="55"/>
      <c r="BX46" s="55"/>
    </row>
    <row r="47" spans="1:93" ht="78.75">
      <c r="A47" s="462" t="s">
        <v>2440</v>
      </c>
      <c r="B47" s="510" t="s">
        <v>502</v>
      </c>
      <c r="C47" s="511" t="s">
        <v>2076</v>
      </c>
      <c r="D47" s="462" t="s">
        <v>1143</v>
      </c>
      <c r="E47" s="461" t="s">
        <v>507</v>
      </c>
      <c r="F47" s="406" t="s">
        <v>951</v>
      </c>
      <c r="G47" s="461" t="s">
        <v>1038</v>
      </c>
      <c r="H47" s="406" t="s">
        <v>484</v>
      </c>
      <c r="I47" s="461" t="s">
        <v>780</v>
      </c>
      <c r="J47" s="407" t="s">
        <v>154</v>
      </c>
      <c r="K47" s="396">
        <v>709</v>
      </c>
      <c r="L47" s="397">
        <v>38504</v>
      </c>
      <c r="M47" s="392"/>
      <c r="N47" s="393" t="s">
        <v>2077</v>
      </c>
      <c r="O47" s="396"/>
      <c r="P47" s="415"/>
      <c r="Q47" s="396">
        <v>702</v>
      </c>
      <c r="R47" s="397">
        <v>38504</v>
      </c>
      <c r="S47" s="948">
        <v>1588</v>
      </c>
      <c r="T47" s="949">
        <v>38504</v>
      </c>
      <c r="U47" s="948">
        <v>1369</v>
      </c>
      <c r="V47" s="950">
        <v>38504</v>
      </c>
      <c r="W47" s="396"/>
      <c r="X47" s="406"/>
      <c r="Y47" s="396"/>
      <c r="Z47" s="406"/>
      <c r="AA47" s="396"/>
      <c r="AB47" s="407"/>
      <c r="AC47" s="512">
        <f t="shared" si="2"/>
        <v>4368</v>
      </c>
      <c r="AD47" s="513" t="s">
        <v>937</v>
      </c>
      <c r="AE47" s="464">
        <v>38636</v>
      </c>
      <c r="AF47" s="465">
        <v>40097</v>
      </c>
      <c r="AG47" s="524" t="s">
        <v>2078</v>
      </c>
      <c r="AH47" s="525" t="s">
        <v>2079</v>
      </c>
      <c r="AI47" s="526" t="s">
        <v>2080</v>
      </c>
      <c r="AJ47" s="403">
        <v>920</v>
      </c>
      <c r="AK47" s="404">
        <v>41699</v>
      </c>
      <c r="AL47" s="416"/>
      <c r="AM47" s="404" t="s">
        <v>2077</v>
      </c>
      <c r="AN47" s="405"/>
      <c r="AO47" s="408"/>
      <c r="AP47" s="403">
        <v>911</v>
      </c>
      <c r="AQ47" s="404">
        <v>41699</v>
      </c>
      <c r="AR47" s="992">
        <v>2060</v>
      </c>
      <c r="AS47" s="981">
        <v>41699</v>
      </c>
      <c r="AT47" s="992">
        <v>1776</v>
      </c>
      <c r="AU47" s="981">
        <v>41699</v>
      </c>
      <c r="AV47" s="405"/>
      <c r="AW47" s="408"/>
      <c r="AX47" s="405"/>
      <c r="AY47" s="408"/>
      <c r="AZ47" s="405"/>
      <c r="BA47" s="409"/>
      <c r="BB47" s="517">
        <f t="shared" si="3"/>
        <v>5667</v>
      </c>
      <c r="BC47" s="4017"/>
      <c r="CG47" s="47"/>
      <c r="CH47" s="47"/>
      <c r="CI47" s="47"/>
      <c r="CJ47" s="47"/>
      <c r="CK47" s="47"/>
      <c r="CL47" s="47"/>
      <c r="CM47" s="47"/>
      <c r="CN47" s="47"/>
      <c r="CO47" s="47"/>
    </row>
    <row r="48" spans="1:93" s="47" customFormat="1" ht="67.5">
      <c r="A48" s="462" t="s">
        <v>2441</v>
      </c>
      <c r="B48" s="510" t="s">
        <v>668</v>
      </c>
      <c r="C48" s="511" t="s">
        <v>654</v>
      </c>
      <c r="D48" s="462" t="s">
        <v>788</v>
      </c>
      <c r="E48" s="461" t="s">
        <v>669</v>
      </c>
      <c r="F48" s="406" t="s">
        <v>1210</v>
      </c>
      <c r="G48" s="461" t="s">
        <v>530</v>
      </c>
      <c r="H48" s="406" t="s">
        <v>509</v>
      </c>
      <c r="I48" s="461" t="s">
        <v>123</v>
      </c>
      <c r="J48" s="407" t="s">
        <v>890</v>
      </c>
      <c r="K48" s="396">
        <v>111</v>
      </c>
      <c r="L48" s="397">
        <v>38961</v>
      </c>
      <c r="M48" s="392"/>
      <c r="N48" s="393" t="s">
        <v>2082</v>
      </c>
      <c r="O48" s="396"/>
      <c r="P48" s="415"/>
      <c r="Q48" s="396">
        <v>110</v>
      </c>
      <c r="R48" s="397">
        <v>38961</v>
      </c>
      <c r="S48" s="948">
        <v>633</v>
      </c>
      <c r="T48" s="949">
        <v>38961</v>
      </c>
      <c r="U48" s="948">
        <v>1073</v>
      </c>
      <c r="V48" s="950">
        <v>38961</v>
      </c>
      <c r="W48" s="396"/>
      <c r="X48" s="406"/>
      <c r="Y48" s="396"/>
      <c r="Z48" s="406"/>
      <c r="AA48" s="396"/>
      <c r="AB48" s="407"/>
      <c r="AC48" s="512">
        <f t="shared" si="2"/>
        <v>1927</v>
      </c>
      <c r="AD48" s="513" t="s">
        <v>266</v>
      </c>
      <c r="AE48" s="464">
        <v>39120</v>
      </c>
      <c r="AF48" s="465">
        <v>40581</v>
      </c>
      <c r="AG48" s="524" t="s">
        <v>2083</v>
      </c>
      <c r="AH48" s="525" t="s">
        <v>2084</v>
      </c>
      <c r="AI48" s="526" t="s">
        <v>2085</v>
      </c>
      <c r="AJ48" s="403">
        <v>137</v>
      </c>
      <c r="AK48" s="404">
        <v>41699</v>
      </c>
      <c r="AL48" s="416"/>
      <c r="AM48" s="404" t="s">
        <v>2081</v>
      </c>
      <c r="AN48" s="405"/>
      <c r="AO48" s="408"/>
      <c r="AP48" s="405">
        <v>136</v>
      </c>
      <c r="AQ48" s="404">
        <v>41699</v>
      </c>
      <c r="AR48" s="935">
        <v>782</v>
      </c>
      <c r="AS48" s="981">
        <v>41699</v>
      </c>
      <c r="AT48" s="935">
        <v>1325</v>
      </c>
      <c r="AU48" s="981">
        <v>41699</v>
      </c>
      <c r="AV48" s="405"/>
      <c r="AW48" s="408"/>
      <c r="AX48" s="405"/>
      <c r="AY48" s="408"/>
      <c r="AZ48" s="405"/>
      <c r="BA48" s="409"/>
      <c r="BB48" s="517">
        <f t="shared" si="3"/>
        <v>2380</v>
      </c>
      <c r="BC48" s="4020"/>
      <c r="BG48" s="4119"/>
      <c r="BH48" s="787"/>
      <c r="BI48" s="4120"/>
      <c r="BJ48" s="55"/>
      <c r="BK48" s="55"/>
      <c r="BL48" s="55"/>
      <c r="BM48" s="55"/>
      <c r="BN48" s="55"/>
      <c r="BO48" s="55"/>
      <c r="BP48" s="55"/>
      <c r="BQ48" s="55"/>
      <c r="BR48" s="55"/>
      <c r="BS48" s="55"/>
      <c r="BT48" s="55"/>
      <c r="BU48" s="55"/>
      <c r="BV48" s="55"/>
      <c r="BW48" s="55"/>
      <c r="BX48" s="55"/>
      <c r="BY48" s="55"/>
    </row>
    <row r="49" spans="1:85" s="47" customFormat="1" ht="124.5" thickBot="1">
      <c r="A49" s="4626" t="s">
        <v>2442</v>
      </c>
      <c r="B49" s="4593" t="s">
        <v>1067</v>
      </c>
      <c r="C49" s="4627" t="s">
        <v>1056</v>
      </c>
      <c r="D49" s="4626" t="s">
        <v>52</v>
      </c>
      <c r="E49" s="468" t="s">
        <v>1092</v>
      </c>
      <c r="F49" s="4596" t="s">
        <v>137</v>
      </c>
      <c r="G49" s="749" t="s">
        <v>214</v>
      </c>
      <c r="H49" s="4657" t="s">
        <v>1267</v>
      </c>
      <c r="I49" s="468" t="s">
        <v>930</v>
      </c>
      <c r="J49" s="4597" t="s">
        <v>930</v>
      </c>
      <c r="K49" s="473">
        <v>3266</v>
      </c>
      <c r="L49" s="4628" t="s">
        <v>409</v>
      </c>
      <c r="M49" s="653">
        <v>157394</v>
      </c>
      <c r="N49" s="4639" t="s">
        <v>371</v>
      </c>
      <c r="O49" s="473"/>
      <c r="P49" s="4629"/>
      <c r="Q49" s="473">
        <v>3233</v>
      </c>
      <c r="R49" s="4628" t="s">
        <v>572</v>
      </c>
      <c r="S49" s="957"/>
      <c r="T49" s="4640" t="s">
        <v>2088</v>
      </c>
      <c r="U49" s="957"/>
      <c r="V49" s="4641" t="s">
        <v>2087</v>
      </c>
      <c r="W49" s="473"/>
      <c r="X49" s="4596"/>
      <c r="Y49" s="473"/>
      <c r="Z49" s="4596"/>
      <c r="AA49" s="473"/>
      <c r="AB49" s="4597"/>
      <c r="AC49" s="4604">
        <f t="shared" si="2"/>
        <v>163893</v>
      </c>
      <c r="AD49" s="4605" t="s">
        <v>1282</v>
      </c>
      <c r="AE49" s="4631" t="s">
        <v>24</v>
      </c>
      <c r="AF49" s="4658" t="s">
        <v>635</v>
      </c>
      <c r="AG49" s="4633" t="s">
        <v>2086</v>
      </c>
      <c r="AH49" s="4634">
        <v>41788</v>
      </c>
      <c r="AI49" s="4635">
        <v>1148648</v>
      </c>
      <c r="AJ49" s="750">
        <v>3718</v>
      </c>
      <c r="AK49" s="4636">
        <v>41699</v>
      </c>
      <c r="AL49" s="4659">
        <v>179197</v>
      </c>
      <c r="AM49" s="4636">
        <v>41699</v>
      </c>
      <c r="AN49" s="723"/>
      <c r="AO49" s="4660"/>
      <c r="AP49" s="723">
        <v>3681</v>
      </c>
      <c r="AQ49" s="4636">
        <v>41699</v>
      </c>
      <c r="AR49" s="972"/>
      <c r="AS49" s="4613" t="s">
        <v>107</v>
      </c>
      <c r="AT49" s="972"/>
      <c r="AU49" s="4613" t="s">
        <v>107</v>
      </c>
      <c r="AV49" s="723"/>
      <c r="AW49" s="4660"/>
      <c r="AX49" s="723"/>
      <c r="AY49" s="4660"/>
      <c r="AZ49" s="723"/>
      <c r="BA49" s="4661"/>
      <c r="BB49" s="4615">
        <f t="shared" si="3"/>
        <v>186596</v>
      </c>
      <c r="BC49" s="754" t="s">
        <v>2089</v>
      </c>
      <c r="BD49" s="741">
        <f>SUM(BB39:BB49)</f>
        <v>291203</v>
      </c>
      <c r="BE49" s="742">
        <f>BD49-BF49</f>
        <v>261416</v>
      </c>
      <c r="BF49" s="742">
        <f>SUM(AR39:AR49)+SUM(AT39:AT49)</f>
        <v>29787</v>
      </c>
      <c r="BG49" s="4119"/>
      <c r="BH49" s="787"/>
      <c r="BI49" s="4120"/>
      <c r="BJ49" s="55"/>
      <c r="BK49" s="55"/>
      <c r="BL49" s="55"/>
      <c r="BM49" s="55"/>
      <c r="BN49" s="55"/>
      <c r="BO49" s="55"/>
      <c r="BP49" s="55"/>
      <c r="BQ49" s="55"/>
      <c r="BR49" s="55"/>
      <c r="BS49" s="55"/>
      <c r="BT49" s="55"/>
      <c r="BU49" s="55"/>
      <c r="BV49" s="55"/>
      <c r="BW49" s="55"/>
      <c r="BX49" s="55"/>
    </row>
    <row r="50" spans="1:85" ht="101.25">
      <c r="A50" s="698" t="s">
        <v>2443</v>
      </c>
      <c r="B50" s="699" t="s">
        <v>638</v>
      </c>
      <c r="C50" s="700" t="s">
        <v>639</v>
      </c>
      <c r="D50" s="698" t="s">
        <v>1330</v>
      </c>
      <c r="E50" s="701" t="s">
        <v>640</v>
      </c>
      <c r="F50" s="702" t="s">
        <v>1283</v>
      </c>
      <c r="G50" s="701" t="s">
        <v>539</v>
      </c>
      <c r="H50" s="702" t="s">
        <v>540</v>
      </c>
      <c r="I50" s="701" t="s">
        <v>1168</v>
      </c>
      <c r="J50" s="703" t="s">
        <v>536</v>
      </c>
      <c r="K50" s="704"/>
      <c r="L50" s="705"/>
      <c r="M50" s="706"/>
      <c r="N50" s="707" t="s">
        <v>2104</v>
      </c>
      <c r="O50" s="704"/>
      <c r="P50" s="708"/>
      <c r="Q50" s="704"/>
      <c r="R50" s="702"/>
      <c r="S50" s="960"/>
      <c r="T50" s="970"/>
      <c r="U50" s="960"/>
      <c r="V50" s="971"/>
      <c r="W50" s="704"/>
      <c r="X50" s="702"/>
      <c r="Y50" s="704"/>
      <c r="Z50" s="702"/>
      <c r="AA50" s="704"/>
      <c r="AB50" s="703"/>
      <c r="AC50" s="536">
        <f t="shared" si="2"/>
        <v>0</v>
      </c>
      <c r="AD50" s="877" t="s">
        <v>269</v>
      </c>
      <c r="AE50" s="710">
        <v>40350</v>
      </c>
      <c r="AF50" s="711">
        <v>41081</v>
      </c>
      <c r="AG50" s="712" t="s">
        <v>2178</v>
      </c>
      <c r="AH50" s="713" t="s">
        <v>2179</v>
      </c>
      <c r="AI50" s="714" t="s">
        <v>2180</v>
      </c>
      <c r="AJ50" s="772"/>
      <c r="AK50" s="775"/>
      <c r="AL50" s="773">
        <v>500</v>
      </c>
      <c r="AM50" s="716" t="s">
        <v>2103</v>
      </c>
      <c r="AN50" s="774"/>
      <c r="AO50" s="775"/>
      <c r="AP50" s="774"/>
      <c r="AQ50" s="775"/>
      <c r="AR50" s="996"/>
      <c r="AS50" s="997"/>
      <c r="AT50" s="996"/>
      <c r="AU50" s="997"/>
      <c r="AV50" s="774"/>
      <c r="AW50" s="775"/>
      <c r="AX50" s="774"/>
      <c r="AY50" s="775"/>
      <c r="AZ50" s="774"/>
      <c r="BA50" s="776"/>
      <c r="BB50" s="721">
        <f t="shared" si="3"/>
        <v>500</v>
      </c>
      <c r="BC50" s="216"/>
    </row>
    <row r="51" spans="1:85" ht="56.25">
      <c r="A51" s="350" t="s">
        <v>2444</v>
      </c>
      <c r="B51" s="368" t="s">
        <v>1093</v>
      </c>
      <c r="C51" s="215" t="s">
        <v>353</v>
      </c>
      <c r="D51" s="350" t="s">
        <v>1330</v>
      </c>
      <c r="E51" s="354" t="s">
        <v>813</v>
      </c>
      <c r="F51" s="353" t="s">
        <v>1094</v>
      </c>
      <c r="G51" s="354" t="s">
        <v>1095</v>
      </c>
      <c r="H51" s="353" t="s">
        <v>1097</v>
      </c>
      <c r="I51" s="354" t="s">
        <v>1168</v>
      </c>
      <c r="J51" s="355" t="s">
        <v>536</v>
      </c>
      <c r="K51" s="370"/>
      <c r="L51" s="357"/>
      <c r="M51" s="371">
        <v>2372</v>
      </c>
      <c r="N51" s="372" t="s">
        <v>2106</v>
      </c>
      <c r="O51" s="370"/>
      <c r="P51" s="373"/>
      <c r="Q51" s="370"/>
      <c r="R51" s="353"/>
      <c r="S51" s="948"/>
      <c r="T51" s="951"/>
      <c r="U51" s="948"/>
      <c r="V51" s="952"/>
      <c r="W51" s="370"/>
      <c r="X51" s="353"/>
      <c r="Y51" s="370"/>
      <c r="Z51" s="353"/>
      <c r="AA51" s="370"/>
      <c r="AB51" s="355"/>
      <c r="AC51" s="358">
        <f t="shared" si="2"/>
        <v>2372</v>
      </c>
      <c r="AD51" s="660" t="s">
        <v>269</v>
      </c>
      <c r="AE51" s="457">
        <v>40409</v>
      </c>
      <c r="AF51" s="458">
        <v>41140</v>
      </c>
      <c r="AG51" s="359" t="s">
        <v>2181</v>
      </c>
      <c r="AH51" s="769">
        <v>41792</v>
      </c>
      <c r="AI51" s="379">
        <v>1148772</v>
      </c>
      <c r="AJ51" s="380"/>
      <c r="AK51" s="381"/>
      <c r="AL51" s="382">
        <v>2695</v>
      </c>
      <c r="AM51" s="394">
        <v>41699</v>
      </c>
      <c r="AN51" s="383"/>
      <c r="AO51" s="381"/>
      <c r="AP51" s="383"/>
      <c r="AQ51" s="381"/>
      <c r="AR51" s="982"/>
      <c r="AS51" s="984"/>
      <c r="AT51" s="982"/>
      <c r="AU51" s="984"/>
      <c r="AV51" s="383"/>
      <c r="AW51" s="381"/>
      <c r="AX51" s="383"/>
      <c r="AY51" s="381"/>
      <c r="AZ51" s="383"/>
      <c r="BA51" s="384"/>
      <c r="BB51" s="367">
        <f t="shared" si="3"/>
        <v>2695</v>
      </c>
      <c r="BC51" s="4017"/>
    </row>
    <row r="52" spans="1:85" ht="56.25">
      <c r="A52" s="350" t="s">
        <v>2445</v>
      </c>
      <c r="B52" s="368" t="s">
        <v>65</v>
      </c>
      <c r="C52" s="215" t="s">
        <v>1153</v>
      </c>
      <c r="D52" s="350" t="s">
        <v>1330</v>
      </c>
      <c r="E52" s="354" t="s">
        <v>1154</v>
      </c>
      <c r="F52" s="353" t="s">
        <v>857</v>
      </c>
      <c r="G52" s="354" t="s">
        <v>1155</v>
      </c>
      <c r="H52" s="353" t="s">
        <v>432</v>
      </c>
      <c r="I52" s="354" t="s">
        <v>1257</v>
      </c>
      <c r="J52" s="355" t="s">
        <v>581</v>
      </c>
      <c r="K52" s="370"/>
      <c r="L52" s="357"/>
      <c r="M52" s="371">
        <v>2818</v>
      </c>
      <c r="N52" s="372" t="s">
        <v>2177</v>
      </c>
      <c r="O52" s="370"/>
      <c r="P52" s="373"/>
      <c r="Q52" s="370"/>
      <c r="R52" s="353"/>
      <c r="S52" s="948"/>
      <c r="T52" s="951"/>
      <c r="U52" s="948"/>
      <c r="V52" s="952"/>
      <c r="W52" s="370"/>
      <c r="X52" s="353"/>
      <c r="Y52" s="370"/>
      <c r="Z52" s="353"/>
      <c r="AA52" s="370"/>
      <c r="AB52" s="355"/>
      <c r="AC52" s="358">
        <f t="shared" si="2"/>
        <v>2818</v>
      </c>
      <c r="AD52" s="660" t="s">
        <v>269</v>
      </c>
      <c r="AE52" s="457">
        <v>39548</v>
      </c>
      <c r="AF52" s="458">
        <v>40278</v>
      </c>
      <c r="AG52" s="359" t="s">
        <v>2181</v>
      </c>
      <c r="AH52" s="769">
        <v>41807</v>
      </c>
      <c r="AI52" s="379">
        <v>1149335</v>
      </c>
      <c r="AJ52" s="380"/>
      <c r="AK52" s="381"/>
      <c r="AL52" s="382">
        <v>3557</v>
      </c>
      <c r="AM52" s="381" t="s">
        <v>2176</v>
      </c>
      <c r="AN52" s="383"/>
      <c r="AO52" s="381"/>
      <c r="AP52" s="383"/>
      <c r="AQ52" s="381"/>
      <c r="AR52" s="982"/>
      <c r="AS52" s="984"/>
      <c r="AT52" s="982"/>
      <c r="AU52" s="984"/>
      <c r="AV52" s="383"/>
      <c r="AW52" s="381"/>
      <c r="AX52" s="383"/>
      <c r="AY52" s="381"/>
      <c r="AZ52" s="383"/>
      <c r="BA52" s="384"/>
      <c r="BB52" s="367">
        <f t="shared" si="3"/>
        <v>3557</v>
      </c>
    </row>
    <row r="53" spans="1:85" s="47" customFormat="1" ht="56.25">
      <c r="A53" s="895" t="s">
        <v>2446</v>
      </c>
      <c r="B53" s="368" t="s">
        <v>617</v>
      </c>
      <c r="C53" s="215" t="s">
        <v>1140</v>
      </c>
      <c r="D53" s="350" t="s">
        <v>788</v>
      </c>
      <c r="E53" s="354" t="s">
        <v>618</v>
      </c>
      <c r="F53" s="353" t="s">
        <v>161</v>
      </c>
      <c r="G53" s="354" t="s">
        <v>642</v>
      </c>
      <c r="H53" s="353" t="s">
        <v>619</v>
      </c>
      <c r="I53" s="354" t="s">
        <v>545</v>
      </c>
      <c r="J53" s="355" t="s">
        <v>781</v>
      </c>
      <c r="K53" s="370">
        <v>57</v>
      </c>
      <c r="L53" s="357">
        <v>39052</v>
      </c>
      <c r="M53" s="371">
        <v>2798</v>
      </c>
      <c r="N53" s="372">
        <v>39052</v>
      </c>
      <c r="O53" s="370"/>
      <c r="P53" s="373"/>
      <c r="Q53" s="370">
        <v>58</v>
      </c>
      <c r="R53" s="357">
        <v>39052</v>
      </c>
      <c r="S53" s="948">
        <v>185</v>
      </c>
      <c r="T53" s="949">
        <v>39052</v>
      </c>
      <c r="U53" s="948">
        <v>274</v>
      </c>
      <c r="V53" s="950">
        <v>39052</v>
      </c>
      <c r="W53" s="370">
        <v>13595</v>
      </c>
      <c r="X53" s="357" t="s">
        <v>8144</v>
      </c>
      <c r="Y53" s="370"/>
      <c r="Z53" s="353"/>
      <c r="AA53" s="370"/>
      <c r="AB53" s="355"/>
      <c r="AC53" s="358">
        <f t="shared" si="2"/>
        <v>16967</v>
      </c>
      <c r="AD53" s="768" t="s">
        <v>266</v>
      </c>
      <c r="AE53" s="457">
        <v>39128</v>
      </c>
      <c r="AF53" s="458">
        <v>40589</v>
      </c>
      <c r="AG53" s="359" t="s">
        <v>2181</v>
      </c>
      <c r="AH53" s="770">
        <v>41807</v>
      </c>
      <c r="AI53" s="361">
        <v>149381</v>
      </c>
      <c r="AJ53" s="362">
        <v>72</v>
      </c>
      <c r="AK53" s="394">
        <v>41699</v>
      </c>
      <c r="AL53" s="364">
        <v>4669</v>
      </c>
      <c r="AM53" s="381" t="s">
        <v>2183</v>
      </c>
      <c r="AN53" s="365"/>
      <c r="AO53" s="363"/>
      <c r="AP53" s="365">
        <v>70</v>
      </c>
      <c r="AQ53" s="394">
        <v>41699</v>
      </c>
      <c r="AR53" s="935">
        <v>229</v>
      </c>
      <c r="AS53" s="981">
        <v>41699</v>
      </c>
      <c r="AT53" s="935">
        <v>339</v>
      </c>
      <c r="AU53" s="981">
        <v>41699</v>
      </c>
      <c r="AV53" s="365">
        <v>16806</v>
      </c>
      <c r="AW53" s="394">
        <v>41699</v>
      </c>
      <c r="AX53" s="365"/>
      <c r="AY53" s="363"/>
      <c r="AZ53" s="365"/>
      <c r="BA53" s="366"/>
      <c r="BB53" s="367">
        <f t="shared" si="3"/>
        <v>22185</v>
      </c>
      <c r="BC53" s="4020"/>
      <c r="BG53" s="4119"/>
      <c r="BH53" s="787"/>
      <c r="BI53" s="4120"/>
      <c r="BJ53" s="55"/>
      <c r="BK53" s="55"/>
      <c r="BL53" s="55"/>
      <c r="BM53" s="55"/>
      <c r="BN53" s="55"/>
      <c r="BO53" s="55"/>
      <c r="BP53" s="55"/>
      <c r="BQ53" s="55"/>
      <c r="BR53" s="55"/>
      <c r="BS53" s="55"/>
      <c r="BT53" s="55"/>
      <c r="BU53" s="55"/>
      <c r="BV53" s="55"/>
      <c r="BW53" s="55"/>
      <c r="BX53" s="55"/>
    </row>
    <row r="54" spans="1:85" ht="123.75">
      <c r="A54" s="661" t="s">
        <v>2417</v>
      </c>
      <c r="B54" s="368" t="s">
        <v>661</v>
      </c>
      <c r="C54" s="215" t="s">
        <v>311</v>
      </c>
      <c r="D54" s="350" t="s">
        <v>788</v>
      </c>
      <c r="E54" s="354" t="s">
        <v>1036</v>
      </c>
      <c r="F54" s="353" t="s">
        <v>667</v>
      </c>
      <c r="G54" s="354" t="s">
        <v>514</v>
      </c>
      <c r="H54" s="353" t="s">
        <v>516</v>
      </c>
      <c r="I54" s="354" t="s">
        <v>229</v>
      </c>
      <c r="J54" s="355" t="s">
        <v>482</v>
      </c>
      <c r="K54" s="430"/>
      <c r="L54" s="434"/>
      <c r="M54" s="432">
        <v>1332</v>
      </c>
      <c r="N54" s="433">
        <v>38869</v>
      </c>
      <c r="O54" s="430"/>
      <c r="P54" s="435"/>
      <c r="Q54" s="430"/>
      <c r="R54" s="434"/>
      <c r="S54" s="964"/>
      <c r="T54" s="967"/>
      <c r="U54" s="964"/>
      <c r="V54" s="967"/>
      <c r="W54" s="430"/>
      <c r="X54" s="434"/>
      <c r="Y54" s="430"/>
      <c r="Z54" s="434"/>
      <c r="AA54" s="430"/>
      <c r="AB54" s="436"/>
      <c r="AC54" s="358">
        <f t="shared" si="2"/>
        <v>1332</v>
      </c>
      <c r="AD54" s="427" t="s">
        <v>1293</v>
      </c>
      <c r="AE54" s="428" t="s">
        <v>698</v>
      </c>
      <c r="AF54" s="458">
        <v>40512</v>
      </c>
      <c r="AG54" s="359" t="s">
        <v>2198</v>
      </c>
      <c r="AH54" s="640">
        <v>41820</v>
      </c>
      <c r="AI54" s="641">
        <v>1149887</v>
      </c>
      <c r="AJ54" s="642"/>
      <c r="AK54" s="643"/>
      <c r="AL54" s="644">
        <v>1585</v>
      </c>
      <c r="AM54" s="771" t="s">
        <v>2199</v>
      </c>
      <c r="AN54" s="645"/>
      <c r="AO54" s="643"/>
      <c r="AP54" s="645"/>
      <c r="AQ54" s="643"/>
      <c r="AR54" s="993"/>
      <c r="AS54" s="994"/>
      <c r="AT54" s="993"/>
      <c r="AU54" s="994"/>
      <c r="AV54" s="645"/>
      <c r="AW54" s="643"/>
      <c r="AX54" s="645"/>
      <c r="AY54" s="643"/>
      <c r="AZ54" s="645"/>
      <c r="BA54" s="646"/>
      <c r="BB54" s="367">
        <f t="shared" si="3"/>
        <v>1585</v>
      </c>
    </row>
    <row r="55" spans="1:85" ht="168.75">
      <c r="A55" s="350" t="s">
        <v>2447</v>
      </c>
      <c r="B55" s="368" t="s">
        <v>641</v>
      </c>
      <c r="C55" s="215" t="s">
        <v>1733</v>
      </c>
      <c r="D55" s="350" t="s">
        <v>1330</v>
      </c>
      <c r="E55" s="354" t="s">
        <v>277</v>
      </c>
      <c r="F55" s="353" t="s">
        <v>1078</v>
      </c>
      <c r="G55" s="354" t="s">
        <v>1079</v>
      </c>
      <c r="H55" s="353" t="s">
        <v>339</v>
      </c>
      <c r="I55" s="354" t="s">
        <v>1168</v>
      </c>
      <c r="J55" s="355" t="s">
        <v>536</v>
      </c>
      <c r="K55" s="370"/>
      <c r="L55" s="357"/>
      <c r="M55" s="371">
        <f>664</f>
        <v>664</v>
      </c>
      <c r="N55" s="372" t="s">
        <v>2290</v>
      </c>
      <c r="O55" s="370"/>
      <c r="P55" s="373"/>
      <c r="Q55" s="370"/>
      <c r="R55" s="353"/>
      <c r="S55" s="948"/>
      <c r="T55" s="951"/>
      <c r="U55" s="948"/>
      <c r="V55" s="952"/>
      <c r="W55" s="370"/>
      <c r="X55" s="353"/>
      <c r="Y55" s="370"/>
      <c r="Z55" s="353"/>
      <c r="AA55" s="370"/>
      <c r="AB55" s="355"/>
      <c r="AC55" s="358">
        <f t="shared" si="2"/>
        <v>664</v>
      </c>
      <c r="AD55" s="660" t="s">
        <v>269</v>
      </c>
      <c r="AE55" s="457">
        <v>40312</v>
      </c>
      <c r="AF55" s="458">
        <v>41043</v>
      </c>
      <c r="AG55" s="759" t="s">
        <v>2201</v>
      </c>
      <c r="AH55" s="360" t="s">
        <v>2202</v>
      </c>
      <c r="AI55" s="361" t="s">
        <v>2203</v>
      </c>
      <c r="AJ55" s="380"/>
      <c r="AK55" s="381"/>
      <c r="AL55" s="382">
        <v>664</v>
      </c>
      <c r="AM55" s="394" t="s">
        <v>2200</v>
      </c>
      <c r="AN55" s="383"/>
      <c r="AO55" s="381"/>
      <c r="AP55" s="383"/>
      <c r="AQ55" s="381"/>
      <c r="AR55" s="982"/>
      <c r="AS55" s="984"/>
      <c r="AT55" s="982"/>
      <c r="AU55" s="984"/>
      <c r="AV55" s="383"/>
      <c r="AW55" s="381"/>
      <c r="AX55" s="383"/>
      <c r="AY55" s="381"/>
      <c r="AZ55" s="383"/>
      <c r="BA55" s="384"/>
      <c r="BB55" s="367">
        <f t="shared" si="3"/>
        <v>664</v>
      </c>
      <c r="BC55" s="4017"/>
    </row>
    <row r="56" spans="1:85" s="147" customFormat="1" ht="57" thickBot="1">
      <c r="A56" s="816" t="s">
        <v>2204</v>
      </c>
      <c r="B56" s="527" t="s">
        <v>175</v>
      </c>
      <c r="C56" s="528" t="s">
        <v>1045</v>
      </c>
      <c r="D56" s="529" t="s">
        <v>788</v>
      </c>
      <c r="E56" s="530" t="s">
        <v>1037</v>
      </c>
      <c r="F56" s="531" t="s">
        <v>231</v>
      </c>
      <c r="G56" s="530" t="s">
        <v>232</v>
      </c>
      <c r="H56" s="531" t="s">
        <v>629</v>
      </c>
      <c r="I56" s="530" t="s">
        <v>945</v>
      </c>
      <c r="J56" s="532" t="s">
        <v>520</v>
      </c>
      <c r="K56" s="533"/>
      <c r="L56" s="534"/>
      <c r="M56" s="535"/>
      <c r="N56" s="777"/>
      <c r="O56" s="533"/>
      <c r="P56" s="817"/>
      <c r="Q56" s="533"/>
      <c r="R56" s="531"/>
      <c r="S56" s="957"/>
      <c r="T56" s="968"/>
      <c r="U56" s="957"/>
      <c r="V56" s="969"/>
      <c r="W56" s="533"/>
      <c r="X56" s="531"/>
      <c r="Y56" s="533">
        <v>1248</v>
      </c>
      <c r="Z56" s="534">
        <v>39142</v>
      </c>
      <c r="AA56" s="533"/>
      <c r="AB56" s="532"/>
      <c r="AC56" s="729">
        <f t="shared" si="2"/>
        <v>1248</v>
      </c>
      <c r="AD56" s="818" t="s">
        <v>465</v>
      </c>
      <c r="AE56" s="819">
        <v>39275</v>
      </c>
      <c r="AF56" s="732">
        <v>40736</v>
      </c>
      <c r="AG56" s="778" t="s">
        <v>909</v>
      </c>
      <c r="AH56" s="663">
        <v>41820</v>
      </c>
      <c r="AI56" s="664">
        <v>1149904</v>
      </c>
      <c r="AJ56" s="733"/>
      <c r="AK56" s="734"/>
      <c r="AL56" s="735"/>
      <c r="AM56" s="734"/>
      <c r="AN56" s="662"/>
      <c r="AO56" s="734"/>
      <c r="AP56" s="662"/>
      <c r="AQ56" s="734"/>
      <c r="AR56" s="972"/>
      <c r="AS56" s="995"/>
      <c r="AT56" s="972"/>
      <c r="AU56" s="995"/>
      <c r="AV56" s="662"/>
      <c r="AW56" s="734"/>
      <c r="AX56" s="662">
        <v>1536</v>
      </c>
      <c r="AY56" s="665">
        <v>41699</v>
      </c>
      <c r="AZ56" s="662"/>
      <c r="BA56" s="736"/>
      <c r="BB56" s="545">
        <f t="shared" si="3"/>
        <v>1536</v>
      </c>
      <c r="BC56" s="755" t="s">
        <v>2105</v>
      </c>
      <c r="BD56" s="756">
        <f>SUM(BB50:BB56)</f>
        <v>32722</v>
      </c>
      <c r="BE56" s="757">
        <f>BD56-BF56</f>
        <v>32154</v>
      </c>
      <c r="BF56" s="757">
        <f>SUM(AR50:AR56)+SUM(AT50:AT56)</f>
        <v>568</v>
      </c>
      <c r="BG56" s="4568">
        <f>SUM(BE8:BE56)</f>
        <v>852314</v>
      </c>
      <c r="BH56" s="4567">
        <f>SUM(BH8:BH55)</f>
        <v>0</v>
      </c>
      <c r="BI56" s="4567">
        <f>SUM(BI8:BI55)</f>
        <v>0</v>
      </c>
      <c r="BJ56" s="194"/>
      <c r="BK56" s="194"/>
      <c r="BL56" s="194"/>
      <c r="BM56" s="194"/>
      <c r="BN56" s="194"/>
      <c r="BO56" s="194"/>
      <c r="BP56" s="194"/>
      <c r="BQ56" s="194"/>
      <c r="BR56" s="194"/>
      <c r="BS56" s="194"/>
      <c r="BT56" s="194"/>
      <c r="BU56" s="194"/>
      <c r="BV56" s="194"/>
      <c r="BW56" s="194"/>
    </row>
    <row r="57" spans="1:85" s="47" customFormat="1" ht="168.75">
      <c r="A57" s="791" t="s">
        <v>2448</v>
      </c>
      <c r="B57" s="792" t="s">
        <v>295</v>
      </c>
      <c r="C57" s="793" t="s">
        <v>338</v>
      </c>
      <c r="D57" s="791" t="s">
        <v>1330</v>
      </c>
      <c r="E57" s="794" t="s">
        <v>1182</v>
      </c>
      <c r="F57" s="795" t="s">
        <v>1029</v>
      </c>
      <c r="G57" s="794" t="s">
        <v>213</v>
      </c>
      <c r="H57" s="795" t="s">
        <v>50</v>
      </c>
      <c r="I57" s="794" t="s">
        <v>181</v>
      </c>
      <c r="J57" s="796" t="s">
        <v>536</v>
      </c>
      <c r="K57" s="797"/>
      <c r="L57" s="798"/>
      <c r="M57" s="799">
        <v>2717</v>
      </c>
      <c r="N57" s="800">
        <v>38961</v>
      </c>
      <c r="O57" s="797"/>
      <c r="P57" s="801"/>
      <c r="Q57" s="797"/>
      <c r="R57" s="795"/>
      <c r="S57" s="960"/>
      <c r="T57" s="970"/>
      <c r="U57" s="960"/>
      <c r="V57" s="971"/>
      <c r="W57" s="797"/>
      <c r="X57" s="795"/>
      <c r="Y57" s="797"/>
      <c r="Z57" s="795"/>
      <c r="AA57" s="797"/>
      <c r="AB57" s="796"/>
      <c r="AC57" s="802">
        <f t="shared" si="2"/>
        <v>2717</v>
      </c>
      <c r="AD57" s="803" t="s">
        <v>779</v>
      </c>
      <c r="AE57" s="804">
        <v>39034</v>
      </c>
      <c r="AF57" s="805">
        <v>39581</v>
      </c>
      <c r="AG57" s="806" t="s">
        <v>2205</v>
      </c>
      <c r="AH57" s="807" t="s">
        <v>2207</v>
      </c>
      <c r="AI57" s="808" t="s">
        <v>2208</v>
      </c>
      <c r="AJ57" s="809"/>
      <c r="AK57" s="810"/>
      <c r="AL57" s="811">
        <v>1547</v>
      </c>
      <c r="AM57" s="812" t="s">
        <v>2206</v>
      </c>
      <c r="AN57" s="813"/>
      <c r="AO57" s="810"/>
      <c r="AP57" s="813"/>
      <c r="AQ57" s="810"/>
      <c r="AR57" s="990"/>
      <c r="AS57" s="991"/>
      <c r="AT57" s="990"/>
      <c r="AU57" s="991"/>
      <c r="AV57" s="813"/>
      <c r="AW57" s="810"/>
      <c r="AX57" s="813"/>
      <c r="AY57" s="810"/>
      <c r="AZ57" s="813"/>
      <c r="BA57" s="814"/>
      <c r="BB57" s="815">
        <f t="shared" si="3"/>
        <v>1547</v>
      </c>
      <c r="BC57" s="4020"/>
      <c r="BG57" s="4119"/>
      <c r="BH57" s="787"/>
      <c r="BI57" s="4120"/>
      <c r="BJ57" s="55"/>
      <c r="BK57" s="55"/>
      <c r="BL57" s="55"/>
      <c r="BM57" s="55"/>
      <c r="BN57" s="55"/>
      <c r="BO57" s="55"/>
      <c r="BP57" s="55"/>
      <c r="BQ57" s="55"/>
      <c r="BR57" s="55"/>
      <c r="BS57" s="55"/>
      <c r="BT57" s="55"/>
      <c r="BU57" s="55"/>
      <c r="BV57" s="55"/>
      <c r="BW57" s="55"/>
    </row>
    <row r="58" spans="1:85" s="47" customFormat="1" ht="78.75">
      <c r="A58" s="442" t="s">
        <v>2449</v>
      </c>
      <c r="B58" s="510" t="s">
        <v>2015</v>
      </c>
      <c r="C58" s="511" t="s">
        <v>906</v>
      </c>
      <c r="D58" s="462" t="s">
        <v>52</v>
      </c>
      <c r="E58" s="461" t="s">
        <v>72</v>
      </c>
      <c r="F58" s="406" t="s">
        <v>416</v>
      </c>
      <c r="G58" s="461" t="s">
        <v>524</v>
      </c>
      <c r="H58" s="406" t="s">
        <v>378</v>
      </c>
      <c r="I58" s="461" t="s">
        <v>1046</v>
      </c>
      <c r="J58" s="407" t="s">
        <v>341</v>
      </c>
      <c r="K58" s="396">
        <v>12527</v>
      </c>
      <c r="L58" s="397">
        <v>39142</v>
      </c>
      <c r="M58" s="392">
        <v>51781</v>
      </c>
      <c r="N58" s="393">
        <v>39142</v>
      </c>
      <c r="O58" s="396"/>
      <c r="P58" s="415"/>
      <c r="Q58" s="396"/>
      <c r="R58" s="406"/>
      <c r="S58" s="948">
        <v>69339</v>
      </c>
      <c r="T58" s="949">
        <v>39142</v>
      </c>
      <c r="U58" s="948">
        <v>37920</v>
      </c>
      <c r="V58" s="950">
        <v>39142</v>
      </c>
      <c r="W58" s="396"/>
      <c r="X58" s="406"/>
      <c r="Y58" s="396"/>
      <c r="Z58" s="406"/>
      <c r="AA58" s="396"/>
      <c r="AB58" s="407"/>
      <c r="AC58" s="512">
        <f t="shared" si="2"/>
        <v>171567</v>
      </c>
      <c r="AD58" s="601" t="s">
        <v>1266</v>
      </c>
      <c r="AE58" s="602" t="s">
        <v>445</v>
      </c>
      <c r="AF58" s="465" t="s">
        <v>1359</v>
      </c>
      <c r="AG58" s="524" t="s">
        <v>1748</v>
      </c>
      <c r="AH58" s="525">
        <v>41822</v>
      </c>
      <c r="AI58" s="526">
        <v>1149977</v>
      </c>
      <c r="AJ58" s="403">
        <v>15413</v>
      </c>
      <c r="AK58" s="404">
        <v>41699</v>
      </c>
      <c r="AL58" s="416">
        <v>63712</v>
      </c>
      <c r="AM58" s="404">
        <v>41699</v>
      </c>
      <c r="AN58" s="405"/>
      <c r="AO58" s="408"/>
      <c r="AP58" s="405"/>
      <c r="AQ58" s="408"/>
      <c r="AR58" s="935">
        <v>85315</v>
      </c>
      <c r="AS58" s="981">
        <v>41699</v>
      </c>
      <c r="AT58" s="935">
        <v>46657</v>
      </c>
      <c r="AU58" s="981">
        <v>41699</v>
      </c>
      <c r="AV58" s="405"/>
      <c r="AW58" s="408"/>
      <c r="AX58" s="405"/>
      <c r="AY58" s="408"/>
      <c r="AZ58" s="405"/>
      <c r="BA58" s="409"/>
      <c r="BB58" s="517">
        <f t="shared" si="3"/>
        <v>211097</v>
      </c>
      <c r="BC58" s="238"/>
      <c r="BD58" s="55"/>
      <c r="BE58" s="55"/>
      <c r="BF58" s="55"/>
      <c r="BG58" s="4119"/>
      <c r="BH58" s="787"/>
      <c r="BI58" s="4120"/>
      <c r="BJ58" s="55"/>
      <c r="BK58" s="55"/>
      <c r="BL58" s="55"/>
      <c r="BM58" s="55"/>
      <c r="BN58" s="55"/>
      <c r="BO58" s="55"/>
      <c r="BP58" s="55"/>
      <c r="BQ58" s="55"/>
      <c r="BR58" s="55"/>
      <c r="BS58" s="55"/>
      <c r="BT58" s="55"/>
      <c r="BU58" s="55"/>
      <c r="BV58" s="55"/>
      <c r="BW58" s="55"/>
      <c r="BX58" s="55"/>
    </row>
    <row r="59" spans="1:85" s="47" customFormat="1" ht="78.75">
      <c r="A59" s="442" t="s">
        <v>2268</v>
      </c>
      <c r="B59" s="510" t="s">
        <v>2016</v>
      </c>
      <c r="C59" s="511" t="s">
        <v>906</v>
      </c>
      <c r="D59" s="462" t="s">
        <v>52</v>
      </c>
      <c r="E59" s="461" t="s">
        <v>72</v>
      </c>
      <c r="F59" s="406" t="s">
        <v>285</v>
      </c>
      <c r="G59" s="461" t="s">
        <v>524</v>
      </c>
      <c r="H59" s="406" t="s">
        <v>378</v>
      </c>
      <c r="I59" s="461" t="s">
        <v>1046</v>
      </c>
      <c r="J59" s="407" t="s">
        <v>284</v>
      </c>
      <c r="K59" s="396">
        <v>13186</v>
      </c>
      <c r="L59" s="397">
        <v>39142</v>
      </c>
      <c r="M59" s="392">
        <v>54506</v>
      </c>
      <c r="N59" s="393">
        <v>39142</v>
      </c>
      <c r="O59" s="396"/>
      <c r="P59" s="415"/>
      <c r="Q59" s="396"/>
      <c r="R59" s="406"/>
      <c r="S59" s="948">
        <v>72898</v>
      </c>
      <c r="T59" s="949">
        <v>39142</v>
      </c>
      <c r="U59" s="948">
        <v>39916</v>
      </c>
      <c r="V59" s="950">
        <v>39142</v>
      </c>
      <c r="W59" s="396"/>
      <c r="X59" s="406"/>
      <c r="Y59" s="396"/>
      <c r="Z59" s="406"/>
      <c r="AA59" s="396"/>
      <c r="AB59" s="407"/>
      <c r="AC59" s="512">
        <f t="shared" si="2"/>
        <v>180506</v>
      </c>
      <c r="AD59" s="601" t="s">
        <v>1266</v>
      </c>
      <c r="AE59" s="602" t="s">
        <v>445</v>
      </c>
      <c r="AF59" s="465" t="s">
        <v>1359</v>
      </c>
      <c r="AG59" s="524" t="s">
        <v>1748</v>
      </c>
      <c r="AH59" s="525">
        <v>41822</v>
      </c>
      <c r="AI59" s="526">
        <v>1149977</v>
      </c>
      <c r="AJ59" s="403">
        <v>16224</v>
      </c>
      <c r="AK59" s="404">
        <v>41699</v>
      </c>
      <c r="AL59" s="416">
        <v>67065</v>
      </c>
      <c r="AM59" s="404">
        <v>41699</v>
      </c>
      <c r="AN59" s="405"/>
      <c r="AO59" s="408"/>
      <c r="AP59" s="405"/>
      <c r="AQ59" s="408"/>
      <c r="AR59" s="935">
        <v>89694</v>
      </c>
      <c r="AS59" s="981">
        <v>41699</v>
      </c>
      <c r="AT59" s="935">
        <v>49113</v>
      </c>
      <c r="AU59" s="981">
        <v>41699</v>
      </c>
      <c r="AV59" s="405"/>
      <c r="AW59" s="408"/>
      <c r="AX59" s="405"/>
      <c r="AY59" s="408"/>
      <c r="AZ59" s="405"/>
      <c r="BA59" s="409"/>
      <c r="BB59" s="517">
        <f t="shared" si="3"/>
        <v>222096</v>
      </c>
      <c r="BC59" s="4020"/>
      <c r="BG59" s="4119"/>
      <c r="BH59" s="787"/>
      <c r="BI59" s="4120"/>
      <c r="BJ59" s="55"/>
      <c r="BK59" s="55"/>
      <c r="BL59" s="55"/>
      <c r="BM59" s="55"/>
      <c r="BN59" s="55"/>
      <c r="BO59" s="55"/>
      <c r="BP59" s="55"/>
      <c r="BQ59" s="55"/>
      <c r="BR59" s="55"/>
      <c r="BS59" s="55"/>
      <c r="BT59" s="55"/>
      <c r="BU59" s="55"/>
      <c r="BV59" s="55"/>
      <c r="BW59" s="55"/>
      <c r="BX59" s="55"/>
    </row>
    <row r="60" spans="1:85" ht="135">
      <c r="A60" s="462" t="s">
        <v>2450</v>
      </c>
      <c r="B60" s="510" t="s">
        <v>638</v>
      </c>
      <c r="C60" s="511" t="s">
        <v>639</v>
      </c>
      <c r="D60" s="462" t="s">
        <v>1330</v>
      </c>
      <c r="E60" s="461" t="s">
        <v>640</v>
      </c>
      <c r="F60" s="406" t="s">
        <v>1283</v>
      </c>
      <c r="G60" s="461" t="s">
        <v>539</v>
      </c>
      <c r="H60" s="406" t="s">
        <v>540</v>
      </c>
      <c r="I60" s="461" t="s">
        <v>1168</v>
      </c>
      <c r="J60" s="407" t="s">
        <v>536</v>
      </c>
      <c r="K60" s="396"/>
      <c r="L60" s="397"/>
      <c r="M60" s="392">
        <v>500</v>
      </c>
      <c r="N60" s="393" t="s">
        <v>2237</v>
      </c>
      <c r="O60" s="396"/>
      <c r="P60" s="415"/>
      <c r="Q60" s="396"/>
      <c r="R60" s="406"/>
      <c r="S60" s="948"/>
      <c r="T60" s="951"/>
      <c r="U60" s="948"/>
      <c r="V60" s="952"/>
      <c r="W60" s="396"/>
      <c r="X60" s="406"/>
      <c r="Y60" s="396"/>
      <c r="Z60" s="406"/>
      <c r="AA60" s="396"/>
      <c r="AB60" s="407"/>
      <c r="AC60" s="512">
        <f t="shared" si="2"/>
        <v>500</v>
      </c>
      <c r="AD60" s="634" t="s">
        <v>269</v>
      </c>
      <c r="AE60" s="464">
        <v>40350</v>
      </c>
      <c r="AF60" s="465">
        <v>41081</v>
      </c>
      <c r="AG60" s="650" t="s">
        <v>2225</v>
      </c>
      <c r="AH60" s="525" t="s">
        <v>2226</v>
      </c>
      <c r="AI60" s="526" t="s">
        <v>2227</v>
      </c>
      <c r="AJ60" s="439"/>
      <c r="AK60" s="466"/>
      <c r="AL60" s="445">
        <v>500</v>
      </c>
      <c r="AM60" s="408" t="s">
        <v>2228</v>
      </c>
      <c r="AN60" s="441"/>
      <c r="AO60" s="466"/>
      <c r="AP60" s="441"/>
      <c r="AQ60" s="466"/>
      <c r="AR60" s="982"/>
      <c r="AS60" s="984"/>
      <c r="AT60" s="982"/>
      <c r="AU60" s="984"/>
      <c r="AV60" s="441"/>
      <c r="AW60" s="466"/>
      <c r="AX60" s="441"/>
      <c r="AY60" s="466"/>
      <c r="AZ60" s="441"/>
      <c r="BA60" s="467"/>
      <c r="BB60" s="517">
        <f t="shared" si="3"/>
        <v>500</v>
      </c>
      <c r="BC60" s="4017"/>
      <c r="BI60" s="86"/>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row>
    <row r="61" spans="1:85" s="47" customFormat="1" ht="135">
      <c r="A61" s="442" t="s">
        <v>2451</v>
      </c>
      <c r="B61" s="510" t="s">
        <v>661</v>
      </c>
      <c r="C61" s="511" t="s">
        <v>311</v>
      </c>
      <c r="D61" s="462" t="s">
        <v>788</v>
      </c>
      <c r="E61" s="461" t="s">
        <v>1036</v>
      </c>
      <c r="F61" s="406" t="s">
        <v>667</v>
      </c>
      <c r="G61" s="461" t="s">
        <v>514</v>
      </c>
      <c r="H61" s="406" t="s">
        <v>516</v>
      </c>
      <c r="I61" s="461" t="s">
        <v>229</v>
      </c>
      <c r="J61" s="407" t="s">
        <v>482</v>
      </c>
      <c r="K61" s="396"/>
      <c r="L61" s="397" t="s">
        <v>1756</v>
      </c>
      <c r="M61" s="867">
        <f>1332*5</f>
        <v>6660</v>
      </c>
      <c r="N61" s="393" t="s">
        <v>2333</v>
      </c>
      <c r="O61" s="396"/>
      <c r="P61" s="415"/>
      <c r="Q61" s="396"/>
      <c r="R61" s="397" t="s">
        <v>1753</v>
      </c>
      <c r="S61" s="948"/>
      <c r="T61" s="949" t="s">
        <v>1754</v>
      </c>
      <c r="U61" s="948"/>
      <c r="V61" s="950" t="s">
        <v>1755</v>
      </c>
      <c r="W61" s="396"/>
      <c r="X61" s="406" t="s">
        <v>2320</v>
      </c>
      <c r="Y61" s="396"/>
      <c r="Z61" s="406"/>
      <c r="AA61" s="396"/>
      <c r="AB61" s="407"/>
      <c r="AC61" s="512">
        <f t="shared" si="2"/>
        <v>6660</v>
      </c>
      <c r="AD61" s="601" t="s">
        <v>1293</v>
      </c>
      <c r="AE61" s="602" t="s">
        <v>698</v>
      </c>
      <c r="AF61" s="465">
        <v>40512</v>
      </c>
      <c r="AG61" s="650" t="s">
        <v>2316</v>
      </c>
      <c r="AH61" s="525" t="s">
        <v>2317</v>
      </c>
      <c r="AI61" s="526" t="s">
        <v>2318</v>
      </c>
      <c r="AJ61" s="403"/>
      <c r="AK61" s="404"/>
      <c r="AL61" s="603">
        <v>7926</v>
      </c>
      <c r="AM61" s="404" t="s">
        <v>2319</v>
      </c>
      <c r="AN61" s="405"/>
      <c r="AO61" s="408"/>
      <c r="AP61" s="405"/>
      <c r="AQ61" s="404"/>
      <c r="AR61" s="935"/>
      <c r="AS61" s="981"/>
      <c r="AT61" s="935"/>
      <c r="AU61" s="981"/>
      <c r="AV61" s="405"/>
      <c r="AW61" s="408"/>
      <c r="AX61" s="405"/>
      <c r="AY61" s="408"/>
      <c r="AZ61" s="405"/>
      <c r="BA61" s="409"/>
      <c r="BB61" s="517">
        <f t="shared" si="3"/>
        <v>7926</v>
      </c>
      <c r="BC61" s="4020"/>
      <c r="BG61" s="4119"/>
      <c r="BH61" s="787"/>
      <c r="BI61" s="4120"/>
      <c r="BJ61" s="55"/>
      <c r="BK61" s="55"/>
      <c r="BL61" s="55"/>
      <c r="BM61" s="55"/>
      <c r="BN61" s="55"/>
      <c r="BO61" s="55"/>
      <c r="BP61" s="55"/>
      <c r="BQ61" s="55"/>
      <c r="BR61" s="55"/>
      <c r="BS61" s="55"/>
      <c r="BT61" s="55"/>
      <c r="BU61" s="55"/>
      <c r="BV61" s="55"/>
      <c r="BW61" s="55"/>
      <c r="BX61" s="55"/>
    </row>
    <row r="62" spans="1:85" ht="124.5" thickBot="1">
      <c r="A62" s="4626" t="s">
        <v>2452</v>
      </c>
      <c r="B62" s="4593" t="s">
        <v>994</v>
      </c>
      <c r="C62" s="4627" t="s">
        <v>2286</v>
      </c>
      <c r="D62" s="4626" t="s">
        <v>788</v>
      </c>
      <c r="E62" s="468" t="s">
        <v>140</v>
      </c>
      <c r="F62" s="4596" t="s">
        <v>115</v>
      </c>
      <c r="G62" s="468" t="s">
        <v>914</v>
      </c>
      <c r="H62" s="4596" t="s">
        <v>1127</v>
      </c>
      <c r="I62" s="468" t="s">
        <v>63</v>
      </c>
      <c r="J62" s="4597" t="s">
        <v>1245</v>
      </c>
      <c r="K62" s="723">
        <v>830</v>
      </c>
      <c r="L62" s="4628" t="s">
        <v>2331</v>
      </c>
      <c r="M62" s="879">
        <v>2357</v>
      </c>
      <c r="N62" s="4628" t="s">
        <v>2332</v>
      </c>
      <c r="O62" s="473"/>
      <c r="P62" s="4629"/>
      <c r="Q62" s="723">
        <v>3691</v>
      </c>
      <c r="R62" s="4628" t="s">
        <v>2334</v>
      </c>
      <c r="S62" s="972">
        <v>7067</v>
      </c>
      <c r="T62" s="4630" t="s">
        <v>2335</v>
      </c>
      <c r="U62" s="972">
        <v>4255</v>
      </c>
      <c r="V62" s="4630" t="s">
        <v>2336</v>
      </c>
      <c r="W62" s="473"/>
      <c r="X62" s="4596"/>
      <c r="Y62" s="473"/>
      <c r="Z62" s="4596"/>
      <c r="AA62" s="473"/>
      <c r="AB62" s="4597"/>
      <c r="AC62" s="4604">
        <f t="shared" si="2"/>
        <v>18200</v>
      </c>
      <c r="AD62" s="4605" t="s">
        <v>1282</v>
      </c>
      <c r="AE62" s="4631">
        <v>40164</v>
      </c>
      <c r="AF62" s="4632">
        <v>41503</v>
      </c>
      <c r="AG62" s="4633" t="s">
        <v>2328</v>
      </c>
      <c r="AH62" s="4634" t="s">
        <v>2329</v>
      </c>
      <c r="AI62" s="4635" t="s">
        <v>2330</v>
      </c>
      <c r="AJ62" s="880">
        <v>830</v>
      </c>
      <c r="AK62" s="4636" t="s">
        <v>2337</v>
      </c>
      <c r="AL62" s="4612">
        <v>2357</v>
      </c>
      <c r="AM62" s="4636" t="s">
        <v>2337</v>
      </c>
      <c r="AN62" s="478"/>
      <c r="AO62" s="4611"/>
      <c r="AP62" s="478">
        <v>3691</v>
      </c>
      <c r="AQ62" s="4636" t="s">
        <v>2337</v>
      </c>
      <c r="AR62" s="987">
        <v>7067</v>
      </c>
      <c r="AS62" s="4637" t="s">
        <v>2337</v>
      </c>
      <c r="AT62" s="987">
        <v>4255</v>
      </c>
      <c r="AU62" s="4637" t="s">
        <v>2337</v>
      </c>
      <c r="AV62" s="478"/>
      <c r="AW62" s="4611"/>
      <c r="AX62" s="478"/>
      <c r="AY62" s="4611"/>
      <c r="AZ62" s="478"/>
      <c r="BA62" s="4614"/>
      <c r="BB62" s="4615">
        <f t="shared" si="3"/>
        <v>18200</v>
      </c>
      <c r="BC62" s="754" t="s">
        <v>2209</v>
      </c>
      <c r="BD62" s="741">
        <f>SUM(BB57:BB62)</f>
        <v>461366</v>
      </c>
      <c r="BE62" s="742">
        <f>BD62-BF62</f>
        <v>179265</v>
      </c>
      <c r="BF62" s="742">
        <f>SUM(AR57:AR62)+SUM(AT57:AT62)</f>
        <v>282101</v>
      </c>
    </row>
    <row r="63" spans="1:85" ht="90">
      <c r="A63" s="698" t="s">
        <v>2453</v>
      </c>
      <c r="B63" s="699" t="s">
        <v>638</v>
      </c>
      <c r="C63" s="700" t="s">
        <v>639</v>
      </c>
      <c r="D63" s="698" t="s">
        <v>1330</v>
      </c>
      <c r="E63" s="701" t="s">
        <v>640</v>
      </c>
      <c r="F63" s="702" t="s">
        <v>1283</v>
      </c>
      <c r="G63" s="701" t="s">
        <v>539</v>
      </c>
      <c r="H63" s="702" t="s">
        <v>540</v>
      </c>
      <c r="I63" s="701" t="s">
        <v>1168</v>
      </c>
      <c r="J63" s="703" t="s">
        <v>536</v>
      </c>
      <c r="K63" s="704"/>
      <c r="L63" s="705"/>
      <c r="M63" s="773">
        <v>500</v>
      </c>
      <c r="N63" s="876" t="s">
        <v>2363</v>
      </c>
      <c r="O63" s="704"/>
      <c r="P63" s="708"/>
      <c r="Q63" s="704"/>
      <c r="R63" s="702"/>
      <c r="S63" s="960"/>
      <c r="T63" s="970"/>
      <c r="U63" s="960"/>
      <c r="V63" s="971"/>
      <c r="W63" s="704"/>
      <c r="X63" s="702"/>
      <c r="Y63" s="704"/>
      <c r="Z63" s="702"/>
      <c r="AA63" s="704"/>
      <c r="AB63" s="703"/>
      <c r="AC63" s="536">
        <f t="shared" si="2"/>
        <v>500</v>
      </c>
      <c r="AD63" s="877" t="s">
        <v>269</v>
      </c>
      <c r="AE63" s="710">
        <v>40350</v>
      </c>
      <c r="AF63" s="711">
        <v>41081</v>
      </c>
      <c r="AG63" s="878" t="s">
        <v>2360</v>
      </c>
      <c r="AH63" s="713" t="s">
        <v>2361</v>
      </c>
      <c r="AI63" s="714" t="s">
        <v>2362</v>
      </c>
      <c r="AJ63" s="772"/>
      <c r="AK63" s="775"/>
      <c r="AL63" s="773">
        <v>500</v>
      </c>
      <c r="AM63" s="716" t="s">
        <v>2364</v>
      </c>
      <c r="AN63" s="774"/>
      <c r="AO63" s="775"/>
      <c r="AP63" s="774"/>
      <c r="AQ63" s="775"/>
      <c r="AR63" s="996"/>
      <c r="AS63" s="997"/>
      <c r="AT63" s="996"/>
      <c r="AU63" s="997"/>
      <c r="AV63" s="774"/>
      <c r="AW63" s="775"/>
      <c r="AX63" s="774"/>
      <c r="AY63" s="775"/>
      <c r="AZ63" s="774"/>
      <c r="BA63" s="776"/>
      <c r="BB63" s="721">
        <f t="shared" si="3"/>
        <v>500</v>
      </c>
      <c r="BC63" s="4017"/>
    </row>
    <row r="64" spans="1:85" ht="67.5">
      <c r="A64" s="661" t="s">
        <v>2370</v>
      </c>
      <c r="B64" s="368" t="s">
        <v>175</v>
      </c>
      <c r="C64" s="215" t="s">
        <v>122</v>
      </c>
      <c r="D64" s="350" t="s">
        <v>258</v>
      </c>
      <c r="E64" s="863" t="s">
        <v>542</v>
      </c>
      <c r="F64" s="864" t="s">
        <v>169</v>
      </c>
      <c r="G64" s="863" t="s">
        <v>543</v>
      </c>
      <c r="H64" s="864" t="s">
        <v>352</v>
      </c>
      <c r="I64" s="863" t="s">
        <v>400</v>
      </c>
      <c r="J64" s="355" t="s">
        <v>36</v>
      </c>
      <c r="K64" s="885">
        <v>1405</v>
      </c>
      <c r="L64" s="886">
        <v>39600</v>
      </c>
      <c r="M64" s="887"/>
      <c r="N64" s="790"/>
      <c r="O64" s="885"/>
      <c r="P64" s="864"/>
      <c r="Q64" s="885"/>
      <c r="R64" s="888" t="s">
        <v>1962</v>
      </c>
      <c r="S64" s="974"/>
      <c r="T64" s="975"/>
      <c r="U64" s="974"/>
      <c r="V64" s="976"/>
      <c r="W64" s="885"/>
      <c r="X64" s="888"/>
      <c r="Y64" s="885">
        <v>2746</v>
      </c>
      <c r="Z64" s="886">
        <v>39600</v>
      </c>
      <c r="AA64" s="885"/>
      <c r="AB64" s="864"/>
      <c r="AC64" s="358">
        <f t="shared" si="2"/>
        <v>4151</v>
      </c>
      <c r="AD64" s="427" t="s">
        <v>1965</v>
      </c>
      <c r="AE64" s="428" t="s">
        <v>1964</v>
      </c>
      <c r="AF64" s="1097" t="s">
        <v>1963</v>
      </c>
      <c r="AG64" s="377" t="s">
        <v>2371</v>
      </c>
      <c r="AH64" s="378">
        <v>41863</v>
      </c>
      <c r="AI64" s="868">
        <v>1152940</v>
      </c>
      <c r="AJ64" s="860">
        <v>1508</v>
      </c>
      <c r="AK64" s="889">
        <v>41791</v>
      </c>
      <c r="AL64" s="382"/>
      <c r="AM64" s="861"/>
      <c r="AN64" s="862"/>
      <c r="AO64" s="861"/>
      <c r="AP64" s="862"/>
      <c r="AQ64" s="861"/>
      <c r="AR64" s="998"/>
      <c r="AS64" s="999"/>
      <c r="AT64" s="998"/>
      <c r="AU64" s="999"/>
      <c r="AV64" s="862"/>
      <c r="AW64" s="861"/>
      <c r="AX64" s="862">
        <v>2947</v>
      </c>
      <c r="AY64" s="889">
        <v>41791</v>
      </c>
      <c r="AZ64" s="862"/>
      <c r="BA64" s="384"/>
      <c r="BB64" s="367">
        <f t="shared" si="3"/>
        <v>4455</v>
      </c>
      <c r="BC64" s="4017"/>
    </row>
    <row r="65" spans="1:80" s="47" customFormat="1" ht="157.5">
      <c r="A65" s="350" t="s">
        <v>2454</v>
      </c>
      <c r="B65" s="368" t="s">
        <v>1067</v>
      </c>
      <c r="C65" s="215" t="s">
        <v>1056</v>
      </c>
      <c r="D65" s="350" t="s">
        <v>52</v>
      </c>
      <c r="E65" s="354" t="s">
        <v>1092</v>
      </c>
      <c r="F65" s="353" t="s">
        <v>137</v>
      </c>
      <c r="G65" s="351" t="s">
        <v>214</v>
      </c>
      <c r="H65" s="352" t="s">
        <v>1267</v>
      </c>
      <c r="I65" s="354" t="s">
        <v>930</v>
      </c>
      <c r="J65" s="355" t="s">
        <v>930</v>
      </c>
      <c r="K65" s="370"/>
      <c r="L65" s="357" t="s">
        <v>2092</v>
      </c>
      <c r="M65" s="371"/>
      <c r="N65" s="389" t="s">
        <v>2091</v>
      </c>
      <c r="O65" s="370"/>
      <c r="P65" s="373"/>
      <c r="Q65" s="370"/>
      <c r="R65" s="357" t="s">
        <v>2090</v>
      </c>
      <c r="S65" s="977">
        <f>29629+25727</f>
        <v>55356</v>
      </c>
      <c r="T65" s="978" t="s">
        <v>86</v>
      </c>
      <c r="U65" s="977">
        <f>34617+14785</f>
        <v>49402</v>
      </c>
      <c r="V65" s="979" t="s">
        <v>152</v>
      </c>
      <c r="W65" s="370"/>
      <c r="X65" s="353"/>
      <c r="Y65" s="370"/>
      <c r="Z65" s="353"/>
      <c r="AA65" s="370"/>
      <c r="AB65" s="355"/>
      <c r="AC65" s="358">
        <f t="shared" si="2"/>
        <v>104758</v>
      </c>
      <c r="AD65" s="768" t="s">
        <v>1282</v>
      </c>
      <c r="AE65" s="457" t="s">
        <v>24</v>
      </c>
      <c r="AF65" s="892" t="s">
        <v>635</v>
      </c>
      <c r="AG65" s="359" t="s">
        <v>2398</v>
      </c>
      <c r="AH65" s="360" t="s">
        <v>2399</v>
      </c>
      <c r="AI65" s="361" t="s">
        <v>2400</v>
      </c>
      <c r="AJ65" s="362"/>
      <c r="AK65" s="394" t="s">
        <v>2093</v>
      </c>
      <c r="AL65" s="364"/>
      <c r="AM65" s="394" t="s">
        <v>2094</v>
      </c>
      <c r="AN65" s="365"/>
      <c r="AO65" s="363"/>
      <c r="AP65" s="365"/>
      <c r="AQ65" s="394" t="s">
        <v>2095</v>
      </c>
      <c r="AR65" s="1000">
        <f xml:space="preserve"> 33926+29458</f>
        <v>63384</v>
      </c>
      <c r="AS65" s="1001" t="s">
        <v>2401</v>
      </c>
      <c r="AT65" s="1000">
        <f>39637+16929</f>
        <v>56566</v>
      </c>
      <c r="AU65" s="1001" t="s">
        <v>2402</v>
      </c>
      <c r="AV65" s="365"/>
      <c r="AW65" s="363"/>
      <c r="AX65" s="365"/>
      <c r="AY65" s="363"/>
      <c r="AZ65" s="365"/>
      <c r="BA65" s="366"/>
      <c r="BB65" s="367">
        <f t="shared" si="3"/>
        <v>119950</v>
      </c>
      <c r="BC65" s="4020"/>
      <c r="BG65" s="4119"/>
      <c r="BH65" s="787"/>
      <c r="BI65" s="4120"/>
      <c r="BJ65" s="55"/>
      <c r="BK65" s="55"/>
      <c r="BL65" s="55"/>
      <c r="BM65" s="55"/>
      <c r="BN65" s="55"/>
      <c r="BO65" s="55"/>
      <c r="BP65" s="55"/>
      <c r="BQ65" s="55"/>
      <c r="BR65" s="55"/>
      <c r="BS65" s="55"/>
      <c r="BT65" s="55"/>
      <c r="BU65" s="55"/>
      <c r="BV65" s="55"/>
      <c r="BW65" s="55"/>
      <c r="BX65" s="55"/>
    </row>
    <row r="66" spans="1:80" ht="112.5">
      <c r="A66" s="350" t="s">
        <v>2414</v>
      </c>
      <c r="B66" s="368" t="s">
        <v>966</v>
      </c>
      <c r="C66" s="1728" t="s">
        <v>744</v>
      </c>
      <c r="D66" s="350" t="s">
        <v>788</v>
      </c>
      <c r="E66" s="421" t="s">
        <v>39</v>
      </c>
      <c r="F66" s="353" t="s">
        <v>40</v>
      </c>
      <c r="G66" s="354" t="s">
        <v>1295</v>
      </c>
      <c r="H66" s="353" t="s">
        <v>2404</v>
      </c>
      <c r="I66" s="421" t="s">
        <v>627</v>
      </c>
      <c r="J66" s="353" t="s">
        <v>674</v>
      </c>
      <c r="K66" s="370">
        <v>2130</v>
      </c>
      <c r="L66" s="357">
        <v>40422</v>
      </c>
      <c r="M66" s="758">
        <v>35631</v>
      </c>
      <c r="N66" s="372" t="s">
        <v>2267</v>
      </c>
      <c r="O66" s="370"/>
      <c r="P66" s="373"/>
      <c r="Q66" s="370"/>
      <c r="R66" s="353" t="s">
        <v>1337</v>
      </c>
      <c r="S66" s="948"/>
      <c r="T66" s="951" t="s">
        <v>1338</v>
      </c>
      <c r="U66" s="948">
        <v>2411</v>
      </c>
      <c r="V66" s="950">
        <v>40422</v>
      </c>
      <c r="W66" s="370"/>
      <c r="X66" s="353"/>
      <c r="Y66" s="370"/>
      <c r="Z66" s="353"/>
      <c r="AA66" s="370"/>
      <c r="AB66" s="355"/>
      <c r="AC66" s="358">
        <f t="shared" si="2"/>
        <v>40172</v>
      </c>
      <c r="AD66" s="2532" t="s">
        <v>526</v>
      </c>
      <c r="AE66" s="2533">
        <v>40578</v>
      </c>
      <c r="AF66" s="458">
        <v>42620</v>
      </c>
      <c r="AG66" s="377" t="s">
        <v>2371</v>
      </c>
      <c r="AH66" s="378">
        <v>41879</v>
      </c>
      <c r="AI66" s="379">
        <v>1154397</v>
      </c>
      <c r="AJ66" s="380">
        <v>2326</v>
      </c>
      <c r="AK66" s="893">
        <v>41791</v>
      </c>
      <c r="AL66" s="382">
        <v>38904</v>
      </c>
      <c r="AM66" s="381" t="s">
        <v>2403</v>
      </c>
      <c r="AN66" s="383"/>
      <c r="AO66" s="381"/>
      <c r="AP66" s="383"/>
      <c r="AQ66" s="381"/>
      <c r="AR66" s="982"/>
      <c r="AS66" s="984"/>
      <c r="AT66" s="982">
        <v>2632</v>
      </c>
      <c r="AU66" s="983">
        <v>41791</v>
      </c>
      <c r="AV66" s="383"/>
      <c r="AW66" s="381"/>
      <c r="AX66" s="383"/>
      <c r="AY66" s="381"/>
      <c r="AZ66" s="383"/>
      <c r="BA66" s="384"/>
      <c r="BB66" s="367">
        <f t="shared" si="3"/>
        <v>43862</v>
      </c>
      <c r="BC66" s="216"/>
    </row>
    <row r="67" spans="1:80" ht="68.25" thickBot="1">
      <c r="A67" s="4193" t="s">
        <v>2415</v>
      </c>
      <c r="B67" s="4191" t="s">
        <v>610</v>
      </c>
      <c r="C67" s="4572" t="s">
        <v>689</v>
      </c>
      <c r="D67" s="4193" t="s">
        <v>1330</v>
      </c>
      <c r="E67" s="530" t="s">
        <v>647</v>
      </c>
      <c r="F67" s="4573" t="s">
        <v>377</v>
      </c>
      <c r="G67" s="530" t="s">
        <v>1286</v>
      </c>
      <c r="H67" s="4573" t="s">
        <v>276</v>
      </c>
      <c r="I67" s="530" t="s">
        <v>1257</v>
      </c>
      <c r="J67" s="4574" t="s">
        <v>536</v>
      </c>
      <c r="K67" s="533"/>
      <c r="L67" s="4616"/>
      <c r="M67" s="726">
        <v>2946</v>
      </c>
      <c r="N67" s="4617" t="s">
        <v>2263</v>
      </c>
      <c r="O67" s="533"/>
      <c r="P67" s="4618"/>
      <c r="Q67" s="533"/>
      <c r="R67" s="4573"/>
      <c r="S67" s="957"/>
      <c r="T67" s="4619"/>
      <c r="U67" s="957"/>
      <c r="V67" s="4620"/>
      <c r="W67" s="533"/>
      <c r="X67" s="4573"/>
      <c r="Y67" s="533"/>
      <c r="Z67" s="4573"/>
      <c r="AA67" s="533"/>
      <c r="AB67" s="4574"/>
      <c r="AC67" s="4202">
        <f t="shared" si="2"/>
        <v>2946</v>
      </c>
      <c r="AD67" s="4621" t="s">
        <v>269</v>
      </c>
      <c r="AE67" s="4582">
        <v>39794</v>
      </c>
      <c r="AF67" s="4583">
        <v>40524</v>
      </c>
      <c r="AG67" s="4622" t="s">
        <v>909</v>
      </c>
      <c r="AH67" s="4623">
        <v>41879</v>
      </c>
      <c r="AI67" s="4624">
        <v>1154415</v>
      </c>
      <c r="AJ67" s="540"/>
      <c r="AK67" s="4587"/>
      <c r="AL67" s="4588">
        <v>3641</v>
      </c>
      <c r="AM67" s="4625">
        <v>41791</v>
      </c>
      <c r="AN67" s="543"/>
      <c r="AO67" s="4587"/>
      <c r="AP67" s="543"/>
      <c r="AQ67" s="4587"/>
      <c r="AR67" s="987"/>
      <c r="AS67" s="4589"/>
      <c r="AT67" s="987"/>
      <c r="AU67" s="4589"/>
      <c r="AV67" s="543"/>
      <c r="AW67" s="4587"/>
      <c r="AX67" s="543"/>
      <c r="AY67" s="4587"/>
      <c r="AZ67" s="543"/>
      <c r="BA67" s="4591"/>
      <c r="BB67" s="4213">
        <f t="shared" si="3"/>
        <v>3641</v>
      </c>
      <c r="BC67" s="755" t="s">
        <v>2365</v>
      </c>
      <c r="BD67" s="756">
        <f>SUM(BB63:BB67)</f>
        <v>172408</v>
      </c>
      <c r="BE67" s="757">
        <f>BD67-BF67</f>
        <v>49826</v>
      </c>
      <c r="BF67" s="757">
        <f>SUM(AR63:AR67)+SUM(AT63:AT67)</f>
        <v>122582</v>
      </c>
    </row>
    <row r="68" spans="1:80" s="47" customFormat="1" ht="78.75">
      <c r="A68" s="791" t="s">
        <v>2455</v>
      </c>
      <c r="B68" s="792" t="s">
        <v>273</v>
      </c>
      <c r="C68" s="793" t="s">
        <v>13</v>
      </c>
      <c r="D68" s="791" t="s">
        <v>1330</v>
      </c>
      <c r="E68" s="794" t="s">
        <v>51</v>
      </c>
      <c r="F68" s="795" t="s">
        <v>816</v>
      </c>
      <c r="G68" s="794" t="s">
        <v>1244</v>
      </c>
      <c r="H68" s="795" t="s">
        <v>2456</v>
      </c>
      <c r="I68" s="794" t="s">
        <v>1257</v>
      </c>
      <c r="J68" s="796" t="s">
        <v>581</v>
      </c>
      <c r="K68" s="797"/>
      <c r="L68" s="798"/>
      <c r="M68" s="1086">
        <v>2763</v>
      </c>
      <c r="N68" s="800" t="s">
        <v>2262</v>
      </c>
      <c r="O68" s="797"/>
      <c r="P68" s="801"/>
      <c r="Q68" s="797"/>
      <c r="R68" s="795"/>
      <c r="S68" s="960"/>
      <c r="T68" s="970"/>
      <c r="U68" s="960"/>
      <c r="V68" s="971"/>
      <c r="W68" s="797"/>
      <c r="X68" s="795"/>
      <c r="Y68" s="797"/>
      <c r="Z68" s="795"/>
      <c r="AA68" s="797"/>
      <c r="AB68" s="796"/>
      <c r="AC68" s="802">
        <f t="shared" si="2"/>
        <v>2763</v>
      </c>
      <c r="AD68" s="1087" t="s">
        <v>269</v>
      </c>
      <c r="AE68" s="804">
        <v>39339</v>
      </c>
      <c r="AF68" s="805">
        <v>39886</v>
      </c>
      <c r="AG68" s="806" t="s">
        <v>2064</v>
      </c>
      <c r="AH68" s="807">
        <v>41883</v>
      </c>
      <c r="AI68" s="808">
        <v>1154533</v>
      </c>
      <c r="AJ68" s="809"/>
      <c r="AK68" s="810"/>
      <c r="AL68" s="1088">
        <v>5241</v>
      </c>
      <c r="AM68" s="810" t="s">
        <v>2457</v>
      </c>
      <c r="AN68" s="813"/>
      <c r="AO68" s="810"/>
      <c r="AP68" s="813"/>
      <c r="AQ68" s="810"/>
      <c r="AR68" s="990"/>
      <c r="AS68" s="991"/>
      <c r="AT68" s="990"/>
      <c r="AU68" s="991"/>
      <c r="AV68" s="813"/>
      <c r="AW68" s="810"/>
      <c r="AX68" s="813"/>
      <c r="AY68" s="810"/>
      <c r="AZ68" s="813"/>
      <c r="BA68" s="814"/>
      <c r="BB68" s="815">
        <f t="shared" si="3"/>
        <v>5241</v>
      </c>
      <c r="BC68" s="238"/>
      <c r="BD68" s="55"/>
      <c r="BE68" s="55"/>
      <c r="BF68" s="55"/>
      <c r="BG68" s="4119"/>
      <c r="BH68" s="787"/>
      <c r="BI68" s="4120"/>
      <c r="BJ68" s="55"/>
      <c r="BK68" s="55"/>
      <c r="BL68" s="55"/>
      <c r="BM68" s="55"/>
      <c r="BN68" s="55"/>
      <c r="BO68" s="55"/>
      <c r="BP68" s="55"/>
      <c r="BQ68" s="55"/>
      <c r="BR68" s="55"/>
      <c r="BS68" s="55"/>
      <c r="BT68" s="55"/>
      <c r="BU68" s="55"/>
      <c r="BV68" s="55"/>
      <c r="BW68" s="55"/>
      <c r="BX68" s="55"/>
    </row>
    <row r="69" spans="1:80" ht="56.25">
      <c r="A69" s="671" t="s">
        <v>2458</v>
      </c>
      <c r="B69" s="510" t="s">
        <v>602</v>
      </c>
      <c r="C69" s="511" t="s">
        <v>422</v>
      </c>
      <c r="D69" s="462" t="s">
        <v>788</v>
      </c>
      <c r="E69" s="461" t="s">
        <v>423</v>
      </c>
      <c r="F69" s="406" t="s">
        <v>424</v>
      </c>
      <c r="G69" s="461" t="s">
        <v>847</v>
      </c>
      <c r="H69" s="406" t="s">
        <v>265</v>
      </c>
      <c r="I69" s="461" t="s">
        <v>420</v>
      </c>
      <c r="J69" s="407" t="s">
        <v>421</v>
      </c>
      <c r="K69" s="396">
        <v>150</v>
      </c>
      <c r="L69" s="397">
        <v>40330</v>
      </c>
      <c r="M69" s="600">
        <v>1802</v>
      </c>
      <c r="N69" s="393" t="s">
        <v>2459</v>
      </c>
      <c r="O69" s="396"/>
      <c r="P69" s="415"/>
      <c r="Q69" s="396">
        <v>148</v>
      </c>
      <c r="R69" s="397">
        <v>40330</v>
      </c>
      <c r="S69" s="948"/>
      <c r="T69" s="951"/>
      <c r="U69" s="948"/>
      <c r="V69" s="952"/>
      <c r="W69" s="396"/>
      <c r="X69" s="406"/>
      <c r="Y69" s="396"/>
      <c r="Z69" s="406"/>
      <c r="AA69" s="396"/>
      <c r="AB69" s="407"/>
      <c r="AC69" s="512">
        <f t="shared" si="2"/>
        <v>2100</v>
      </c>
      <c r="AD69" s="513" t="s">
        <v>478</v>
      </c>
      <c r="AE69" s="464">
        <v>40478</v>
      </c>
      <c r="AF69" s="465">
        <v>41939</v>
      </c>
      <c r="AG69" s="514" t="s">
        <v>2460</v>
      </c>
      <c r="AH69" s="515">
        <v>41883</v>
      </c>
      <c r="AI69" s="516">
        <v>1154577</v>
      </c>
      <c r="AJ69" s="439">
        <v>165</v>
      </c>
      <c r="AK69" s="440">
        <v>41791</v>
      </c>
      <c r="AL69" s="445">
        <v>2014</v>
      </c>
      <c r="AM69" s="466" t="s">
        <v>2457</v>
      </c>
      <c r="AN69" s="441"/>
      <c r="AO69" s="466"/>
      <c r="AP69" s="441">
        <v>163</v>
      </c>
      <c r="AQ69" s="440">
        <v>41791</v>
      </c>
      <c r="AR69" s="982"/>
      <c r="AS69" s="984"/>
      <c r="AT69" s="982"/>
      <c r="AU69" s="984"/>
      <c r="AV69" s="441"/>
      <c r="AW69" s="466"/>
      <c r="AX69" s="441"/>
      <c r="AY69" s="466"/>
      <c r="AZ69" s="441"/>
      <c r="BA69" s="467"/>
      <c r="BB69" s="517">
        <f t="shared" si="3"/>
        <v>2342</v>
      </c>
    </row>
    <row r="70" spans="1:80" ht="157.5">
      <c r="A70" s="462" t="s">
        <v>2466</v>
      </c>
      <c r="B70" s="510" t="s">
        <v>638</v>
      </c>
      <c r="C70" s="511" t="s">
        <v>639</v>
      </c>
      <c r="D70" s="462" t="s">
        <v>1330</v>
      </c>
      <c r="E70" s="461" t="s">
        <v>640</v>
      </c>
      <c r="F70" s="406" t="s">
        <v>1283</v>
      </c>
      <c r="G70" s="461" t="s">
        <v>539</v>
      </c>
      <c r="H70" s="406" t="s">
        <v>540</v>
      </c>
      <c r="I70" s="461" t="s">
        <v>1168</v>
      </c>
      <c r="J70" s="407" t="s">
        <v>536</v>
      </c>
      <c r="K70" s="396"/>
      <c r="L70" s="397"/>
      <c r="M70" s="600">
        <v>541</v>
      </c>
      <c r="N70" s="393" t="s">
        <v>2359</v>
      </c>
      <c r="O70" s="396"/>
      <c r="P70" s="415"/>
      <c r="Q70" s="396"/>
      <c r="R70" s="406"/>
      <c r="S70" s="948"/>
      <c r="T70" s="951"/>
      <c r="U70" s="948"/>
      <c r="V70" s="952"/>
      <c r="W70" s="396"/>
      <c r="X70" s="406"/>
      <c r="Y70" s="396"/>
      <c r="Z70" s="406"/>
      <c r="AA70" s="396"/>
      <c r="AB70" s="407"/>
      <c r="AC70" s="512">
        <f t="shared" si="2"/>
        <v>541</v>
      </c>
      <c r="AD70" s="634" t="s">
        <v>269</v>
      </c>
      <c r="AE70" s="464">
        <v>40350</v>
      </c>
      <c r="AF70" s="465">
        <v>41081</v>
      </c>
      <c r="AG70" s="650" t="s">
        <v>2463</v>
      </c>
      <c r="AH70" s="525" t="s">
        <v>2464</v>
      </c>
      <c r="AI70" s="526" t="s">
        <v>2465</v>
      </c>
      <c r="AJ70" s="439"/>
      <c r="AK70" s="466"/>
      <c r="AL70" s="445">
        <v>541</v>
      </c>
      <c r="AM70" s="408" t="s">
        <v>2468</v>
      </c>
      <c r="AN70" s="441"/>
      <c r="AO70" s="466"/>
      <c r="AP70" s="441"/>
      <c r="AQ70" s="466"/>
      <c r="AR70" s="982"/>
      <c r="AS70" s="984"/>
      <c r="AT70" s="982"/>
      <c r="AU70" s="984"/>
      <c r="AV70" s="441"/>
      <c r="AW70" s="466"/>
      <c r="AX70" s="441"/>
      <c r="AY70" s="466"/>
      <c r="AZ70" s="441"/>
      <c r="BA70" s="467"/>
      <c r="BB70" s="517">
        <f t="shared" si="3"/>
        <v>541</v>
      </c>
      <c r="BC70" s="4017"/>
    </row>
    <row r="71" spans="1:80" s="47" customFormat="1" ht="225">
      <c r="A71" s="894" t="s">
        <v>2472</v>
      </c>
      <c r="B71" s="510" t="s">
        <v>551</v>
      </c>
      <c r="C71" s="511" t="s">
        <v>1747</v>
      </c>
      <c r="D71" s="462" t="s">
        <v>788</v>
      </c>
      <c r="E71" s="461" t="s">
        <v>88</v>
      </c>
      <c r="F71" s="406" t="s">
        <v>469</v>
      </c>
      <c r="G71" s="461" t="s">
        <v>1207</v>
      </c>
      <c r="H71" s="406" t="s">
        <v>933</v>
      </c>
      <c r="I71" s="461" t="s">
        <v>1129</v>
      </c>
      <c r="J71" s="407" t="s">
        <v>131</v>
      </c>
      <c r="K71" s="396"/>
      <c r="L71" s="397"/>
      <c r="M71" s="600">
        <f>3496+3496+3496+3496</f>
        <v>13984</v>
      </c>
      <c r="N71" s="648" t="s">
        <v>2027</v>
      </c>
      <c r="O71" s="396"/>
      <c r="P71" s="399" t="s">
        <v>235</v>
      </c>
      <c r="Q71" s="396"/>
      <c r="R71" s="406"/>
      <c r="S71" s="948"/>
      <c r="T71" s="949" t="s">
        <v>1757</v>
      </c>
      <c r="U71" s="948"/>
      <c r="V71" s="949" t="s">
        <v>1758</v>
      </c>
      <c r="W71" s="649">
        <f>2769+2769+2769+2769</f>
        <v>11076</v>
      </c>
      <c r="X71" s="648" t="s">
        <v>8143</v>
      </c>
      <c r="Y71" s="396"/>
      <c r="Z71" s="398" t="s">
        <v>1759</v>
      </c>
      <c r="AA71" s="396"/>
      <c r="AB71" s="407"/>
      <c r="AC71" s="512">
        <f t="shared" si="2"/>
        <v>25060</v>
      </c>
      <c r="AD71" s="601" t="s">
        <v>448</v>
      </c>
      <c r="AE71" s="602" t="s">
        <v>694</v>
      </c>
      <c r="AF71" s="465" t="s">
        <v>523</v>
      </c>
      <c r="AG71" s="650" t="s">
        <v>2473</v>
      </c>
      <c r="AH71" s="525" t="s">
        <v>2474</v>
      </c>
      <c r="AI71" s="526" t="s">
        <v>2475</v>
      </c>
      <c r="AJ71" s="403"/>
      <c r="AK71" s="408"/>
      <c r="AL71" s="603">
        <f>3536+10608</f>
        <v>14144</v>
      </c>
      <c r="AM71" s="404" t="s">
        <v>2476</v>
      </c>
      <c r="AN71" s="405"/>
      <c r="AO71" s="408"/>
      <c r="AP71" s="405"/>
      <c r="AQ71" s="408"/>
      <c r="AR71" s="935"/>
      <c r="AS71" s="981" t="s">
        <v>1919</v>
      </c>
      <c r="AT71" s="935"/>
      <c r="AU71" s="981" t="s">
        <v>1918</v>
      </c>
      <c r="AV71" s="405">
        <f>2801+8403</f>
        <v>11204</v>
      </c>
      <c r="AW71" s="404" t="s">
        <v>2477</v>
      </c>
      <c r="AX71" s="405"/>
      <c r="AY71" s="404" t="s">
        <v>1921</v>
      </c>
      <c r="AZ71" s="405"/>
      <c r="BA71" s="409"/>
      <c r="BB71" s="517">
        <f t="shared" si="3"/>
        <v>25348</v>
      </c>
      <c r="BC71" s="4020"/>
      <c r="BG71" s="4119"/>
      <c r="BH71" s="787"/>
      <c r="BI71" s="4120"/>
      <c r="BJ71" s="55"/>
      <c r="BK71" s="55"/>
      <c r="BL71" s="55"/>
      <c r="BM71" s="55"/>
      <c r="BN71" s="55"/>
      <c r="BO71" s="55"/>
      <c r="BP71" s="55"/>
      <c r="BQ71" s="55"/>
      <c r="BR71" s="55"/>
      <c r="BS71" s="55"/>
      <c r="BT71" s="55"/>
      <c r="BU71" s="55"/>
      <c r="BV71" s="55"/>
      <c r="BW71" s="55"/>
      <c r="BX71" s="55"/>
    </row>
    <row r="72" spans="1:80" ht="112.5">
      <c r="A72" s="462" t="s">
        <v>2478</v>
      </c>
      <c r="B72" s="510" t="s">
        <v>965</v>
      </c>
      <c r="C72" s="3014" t="s">
        <v>744</v>
      </c>
      <c r="D72" s="462" t="s">
        <v>788</v>
      </c>
      <c r="E72" s="852" t="s">
        <v>39</v>
      </c>
      <c r="F72" s="406" t="s">
        <v>40</v>
      </c>
      <c r="G72" s="461" t="s">
        <v>209</v>
      </c>
      <c r="H72" s="406" t="s">
        <v>2410</v>
      </c>
      <c r="I72" s="852" t="s">
        <v>627</v>
      </c>
      <c r="J72" s="406" t="s">
        <v>839</v>
      </c>
      <c r="K72" s="396">
        <v>1794</v>
      </c>
      <c r="L72" s="397">
        <v>40422</v>
      </c>
      <c r="M72" s="392">
        <v>30016</v>
      </c>
      <c r="N72" s="393">
        <v>40422</v>
      </c>
      <c r="O72" s="396"/>
      <c r="P72" s="415"/>
      <c r="Q72" s="396"/>
      <c r="R72" s="406" t="s">
        <v>1337</v>
      </c>
      <c r="S72" s="948"/>
      <c r="T72" s="951" t="s">
        <v>1338</v>
      </c>
      <c r="U72" s="948">
        <v>2031</v>
      </c>
      <c r="V72" s="950">
        <v>40422</v>
      </c>
      <c r="W72" s="396"/>
      <c r="X72" s="406"/>
      <c r="Y72" s="396"/>
      <c r="Z72" s="406"/>
      <c r="AA72" s="396"/>
      <c r="AB72" s="407"/>
      <c r="AC72" s="512">
        <f t="shared" ref="AC72:AC119" si="4">K72+M72+O72+Q72+S72+U72+W72+Y72+AA72</f>
        <v>33841</v>
      </c>
      <c r="AD72" s="3015" t="s">
        <v>526</v>
      </c>
      <c r="AE72" s="747">
        <v>40578</v>
      </c>
      <c r="AF72" s="465">
        <v>42620</v>
      </c>
      <c r="AG72" s="514" t="s">
        <v>2479</v>
      </c>
      <c r="AH72" s="515">
        <v>41890</v>
      </c>
      <c r="AI72" s="516">
        <v>1154862</v>
      </c>
      <c r="AJ72" s="439">
        <v>1959</v>
      </c>
      <c r="AK72" s="440">
        <v>41791</v>
      </c>
      <c r="AL72" s="445">
        <v>32773</v>
      </c>
      <c r="AM72" s="440">
        <v>41791</v>
      </c>
      <c r="AN72" s="441"/>
      <c r="AO72" s="466"/>
      <c r="AP72" s="441"/>
      <c r="AQ72" s="466"/>
      <c r="AR72" s="982"/>
      <c r="AS72" s="984"/>
      <c r="AT72" s="982">
        <v>2218</v>
      </c>
      <c r="AU72" s="983">
        <v>41791</v>
      </c>
      <c r="AV72" s="441"/>
      <c r="AW72" s="466"/>
      <c r="AX72" s="441"/>
      <c r="AY72" s="466"/>
      <c r="AZ72" s="441"/>
      <c r="BA72" s="467"/>
      <c r="BB72" s="517">
        <f t="shared" ref="BB72:BB103" si="5">AJ72+AL72+AN72+AP72+AR72+AT72+AV72+AX72+AZ72</f>
        <v>36950</v>
      </c>
    </row>
    <row r="73" spans="1:80" s="47" customFormat="1" ht="67.5">
      <c r="A73" s="932" t="s">
        <v>1315</v>
      </c>
      <c r="B73" s="510" t="s">
        <v>1316</v>
      </c>
      <c r="C73" s="511" t="s">
        <v>1317</v>
      </c>
      <c r="D73" s="462" t="s">
        <v>9</v>
      </c>
      <c r="E73" s="933" t="s">
        <v>1318</v>
      </c>
      <c r="F73" s="406" t="s">
        <v>1319</v>
      </c>
      <c r="G73" s="933" t="s">
        <v>1320</v>
      </c>
      <c r="H73" s="934" t="s">
        <v>1321</v>
      </c>
      <c r="I73" s="461" t="s">
        <v>684</v>
      </c>
      <c r="J73" s="407" t="s">
        <v>522</v>
      </c>
      <c r="K73" s="396">
        <v>15366</v>
      </c>
      <c r="L73" s="397">
        <v>40695</v>
      </c>
      <c r="M73" s="392">
        <v>63511</v>
      </c>
      <c r="N73" s="397">
        <v>40695</v>
      </c>
      <c r="O73" s="396"/>
      <c r="P73" s="415"/>
      <c r="Q73" s="396"/>
      <c r="R73" s="406" t="s">
        <v>1290</v>
      </c>
      <c r="S73" s="948">
        <v>106972</v>
      </c>
      <c r="T73" s="963">
        <v>40695</v>
      </c>
      <c r="U73" s="948">
        <v>43188</v>
      </c>
      <c r="V73" s="963">
        <v>40695</v>
      </c>
      <c r="W73" s="396"/>
      <c r="X73" s="406"/>
      <c r="Y73" s="396"/>
      <c r="Z73" s="406"/>
      <c r="AA73" s="396"/>
      <c r="AB73" s="407"/>
      <c r="AC73" s="512">
        <f t="shared" si="4"/>
        <v>229037</v>
      </c>
      <c r="AD73" s="601" t="s">
        <v>1322</v>
      </c>
      <c r="AE73" s="602" t="s">
        <v>1323</v>
      </c>
      <c r="AF73" s="465" t="s">
        <v>2308</v>
      </c>
      <c r="AG73" s="524" t="s">
        <v>2492</v>
      </c>
      <c r="AH73" s="525">
        <v>41891</v>
      </c>
      <c r="AI73" s="526">
        <v>1154951</v>
      </c>
      <c r="AJ73" s="403">
        <v>16323</v>
      </c>
      <c r="AK73" s="404">
        <v>41791</v>
      </c>
      <c r="AL73" s="416">
        <v>67464</v>
      </c>
      <c r="AM73" s="404">
        <v>41791</v>
      </c>
      <c r="AN73" s="405"/>
      <c r="AO73" s="408"/>
      <c r="AP73" s="405"/>
      <c r="AQ73" s="408"/>
      <c r="AR73" s="935"/>
      <c r="AS73" s="936"/>
      <c r="AT73" s="935"/>
      <c r="AU73" s="936"/>
      <c r="AV73" s="405"/>
      <c r="AW73" s="408"/>
      <c r="AX73" s="405"/>
      <c r="AY73" s="408"/>
      <c r="AZ73" s="405"/>
      <c r="BA73" s="409"/>
      <c r="BB73" s="517">
        <f t="shared" si="5"/>
        <v>83787</v>
      </c>
      <c r="BC73" s="238"/>
      <c r="BD73" s="55"/>
      <c r="BE73" s="55"/>
      <c r="BF73" s="55"/>
      <c r="BG73" s="4119"/>
      <c r="BH73" s="787"/>
      <c r="BI73" s="4120"/>
      <c r="BJ73" s="55"/>
      <c r="BK73" s="55"/>
      <c r="BL73" s="55"/>
      <c r="BM73" s="55"/>
      <c r="BN73" s="55"/>
      <c r="BO73" s="55"/>
      <c r="BP73" s="55"/>
      <c r="BQ73" s="55"/>
      <c r="BR73" s="55"/>
      <c r="BS73" s="55"/>
      <c r="BT73" s="55"/>
      <c r="BU73" s="55"/>
      <c r="BV73" s="55"/>
      <c r="BW73" s="55"/>
    </row>
    <row r="74" spans="1:80" s="47" customFormat="1" ht="67.5">
      <c r="A74" s="932" t="s">
        <v>1315</v>
      </c>
      <c r="B74" s="510" t="s">
        <v>1225</v>
      </c>
      <c r="C74" s="511" t="s">
        <v>1226</v>
      </c>
      <c r="D74" s="462" t="s">
        <v>9</v>
      </c>
      <c r="E74" s="933" t="s">
        <v>1318</v>
      </c>
      <c r="F74" s="406" t="s">
        <v>1319</v>
      </c>
      <c r="G74" s="933" t="s">
        <v>1320</v>
      </c>
      <c r="H74" s="934" t="s">
        <v>1321</v>
      </c>
      <c r="I74" s="461" t="s">
        <v>684</v>
      </c>
      <c r="J74" s="407" t="s">
        <v>1227</v>
      </c>
      <c r="K74" s="396">
        <v>2305</v>
      </c>
      <c r="L74" s="397">
        <v>40695</v>
      </c>
      <c r="M74" s="392">
        <v>9527</v>
      </c>
      <c r="N74" s="397">
        <v>40695</v>
      </c>
      <c r="O74" s="396"/>
      <c r="P74" s="415"/>
      <c r="Q74" s="396"/>
      <c r="R74" s="406" t="s">
        <v>1290</v>
      </c>
      <c r="S74" s="948">
        <v>16046</v>
      </c>
      <c r="T74" s="963">
        <v>40695</v>
      </c>
      <c r="U74" s="948">
        <v>6478</v>
      </c>
      <c r="V74" s="963">
        <v>40695</v>
      </c>
      <c r="W74" s="396"/>
      <c r="X74" s="406"/>
      <c r="Y74" s="396"/>
      <c r="Z74" s="406"/>
      <c r="AA74" s="396"/>
      <c r="AB74" s="407"/>
      <c r="AC74" s="512">
        <f t="shared" si="4"/>
        <v>34356</v>
      </c>
      <c r="AD74" s="601" t="s">
        <v>1305</v>
      </c>
      <c r="AE74" s="602" t="s">
        <v>1323</v>
      </c>
      <c r="AF74" s="465" t="s">
        <v>2308</v>
      </c>
      <c r="AG74" s="524" t="s">
        <v>2492</v>
      </c>
      <c r="AH74" s="525">
        <v>41891</v>
      </c>
      <c r="AI74" s="526">
        <v>1154951</v>
      </c>
      <c r="AJ74" s="403">
        <v>2448</v>
      </c>
      <c r="AK74" s="404">
        <v>41791</v>
      </c>
      <c r="AL74" s="416">
        <v>10120</v>
      </c>
      <c r="AM74" s="404">
        <v>41791</v>
      </c>
      <c r="AN74" s="405"/>
      <c r="AO74" s="408"/>
      <c r="AP74" s="405"/>
      <c r="AQ74" s="408"/>
      <c r="AR74" s="935"/>
      <c r="AS74" s="936"/>
      <c r="AT74" s="935"/>
      <c r="AU74" s="936"/>
      <c r="AV74" s="405"/>
      <c r="AW74" s="408"/>
      <c r="AX74" s="405"/>
      <c r="AY74" s="408"/>
      <c r="AZ74" s="405"/>
      <c r="BA74" s="409"/>
      <c r="BB74" s="517">
        <f t="shared" si="5"/>
        <v>12568</v>
      </c>
      <c r="BC74" s="4020"/>
      <c r="BG74" s="4119"/>
      <c r="BH74" s="787"/>
      <c r="BI74" s="4120"/>
      <c r="BJ74" s="55"/>
      <c r="BK74" s="55"/>
      <c r="BL74" s="55"/>
      <c r="BM74" s="55"/>
      <c r="BN74" s="55"/>
      <c r="BO74" s="55"/>
      <c r="BP74" s="55"/>
      <c r="BQ74" s="55"/>
      <c r="BR74" s="55"/>
      <c r="BS74" s="55"/>
      <c r="BT74" s="55"/>
      <c r="BU74" s="55"/>
      <c r="BV74" s="55"/>
      <c r="BW74" s="55"/>
    </row>
    <row r="75" spans="1:80" s="47" customFormat="1" ht="78.75">
      <c r="A75" s="462" t="s">
        <v>2514</v>
      </c>
      <c r="B75" s="510" t="s">
        <v>319</v>
      </c>
      <c r="C75" s="511" t="s">
        <v>207</v>
      </c>
      <c r="D75" s="462" t="s">
        <v>1330</v>
      </c>
      <c r="E75" s="461" t="s">
        <v>840</v>
      </c>
      <c r="F75" s="406" t="s">
        <v>533</v>
      </c>
      <c r="G75" s="461" t="s">
        <v>444</v>
      </c>
      <c r="H75" s="406" t="s">
        <v>785</v>
      </c>
      <c r="I75" s="461" t="s">
        <v>1257</v>
      </c>
      <c r="J75" s="407" t="s">
        <v>581</v>
      </c>
      <c r="K75" s="396"/>
      <c r="L75" s="397"/>
      <c r="M75" s="600">
        <v>1286</v>
      </c>
      <c r="N75" s="393" t="s">
        <v>2261</v>
      </c>
      <c r="O75" s="396"/>
      <c r="P75" s="415"/>
      <c r="Q75" s="396"/>
      <c r="R75" s="406"/>
      <c r="S75" s="948"/>
      <c r="T75" s="951"/>
      <c r="U75" s="948"/>
      <c r="V75" s="952"/>
      <c r="W75" s="396"/>
      <c r="X75" s="406"/>
      <c r="Y75" s="396"/>
      <c r="Z75" s="406"/>
      <c r="AA75" s="396"/>
      <c r="AB75" s="407"/>
      <c r="AC75" s="512">
        <f t="shared" si="4"/>
        <v>1286</v>
      </c>
      <c r="AD75" s="513" t="s">
        <v>779</v>
      </c>
      <c r="AE75" s="464">
        <v>38958</v>
      </c>
      <c r="AF75" s="465">
        <v>39684</v>
      </c>
      <c r="AG75" s="524" t="s">
        <v>2516</v>
      </c>
      <c r="AH75" s="525" t="s">
        <v>2517</v>
      </c>
      <c r="AI75" s="526" t="s">
        <v>2518</v>
      </c>
      <c r="AJ75" s="403"/>
      <c r="AK75" s="408"/>
      <c r="AL75" s="416">
        <v>1354</v>
      </c>
      <c r="AM75" s="408" t="s">
        <v>2515</v>
      </c>
      <c r="AN75" s="405"/>
      <c r="AO75" s="408"/>
      <c r="AP75" s="405"/>
      <c r="AQ75" s="408"/>
      <c r="AR75" s="935"/>
      <c r="AS75" s="936"/>
      <c r="AT75" s="935"/>
      <c r="AU75" s="936"/>
      <c r="AV75" s="405"/>
      <c r="AW75" s="408"/>
      <c r="AX75" s="405"/>
      <c r="AY75" s="408"/>
      <c r="AZ75" s="405"/>
      <c r="BA75" s="409"/>
      <c r="BB75" s="517">
        <f t="shared" si="5"/>
        <v>1354</v>
      </c>
      <c r="BC75" s="238"/>
      <c r="BD75" s="55"/>
      <c r="BE75" s="55"/>
      <c r="BF75" s="55"/>
      <c r="BG75" s="4119"/>
      <c r="BH75" s="787"/>
      <c r="BI75" s="4120"/>
      <c r="BJ75" s="55"/>
      <c r="BK75" s="55"/>
      <c r="BL75" s="55"/>
      <c r="BM75" s="55"/>
      <c r="BN75" s="55"/>
      <c r="BO75" s="55"/>
      <c r="BP75" s="55"/>
      <c r="BQ75" s="55"/>
      <c r="BR75" s="55"/>
      <c r="BS75" s="55"/>
      <c r="BT75" s="55"/>
      <c r="BU75" s="55"/>
      <c r="BV75" s="55"/>
      <c r="BW75" s="55"/>
    </row>
    <row r="76" spans="1:80" ht="67.5">
      <c r="A76" s="442" t="s">
        <v>2526</v>
      </c>
      <c r="B76" s="510" t="s">
        <v>2506</v>
      </c>
      <c r="C76" s="511" t="s">
        <v>2309</v>
      </c>
      <c r="D76" s="672" t="s">
        <v>9</v>
      </c>
      <c r="E76" s="1028" t="s">
        <v>2054</v>
      </c>
      <c r="F76" s="896" t="s">
        <v>901</v>
      </c>
      <c r="G76" s="1028" t="s">
        <v>2056</v>
      </c>
      <c r="H76" s="896" t="s">
        <v>2055</v>
      </c>
      <c r="I76" s="1028" t="s">
        <v>819</v>
      </c>
      <c r="J76" s="407" t="s">
        <v>94</v>
      </c>
      <c r="K76" s="1026"/>
      <c r="L76" s="1029"/>
      <c r="M76" s="1030"/>
      <c r="N76" s="1031"/>
      <c r="O76" s="1034"/>
      <c r="P76" s="1044" t="s">
        <v>2527</v>
      </c>
      <c r="Q76" s="1026">
        <v>722</v>
      </c>
      <c r="R76" s="1045">
        <v>40148</v>
      </c>
      <c r="S76" s="1027"/>
      <c r="T76" s="1046"/>
      <c r="U76" s="1027"/>
      <c r="V76" s="1047"/>
      <c r="W76" s="1026"/>
      <c r="X76" s="1029"/>
      <c r="Y76" s="1026">
        <v>1424</v>
      </c>
      <c r="Z76" s="1045">
        <v>40148</v>
      </c>
      <c r="AA76" s="1034"/>
      <c r="AB76" s="409" t="s">
        <v>2528</v>
      </c>
      <c r="AC76" s="512">
        <f t="shared" si="4"/>
        <v>2146</v>
      </c>
      <c r="AD76" s="513" t="s">
        <v>2503</v>
      </c>
      <c r="AE76" s="464" t="s">
        <v>2504</v>
      </c>
      <c r="AF76" s="1048" t="s">
        <v>2505</v>
      </c>
      <c r="AG76" s="524" t="s">
        <v>909</v>
      </c>
      <c r="AH76" s="525">
        <v>41898</v>
      </c>
      <c r="AI76" s="1049">
        <v>1155262</v>
      </c>
      <c r="AJ76" s="1032"/>
      <c r="AK76" s="1050"/>
      <c r="AL76" s="445"/>
      <c r="AM76" s="1050"/>
      <c r="AN76" s="1034"/>
      <c r="AO76" s="1033"/>
      <c r="AP76" s="1034">
        <v>808</v>
      </c>
      <c r="AQ76" s="1050">
        <v>41699</v>
      </c>
      <c r="AR76" s="1051"/>
      <c r="AS76" s="1052"/>
      <c r="AT76" s="1051"/>
      <c r="AU76" s="1052"/>
      <c r="AV76" s="1034"/>
      <c r="AW76" s="1033"/>
      <c r="AX76" s="1034">
        <v>1594</v>
      </c>
      <c r="AY76" s="1053">
        <v>41699</v>
      </c>
      <c r="AZ76" s="1034"/>
      <c r="BA76" s="467"/>
      <c r="BB76" s="517">
        <f t="shared" si="5"/>
        <v>2402</v>
      </c>
      <c r="BC76" s="4017"/>
    </row>
    <row r="77" spans="1:80" ht="103.5">
      <c r="A77" s="1040" t="s">
        <v>2567</v>
      </c>
      <c r="B77" s="792" t="s">
        <v>175</v>
      </c>
      <c r="C77" s="1061" t="s">
        <v>2565</v>
      </c>
      <c r="D77" s="1062" t="s">
        <v>788</v>
      </c>
      <c r="E77" s="794" t="s">
        <v>224</v>
      </c>
      <c r="F77" s="795" t="s">
        <v>1087</v>
      </c>
      <c r="G77" s="794" t="s">
        <v>151</v>
      </c>
      <c r="H77" s="795" t="s">
        <v>544</v>
      </c>
      <c r="I77" s="794" t="s">
        <v>225</v>
      </c>
      <c r="J77" s="796" t="s">
        <v>887</v>
      </c>
      <c r="K77" s="797"/>
      <c r="L77" s="798"/>
      <c r="M77" s="799"/>
      <c r="N77" s="800"/>
      <c r="O77" s="797"/>
      <c r="P77" s="801"/>
      <c r="Q77" s="797"/>
      <c r="R77" s="795"/>
      <c r="S77" s="960">
        <v>9443</v>
      </c>
      <c r="T77" s="961">
        <v>39417</v>
      </c>
      <c r="U77" s="960">
        <v>3898</v>
      </c>
      <c r="V77" s="962">
        <v>39417</v>
      </c>
      <c r="W77" s="797"/>
      <c r="X77" s="795"/>
      <c r="Y77" s="797"/>
      <c r="Z77" s="795"/>
      <c r="AA77" s="797"/>
      <c r="AB77" s="796"/>
      <c r="AC77" s="802">
        <f t="shared" si="4"/>
        <v>13341</v>
      </c>
      <c r="AD77" s="803" t="s">
        <v>465</v>
      </c>
      <c r="AE77" s="804">
        <v>39499</v>
      </c>
      <c r="AF77" s="805">
        <v>40960</v>
      </c>
      <c r="AG77" s="1054"/>
      <c r="AH77" s="1055"/>
      <c r="AI77" s="1056"/>
      <c r="AJ77" s="1057"/>
      <c r="AK77" s="1041"/>
      <c r="AL77" s="1058"/>
      <c r="AM77" s="1041"/>
      <c r="AN77" s="1042"/>
      <c r="AO77" s="1041"/>
      <c r="AP77" s="1042"/>
      <c r="AQ77" s="1041"/>
      <c r="AR77" s="996"/>
      <c r="AS77" s="1060" t="s">
        <v>2566</v>
      </c>
      <c r="AT77" s="996"/>
      <c r="AU77" s="1060" t="s">
        <v>2566</v>
      </c>
      <c r="AV77" s="1042"/>
      <c r="AW77" s="1041"/>
      <c r="AX77" s="1042"/>
      <c r="AY77" s="1041"/>
      <c r="AZ77" s="1042"/>
      <c r="BA77" s="1043"/>
      <c r="BB77" s="815">
        <f t="shared" si="5"/>
        <v>0</v>
      </c>
      <c r="BC77" s="216"/>
      <c r="BD77" s="87"/>
      <c r="BE77" s="87"/>
      <c r="BF77" s="87"/>
      <c r="BI77" s="86"/>
      <c r="BJ77" s="87"/>
      <c r="BK77" s="87"/>
      <c r="BL77" s="87"/>
      <c r="BM77" s="87"/>
      <c r="BN77" s="87"/>
      <c r="BO77" s="87"/>
      <c r="BP77" s="87"/>
      <c r="BQ77" s="87"/>
      <c r="BR77" s="87"/>
      <c r="BS77" s="87"/>
      <c r="BT77" s="87"/>
      <c r="BU77" s="87"/>
      <c r="BV77" s="87"/>
      <c r="BW77" s="87"/>
      <c r="BX77" s="87"/>
      <c r="BY77" s="87"/>
      <c r="BZ77" s="87"/>
      <c r="CA77" s="87"/>
      <c r="CB77" s="87"/>
    </row>
    <row r="78" spans="1:80" ht="70.5" thickBot="1">
      <c r="A78" s="4592" t="s">
        <v>2568</v>
      </c>
      <c r="B78" s="4593" t="s">
        <v>175</v>
      </c>
      <c r="C78" s="4594" t="s">
        <v>1419</v>
      </c>
      <c r="D78" s="4595" t="s">
        <v>1350</v>
      </c>
      <c r="E78" s="468" t="s">
        <v>1420</v>
      </c>
      <c r="F78" s="4596" t="s">
        <v>1421</v>
      </c>
      <c r="G78" s="468" t="s">
        <v>1423</v>
      </c>
      <c r="H78" s="4596" t="s">
        <v>1422</v>
      </c>
      <c r="I78" s="468" t="s">
        <v>1425</v>
      </c>
      <c r="J78" s="4597" t="s">
        <v>1424</v>
      </c>
      <c r="K78" s="1035"/>
      <c r="L78" s="4598"/>
      <c r="M78" s="1036"/>
      <c r="N78" s="4599"/>
      <c r="O78" s="1035"/>
      <c r="P78" s="4600"/>
      <c r="Q78" s="1035"/>
      <c r="R78" s="4598"/>
      <c r="S78" s="1059">
        <v>1079</v>
      </c>
      <c r="T78" s="4601">
        <v>40603</v>
      </c>
      <c r="U78" s="1059">
        <v>382</v>
      </c>
      <c r="V78" s="4602">
        <v>40603</v>
      </c>
      <c r="W78" s="1035"/>
      <c r="X78" s="4598"/>
      <c r="Y78" s="1035"/>
      <c r="Z78" s="4598"/>
      <c r="AA78" s="1035"/>
      <c r="AB78" s="4603"/>
      <c r="AC78" s="4604">
        <f t="shared" si="4"/>
        <v>1461</v>
      </c>
      <c r="AD78" s="4605" t="s">
        <v>809</v>
      </c>
      <c r="AE78" s="4606">
        <v>41015</v>
      </c>
      <c r="AF78" s="4607">
        <v>41745</v>
      </c>
      <c r="AG78" s="4608"/>
      <c r="AH78" s="4609"/>
      <c r="AI78" s="4610"/>
      <c r="AJ78" s="880"/>
      <c r="AK78" s="4611"/>
      <c r="AL78" s="4612"/>
      <c r="AM78" s="4611"/>
      <c r="AN78" s="478"/>
      <c r="AO78" s="4611"/>
      <c r="AP78" s="478"/>
      <c r="AQ78" s="4611"/>
      <c r="AR78" s="987"/>
      <c r="AS78" s="4613" t="s">
        <v>2566</v>
      </c>
      <c r="AT78" s="987"/>
      <c r="AU78" s="4613" t="s">
        <v>2566</v>
      </c>
      <c r="AV78" s="478"/>
      <c r="AW78" s="4611"/>
      <c r="AX78" s="478"/>
      <c r="AY78" s="4611"/>
      <c r="AZ78" s="478"/>
      <c r="BA78" s="4614"/>
      <c r="BB78" s="4615">
        <f t="shared" si="5"/>
        <v>0</v>
      </c>
      <c r="BC78" s="754" t="s">
        <v>2461</v>
      </c>
      <c r="BD78" s="741">
        <f>SUM(BB68:BB78)</f>
        <v>170533</v>
      </c>
      <c r="BE78" s="742">
        <f>BD78-BF78</f>
        <v>168315</v>
      </c>
      <c r="BF78" s="742">
        <f>SUM(AR68:AR78)+SUM(AT68:AT78)</f>
        <v>2218</v>
      </c>
      <c r="BI78" s="86"/>
      <c r="BJ78" s="87"/>
      <c r="BK78" s="87"/>
      <c r="BL78" s="87"/>
      <c r="BM78" s="87"/>
      <c r="BN78" s="87"/>
      <c r="BO78" s="87"/>
      <c r="BP78" s="87"/>
      <c r="BQ78" s="87"/>
      <c r="BR78" s="87"/>
      <c r="BS78" s="87"/>
      <c r="BT78" s="87"/>
      <c r="BU78" s="87"/>
      <c r="BV78" s="87"/>
      <c r="BW78" s="87"/>
      <c r="BX78" s="87"/>
      <c r="BY78" s="87"/>
      <c r="BZ78" s="87"/>
      <c r="CA78" s="87"/>
      <c r="CB78" s="87"/>
    </row>
    <row r="79" spans="1:80" ht="137.25">
      <c r="A79" s="698" t="s">
        <v>2559</v>
      </c>
      <c r="B79" s="699" t="s">
        <v>641</v>
      </c>
      <c r="C79" s="700" t="s">
        <v>1733</v>
      </c>
      <c r="D79" s="698" t="s">
        <v>1330</v>
      </c>
      <c r="E79" s="701" t="s">
        <v>277</v>
      </c>
      <c r="F79" s="702" t="s">
        <v>1078</v>
      </c>
      <c r="G79" s="701" t="s">
        <v>1079</v>
      </c>
      <c r="H79" s="702" t="s">
        <v>339</v>
      </c>
      <c r="I79" s="701" t="s">
        <v>1168</v>
      </c>
      <c r="J79" s="703" t="s">
        <v>536</v>
      </c>
      <c r="K79" s="704"/>
      <c r="L79" s="705"/>
      <c r="M79" s="1024">
        <v>657</v>
      </c>
      <c r="N79" s="707" t="s">
        <v>2288</v>
      </c>
      <c r="O79" s="704"/>
      <c r="P79" s="708"/>
      <c r="Q79" s="704"/>
      <c r="R79" s="702"/>
      <c r="S79" s="960"/>
      <c r="T79" s="970"/>
      <c r="U79" s="960"/>
      <c r="V79" s="971"/>
      <c r="W79" s="704"/>
      <c r="X79" s="702"/>
      <c r="Y79" s="704"/>
      <c r="Z79" s="702"/>
      <c r="AA79" s="704"/>
      <c r="AB79" s="703"/>
      <c r="AC79" s="536">
        <f t="shared" si="4"/>
        <v>657</v>
      </c>
      <c r="AD79" s="709" t="s">
        <v>269</v>
      </c>
      <c r="AE79" s="710">
        <v>40312</v>
      </c>
      <c r="AF79" s="711">
        <v>41043</v>
      </c>
      <c r="AG79" s="878" t="s">
        <v>2659</v>
      </c>
      <c r="AH79" s="713" t="s">
        <v>2662</v>
      </c>
      <c r="AI79" s="714" t="s">
        <v>2663</v>
      </c>
      <c r="AJ79" s="772"/>
      <c r="AK79" s="775"/>
      <c r="AL79" s="773">
        <v>657</v>
      </c>
      <c r="AM79" s="718" t="s">
        <v>2289</v>
      </c>
      <c r="AN79" s="774"/>
      <c r="AO79" s="775"/>
      <c r="AP79" s="774"/>
      <c r="AQ79" s="775"/>
      <c r="AR79" s="996"/>
      <c r="AS79" s="997"/>
      <c r="AT79" s="996"/>
      <c r="AU79" s="997"/>
      <c r="AV79" s="774"/>
      <c r="AW79" s="775"/>
      <c r="AX79" s="774"/>
      <c r="AY79" s="775"/>
      <c r="AZ79" s="774"/>
      <c r="BA79" s="776"/>
      <c r="BB79" s="721">
        <f t="shared" si="5"/>
        <v>657</v>
      </c>
      <c r="BC79" s="216"/>
    </row>
    <row r="80" spans="1:80" ht="103.5">
      <c r="A80" s="350" t="s">
        <v>2558</v>
      </c>
      <c r="B80" s="368" t="s">
        <v>994</v>
      </c>
      <c r="C80" s="215" t="s">
        <v>2286</v>
      </c>
      <c r="D80" s="350" t="s">
        <v>788</v>
      </c>
      <c r="E80" s="354" t="s">
        <v>140</v>
      </c>
      <c r="F80" s="353" t="s">
        <v>115</v>
      </c>
      <c r="G80" s="354" t="s">
        <v>914</v>
      </c>
      <c r="H80" s="353" t="s">
        <v>1127</v>
      </c>
      <c r="I80" s="354" t="s">
        <v>63</v>
      </c>
      <c r="J80" s="355" t="s">
        <v>1245</v>
      </c>
      <c r="K80" s="760">
        <v>839</v>
      </c>
      <c r="L80" s="357" t="s">
        <v>2560</v>
      </c>
      <c r="M80" s="758">
        <v>2385</v>
      </c>
      <c r="N80" s="357" t="s">
        <v>2563</v>
      </c>
      <c r="O80" s="370"/>
      <c r="P80" s="373"/>
      <c r="Q80" s="760">
        <v>3733</v>
      </c>
      <c r="R80" s="357" t="s">
        <v>2562</v>
      </c>
      <c r="S80" s="1025">
        <v>7148</v>
      </c>
      <c r="T80" s="963" t="s">
        <v>2561</v>
      </c>
      <c r="U80" s="1025">
        <v>4304</v>
      </c>
      <c r="V80" s="963" t="s">
        <v>2564</v>
      </c>
      <c r="W80" s="370"/>
      <c r="X80" s="353"/>
      <c r="Y80" s="370"/>
      <c r="Z80" s="353"/>
      <c r="AA80" s="370"/>
      <c r="AB80" s="355"/>
      <c r="AC80" s="358">
        <f t="shared" si="4"/>
        <v>18409</v>
      </c>
      <c r="AD80" s="768" t="s">
        <v>1282</v>
      </c>
      <c r="AE80" s="457">
        <v>40164</v>
      </c>
      <c r="AF80" s="458">
        <v>41503</v>
      </c>
      <c r="AG80" s="359" t="s">
        <v>2658</v>
      </c>
      <c r="AH80" s="360" t="s">
        <v>2661</v>
      </c>
      <c r="AI80" s="361" t="s">
        <v>2660</v>
      </c>
      <c r="AJ80" s="380">
        <v>839</v>
      </c>
      <c r="AK80" s="394" t="s">
        <v>2287</v>
      </c>
      <c r="AL80" s="380">
        <v>2385</v>
      </c>
      <c r="AM80" s="394" t="s">
        <v>2287</v>
      </c>
      <c r="AN80" s="383"/>
      <c r="AO80" s="381"/>
      <c r="AP80" s="380">
        <v>3733</v>
      </c>
      <c r="AQ80" s="394" t="s">
        <v>2287</v>
      </c>
      <c r="AR80" s="3948">
        <v>7148</v>
      </c>
      <c r="AS80" s="3949" t="s">
        <v>2287</v>
      </c>
      <c r="AT80" s="3948">
        <v>4304</v>
      </c>
      <c r="AU80" s="3949" t="s">
        <v>2287</v>
      </c>
      <c r="AV80" s="383"/>
      <c r="AW80" s="381"/>
      <c r="AX80" s="383"/>
      <c r="AY80" s="381"/>
      <c r="AZ80" s="383"/>
      <c r="BA80" s="384"/>
      <c r="BB80" s="367">
        <f t="shared" si="5"/>
        <v>18409</v>
      </c>
      <c r="BC80" s="4021"/>
      <c r="BD80" s="697"/>
      <c r="BE80" s="217"/>
      <c r="BF80" s="217"/>
    </row>
    <row r="81" spans="1:89" ht="45">
      <c r="A81" s="891" t="s">
        <v>2569</v>
      </c>
      <c r="B81" s="368" t="s">
        <v>175</v>
      </c>
      <c r="C81" s="215" t="s">
        <v>803</v>
      </c>
      <c r="D81" s="350" t="s">
        <v>788</v>
      </c>
      <c r="E81" s="354" t="s">
        <v>486</v>
      </c>
      <c r="F81" s="353" t="s">
        <v>549</v>
      </c>
      <c r="G81" s="354" t="s">
        <v>550</v>
      </c>
      <c r="H81" s="353" t="s">
        <v>1205</v>
      </c>
      <c r="I81" s="354" t="s">
        <v>1257</v>
      </c>
      <c r="J81" s="355" t="s">
        <v>1100</v>
      </c>
      <c r="K81" s="370">
        <v>727</v>
      </c>
      <c r="L81" s="357">
        <v>40057</v>
      </c>
      <c r="M81" s="371"/>
      <c r="N81" s="372"/>
      <c r="O81" s="370"/>
      <c r="P81" s="373"/>
      <c r="Q81" s="370"/>
      <c r="R81" s="353"/>
      <c r="S81" s="1025"/>
      <c r="T81" s="963"/>
      <c r="U81" s="1025"/>
      <c r="V81" s="963"/>
      <c r="W81" s="370"/>
      <c r="X81" s="353"/>
      <c r="Y81" s="370"/>
      <c r="Z81" s="353"/>
      <c r="AA81" s="370"/>
      <c r="AB81" s="355"/>
      <c r="AC81" s="358">
        <f t="shared" si="4"/>
        <v>727</v>
      </c>
      <c r="AD81" s="1063" t="s">
        <v>465</v>
      </c>
      <c r="AE81" s="1064" t="s">
        <v>2193</v>
      </c>
      <c r="AF81" s="458">
        <v>41610</v>
      </c>
      <c r="AG81" s="377" t="s">
        <v>1061</v>
      </c>
      <c r="AH81" s="378">
        <v>41920</v>
      </c>
      <c r="AI81" s="379">
        <v>1156461</v>
      </c>
      <c r="AJ81" s="380">
        <v>817</v>
      </c>
      <c r="AK81" s="893">
        <v>41791</v>
      </c>
      <c r="AL81" s="382"/>
      <c r="AM81" s="381"/>
      <c r="AN81" s="383"/>
      <c r="AO81" s="381"/>
      <c r="AP81" s="383"/>
      <c r="AQ81" s="381"/>
      <c r="AR81" s="982"/>
      <c r="AS81" s="984"/>
      <c r="AT81" s="982"/>
      <c r="AU81" s="984"/>
      <c r="AV81" s="383"/>
      <c r="AW81" s="381"/>
      <c r="AX81" s="383"/>
      <c r="AY81" s="381"/>
      <c r="AZ81" s="383"/>
      <c r="BA81" s="384"/>
      <c r="BB81" s="367">
        <f t="shared" si="5"/>
        <v>817</v>
      </c>
      <c r="BC81" s="4021"/>
      <c r="BD81" s="697"/>
      <c r="BE81" s="217"/>
      <c r="BF81" s="217"/>
    </row>
    <row r="82" spans="1:89" ht="78.75">
      <c r="A82" s="418" t="s">
        <v>2603</v>
      </c>
      <c r="B82" s="368" t="s">
        <v>2511</v>
      </c>
      <c r="C82" s="215" t="s">
        <v>2507</v>
      </c>
      <c r="D82" s="350" t="s">
        <v>2513</v>
      </c>
      <c r="E82" s="863" t="s">
        <v>2509</v>
      </c>
      <c r="F82" s="864" t="s">
        <v>2510</v>
      </c>
      <c r="G82" s="863" t="s">
        <v>2605</v>
      </c>
      <c r="H82" s="864" t="s">
        <v>2606</v>
      </c>
      <c r="I82" s="863" t="s">
        <v>1257</v>
      </c>
      <c r="J82" s="355" t="s">
        <v>2512</v>
      </c>
      <c r="K82" s="855"/>
      <c r="L82" s="856"/>
      <c r="M82" s="857"/>
      <c r="N82" s="858"/>
      <c r="O82" s="855"/>
      <c r="P82" s="859"/>
      <c r="Q82" s="855"/>
      <c r="R82" s="890"/>
      <c r="S82" s="1027"/>
      <c r="T82" s="1046"/>
      <c r="U82" s="1027"/>
      <c r="V82" s="1047"/>
      <c r="W82" s="862">
        <v>99729</v>
      </c>
      <c r="X82" s="864" t="s">
        <v>8145</v>
      </c>
      <c r="Y82" s="855"/>
      <c r="Z82" s="890"/>
      <c r="AA82" s="855"/>
      <c r="AB82" s="436"/>
      <c r="AC82" s="358">
        <f t="shared" si="4"/>
        <v>99729</v>
      </c>
      <c r="AD82" s="1098" t="s">
        <v>379</v>
      </c>
      <c r="AE82" s="457">
        <v>41879</v>
      </c>
      <c r="AF82" s="1099" t="s">
        <v>175</v>
      </c>
      <c r="AG82" s="359" t="s">
        <v>2602</v>
      </c>
      <c r="AH82" s="360">
        <v>41925</v>
      </c>
      <c r="AI82" s="1067">
        <v>1156674</v>
      </c>
      <c r="AJ82" s="860"/>
      <c r="AK82" s="861"/>
      <c r="AL82" s="382"/>
      <c r="AM82" s="861"/>
      <c r="AN82" s="862"/>
      <c r="AO82" s="861"/>
      <c r="AP82" s="862"/>
      <c r="AQ82" s="861"/>
      <c r="AR82" s="998"/>
      <c r="AS82" s="999"/>
      <c r="AT82" s="998"/>
      <c r="AU82" s="999"/>
      <c r="AV82" s="862">
        <f>100298</f>
        <v>100298</v>
      </c>
      <c r="AW82" s="1065" t="s">
        <v>2610</v>
      </c>
      <c r="AX82" s="862"/>
      <c r="AY82" s="861"/>
      <c r="AZ82" s="862"/>
      <c r="BA82" s="384"/>
      <c r="BB82" s="721">
        <f t="shared" si="5"/>
        <v>100298</v>
      </c>
      <c r="BC82" s="3016"/>
      <c r="BD82" s="697"/>
      <c r="BE82" s="217"/>
      <c r="BF82" s="217"/>
    </row>
    <row r="83" spans="1:89" ht="79.5" thickBot="1">
      <c r="A83" s="4571" t="s">
        <v>2604</v>
      </c>
      <c r="B83" s="4191" t="s">
        <v>2511</v>
      </c>
      <c r="C83" s="4572" t="s">
        <v>2507</v>
      </c>
      <c r="D83" s="4193" t="s">
        <v>2513</v>
      </c>
      <c r="E83" s="530" t="s">
        <v>2509</v>
      </c>
      <c r="F83" s="4573" t="s">
        <v>2510</v>
      </c>
      <c r="G83" s="530" t="s">
        <v>2607</v>
      </c>
      <c r="H83" s="4573" t="s">
        <v>2608</v>
      </c>
      <c r="I83" s="530" t="s">
        <v>1257</v>
      </c>
      <c r="J83" s="4574" t="s">
        <v>2512</v>
      </c>
      <c r="K83" s="1077"/>
      <c r="L83" s="4575"/>
      <c r="M83" s="1079"/>
      <c r="N83" s="4576"/>
      <c r="O83" s="1077"/>
      <c r="P83" s="4577"/>
      <c r="Q83" s="1077"/>
      <c r="R83" s="4578"/>
      <c r="S83" s="1059"/>
      <c r="T83" s="4579"/>
      <c r="U83" s="1059"/>
      <c r="V83" s="4580"/>
      <c r="W83" s="543">
        <v>33836</v>
      </c>
      <c r="X83" s="4573" t="s">
        <v>8146</v>
      </c>
      <c r="Y83" s="1077"/>
      <c r="Z83" s="4578"/>
      <c r="AA83" s="1077"/>
      <c r="AB83" s="4581"/>
      <c r="AC83" s="4202">
        <f t="shared" si="4"/>
        <v>33836</v>
      </c>
      <c r="AD83" s="1100" t="s">
        <v>379</v>
      </c>
      <c r="AE83" s="4582">
        <v>41879</v>
      </c>
      <c r="AF83" s="4583" t="s">
        <v>175</v>
      </c>
      <c r="AG83" s="4584" t="s">
        <v>2609</v>
      </c>
      <c r="AH83" s="4585">
        <v>41940</v>
      </c>
      <c r="AI83" s="4586">
        <v>1157303</v>
      </c>
      <c r="AJ83" s="540"/>
      <c r="AK83" s="4587"/>
      <c r="AL83" s="4588"/>
      <c r="AM83" s="4587"/>
      <c r="AN83" s="543"/>
      <c r="AO83" s="4587"/>
      <c r="AP83" s="543"/>
      <c r="AQ83" s="4587"/>
      <c r="AR83" s="987"/>
      <c r="AS83" s="4589"/>
      <c r="AT83" s="987"/>
      <c r="AU83" s="4589"/>
      <c r="AV83" s="543">
        <v>34060</v>
      </c>
      <c r="AW83" s="4590" t="s">
        <v>2611</v>
      </c>
      <c r="AX83" s="543"/>
      <c r="AY83" s="4587"/>
      <c r="AZ83" s="543"/>
      <c r="BA83" s="4591"/>
      <c r="BB83" s="4213">
        <f t="shared" si="5"/>
        <v>34060</v>
      </c>
      <c r="BC83" s="755" t="s">
        <v>2557</v>
      </c>
      <c r="BD83" s="756">
        <f>SUM(BB79:BB83)</f>
        <v>154241</v>
      </c>
      <c r="BE83" s="757">
        <f>BD83-BF83</f>
        <v>142789</v>
      </c>
      <c r="BF83" s="757">
        <f>SUM(AR79:AR83)+SUM(AT79:AT83)</f>
        <v>11452</v>
      </c>
    </row>
    <row r="84" spans="1:89" ht="56.25">
      <c r="A84" s="1074" t="s">
        <v>2648</v>
      </c>
      <c r="B84" s="792" t="s">
        <v>175</v>
      </c>
      <c r="C84" s="793" t="s">
        <v>2135</v>
      </c>
      <c r="D84" s="791" t="s">
        <v>10</v>
      </c>
      <c r="E84" s="794" t="s">
        <v>991</v>
      </c>
      <c r="F84" s="795" t="s">
        <v>1032</v>
      </c>
      <c r="G84" s="794" t="s">
        <v>157</v>
      </c>
      <c r="H84" s="795" t="s">
        <v>2649</v>
      </c>
      <c r="I84" s="794" t="s">
        <v>63</v>
      </c>
      <c r="J84" s="796" t="s">
        <v>776</v>
      </c>
      <c r="K84" s="797">
        <v>1075</v>
      </c>
      <c r="L84" s="798">
        <v>39692</v>
      </c>
      <c r="M84" s="799"/>
      <c r="N84" s="800"/>
      <c r="O84" s="797"/>
      <c r="P84" s="801"/>
      <c r="Q84" s="797">
        <v>2349</v>
      </c>
      <c r="R84" s="798">
        <v>39692</v>
      </c>
      <c r="S84" s="960">
        <v>3225</v>
      </c>
      <c r="T84" s="961">
        <v>39692</v>
      </c>
      <c r="U84" s="960">
        <v>3529</v>
      </c>
      <c r="V84" s="1075">
        <v>39692</v>
      </c>
      <c r="W84" s="797"/>
      <c r="X84" s="795"/>
      <c r="Y84" s="797">
        <v>220</v>
      </c>
      <c r="Z84" s="798">
        <v>39692</v>
      </c>
      <c r="AA84" s="797"/>
      <c r="AB84" s="796"/>
      <c r="AC84" s="802">
        <f t="shared" si="4"/>
        <v>10398</v>
      </c>
      <c r="AD84" s="803" t="s">
        <v>465</v>
      </c>
      <c r="AE84" s="804" t="s">
        <v>1407</v>
      </c>
      <c r="AF84" s="805" t="s">
        <v>1406</v>
      </c>
      <c r="AG84" s="1054" t="s">
        <v>2594</v>
      </c>
      <c r="AH84" s="1055">
        <v>41955</v>
      </c>
      <c r="AI84" s="1056">
        <v>115782</v>
      </c>
      <c r="AJ84" s="1057">
        <v>1239</v>
      </c>
      <c r="AK84" s="1076">
        <v>41883</v>
      </c>
      <c r="AL84" s="1058"/>
      <c r="AM84" s="1041"/>
      <c r="AN84" s="1042"/>
      <c r="AO84" s="1041"/>
      <c r="AP84" s="1042">
        <v>2707</v>
      </c>
      <c r="AQ84" s="1076">
        <v>41883</v>
      </c>
      <c r="AR84" s="996"/>
      <c r="AS84" s="997"/>
      <c r="AT84" s="996"/>
      <c r="AU84" s="997"/>
      <c r="AV84" s="1042"/>
      <c r="AW84" s="1041"/>
      <c r="AX84" s="1042">
        <v>254</v>
      </c>
      <c r="AY84" s="1076">
        <v>41883</v>
      </c>
      <c r="AZ84" s="1042"/>
      <c r="BA84" s="1043"/>
      <c r="BB84" s="815">
        <f t="shared" si="5"/>
        <v>4200</v>
      </c>
      <c r="BC84" s="216"/>
      <c r="BD84" s="87"/>
      <c r="BE84" s="87"/>
      <c r="BF84" s="87"/>
      <c r="BI84" s="86"/>
      <c r="BJ84" s="87"/>
      <c r="BK84" s="87"/>
      <c r="BL84" s="87"/>
      <c r="BM84" s="87"/>
      <c r="BN84" s="87"/>
      <c r="BO84" s="87"/>
      <c r="BP84" s="87"/>
      <c r="BQ84" s="87"/>
      <c r="BR84" s="87"/>
      <c r="BS84" s="87"/>
      <c r="BT84" s="87"/>
      <c r="BU84" s="87"/>
      <c r="BV84" s="87"/>
      <c r="BW84" s="87"/>
      <c r="BX84" s="87"/>
      <c r="BY84" s="87"/>
      <c r="BZ84" s="87"/>
      <c r="CA84" s="87"/>
      <c r="CB84" s="87"/>
      <c r="CC84" s="87"/>
      <c r="CD84" s="87"/>
      <c r="CE84" s="87"/>
      <c r="CF84" s="87"/>
      <c r="CG84" s="87"/>
      <c r="CH84" s="87"/>
      <c r="CI84" s="87"/>
      <c r="CJ84" s="87"/>
      <c r="CK84" s="87"/>
    </row>
    <row r="85" spans="1:89" ht="56.25">
      <c r="A85" s="442" t="s">
        <v>2647</v>
      </c>
      <c r="B85" s="510" t="s">
        <v>175</v>
      </c>
      <c r="C85" s="511" t="s">
        <v>2136</v>
      </c>
      <c r="D85" s="462" t="s">
        <v>11</v>
      </c>
      <c r="E85" s="461" t="s">
        <v>991</v>
      </c>
      <c r="F85" s="406" t="s">
        <v>1252</v>
      </c>
      <c r="G85" s="461" t="s">
        <v>157</v>
      </c>
      <c r="H85" s="406" t="s">
        <v>2650</v>
      </c>
      <c r="I85" s="461" t="s">
        <v>63</v>
      </c>
      <c r="J85" s="407" t="s">
        <v>776</v>
      </c>
      <c r="K85" s="396">
        <v>1075</v>
      </c>
      <c r="L85" s="397">
        <v>39692</v>
      </c>
      <c r="M85" s="392"/>
      <c r="N85" s="393"/>
      <c r="O85" s="396"/>
      <c r="P85" s="415"/>
      <c r="Q85" s="396">
        <v>2349</v>
      </c>
      <c r="R85" s="397">
        <v>39692</v>
      </c>
      <c r="S85" s="948">
        <v>3225</v>
      </c>
      <c r="T85" s="949">
        <v>39692</v>
      </c>
      <c r="U85" s="948">
        <v>3529</v>
      </c>
      <c r="V85" s="963">
        <v>39692</v>
      </c>
      <c r="W85" s="396"/>
      <c r="X85" s="406"/>
      <c r="Y85" s="396">
        <v>220</v>
      </c>
      <c r="Z85" s="397">
        <v>39692</v>
      </c>
      <c r="AA85" s="396"/>
      <c r="AB85" s="407"/>
      <c r="AC85" s="512">
        <f t="shared" si="4"/>
        <v>10398</v>
      </c>
      <c r="AD85" s="513" t="s">
        <v>465</v>
      </c>
      <c r="AE85" s="464" t="s">
        <v>1407</v>
      </c>
      <c r="AF85" s="465" t="s">
        <v>1406</v>
      </c>
      <c r="AG85" s="514" t="s">
        <v>2594</v>
      </c>
      <c r="AH85" s="515">
        <v>41955</v>
      </c>
      <c r="AI85" s="516">
        <v>115782</v>
      </c>
      <c r="AJ85" s="439">
        <v>1239</v>
      </c>
      <c r="AK85" s="440">
        <v>41883</v>
      </c>
      <c r="AL85" s="445"/>
      <c r="AM85" s="466"/>
      <c r="AN85" s="441"/>
      <c r="AO85" s="466"/>
      <c r="AP85" s="441">
        <v>2707</v>
      </c>
      <c r="AQ85" s="440">
        <v>41883</v>
      </c>
      <c r="AR85" s="982"/>
      <c r="AS85" s="984"/>
      <c r="AT85" s="982"/>
      <c r="AU85" s="984"/>
      <c r="AV85" s="441"/>
      <c r="AW85" s="466"/>
      <c r="AX85" s="441">
        <v>254</v>
      </c>
      <c r="AY85" s="440">
        <v>41883</v>
      </c>
      <c r="AZ85" s="441"/>
      <c r="BA85" s="467"/>
      <c r="BB85" s="517">
        <f t="shared" si="5"/>
        <v>4200</v>
      </c>
      <c r="BD85" s="87"/>
      <c r="BE85" s="87"/>
      <c r="BF85" s="87"/>
      <c r="BI85" s="86"/>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87"/>
      <c r="CH85" s="87"/>
      <c r="CI85" s="87"/>
      <c r="CJ85" s="87"/>
      <c r="CK85" s="87"/>
    </row>
    <row r="86" spans="1:89" ht="112.5">
      <c r="A86" s="462" t="s">
        <v>2688</v>
      </c>
      <c r="B86" s="510" t="s">
        <v>967</v>
      </c>
      <c r="C86" s="3014" t="s">
        <v>744</v>
      </c>
      <c r="D86" s="462" t="s">
        <v>788</v>
      </c>
      <c r="E86" s="852" t="s">
        <v>39</v>
      </c>
      <c r="F86" s="406" t="s">
        <v>40</v>
      </c>
      <c r="G86" s="461" t="s">
        <v>70</v>
      </c>
      <c r="H86" s="406" t="s">
        <v>2409</v>
      </c>
      <c r="I86" s="852" t="s">
        <v>627</v>
      </c>
      <c r="J86" s="406" t="s">
        <v>673</v>
      </c>
      <c r="K86" s="396">
        <v>1794</v>
      </c>
      <c r="L86" s="397">
        <v>40422</v>
      </c>
      <c r="M86" s="600">
        <v>30016</v>
      </c>
      <c r="N86" s="393" t="s">
        <v>2266</v>
      </c>
      <c r="O86" s="396"/>
      <c r="P86" s="415"/>
      <c r="Q86" s="396"/>
      <c r="R86" s="406" t="s">
        <v>1337</v>
      </c>
      <c r="S86" s="948"/>
      <c r="T86" s="951" t="s">
        <v>1338</v>
      </c>
      <c r="U86" s="948">
        <v>2031</v>
      </c>
      <c r="V86" s="950">
        <v>40422</v>
      </c>
      <c r="W86" s="396"/>
      <c r="X86" s="406"/>
      <c r="Y86" s="396"/>
      <c r="Z86" s="406"/>
      <c r="AA86" s="396"/>
      <c r="AB86" s="407"/>
      <c r="AC86" s="512">
        <f t="shared" si="4"/>
        <v>33841</v>
      </c>
      <c r="AD86" s="3015" t="s">
        <v>526</v>
      </c>
      <c r="AE86" s="747">
        <v>40578</v>
      </c>
      <c r="AF86" s="465">
        <v>42620</v>
      </c>
      <c r="AG86" s="514" t="s">
        <v>1061</v>
      </c>
      <c r="AH86" s="515">
        <v>41962</v>
      </c>
      <c r="AI86" s="516">
        <v>1158069</v>
      </c>
      <c r="AJ86" s="439">
        <v>1972</v>
      </c>
      <c r="AK86" s="440">
        <v>41883</v>
      </c>
      <c r="AL86" s="445">
        <v>33522</v>
      </c>
      <c r="AM86" s="466" t="s">
        <v>2671</v>
      </c>
      <c r="AN86" s="441"/>
      <c r="AO86" s="440"/>
      <c r="AP86" s="441"/>
      <c r="AQ86" s="466"/>
      <c r="AR86" s="982">
        <v>0</v>
      </c>
      <c r="AS86" s="984"/>
      <c r="AT86" s="982">
        <v>2233</v>
      </c>
      <c r="AU86" s="983">
        <v>41883</v>
      </c>
      <c r="AV86" s="441"/>
      <c r="AW86" s="466"/>
      <c r="AX86" s="441"/>
      <c r="AY86" s="466"/>
      <c r="AZ86" s="441"/>
      <c r="BA86" s="467"/>
      <c r="BB86" s="517">
        <f t="shared" si="5"/>
        <v>37727</v>
      </c>
      <c r="BC86" s="4017"/>
    </row>
    <row r="87" spans="1:89" s="47" customFormat="1" ht="67.5">
      <c r="A87" s="932" t="s">
        <v>1315</v>
      </c>
      <c r="B87" s="510" t="s">
        <v>763</v>
      </c>
      <c r="C87" s="511" t="s">
        <v>936</v>
      </c>
      <c r="D87" s="462" t="s">
        <v>9</v>
      </c>
      <c r="E87" s="933" t="s">
        <v>1318</v>
      </c>
      <c r="F87" s="406" t="s">
        <v>1319</v>
      </c>
      <c r="G87" s="933" t="s">
        <v>1320</v>
      </c>
      <c r="H87" s="934" t="s">
        <v>1321</v>
      </c>
      <c r="I87" s="461" t="s">
        <v>684</v>
      </c>
      <c r="J87" s="407" t="s">
        <v>942</v>
      </c>
      <c r="K87" s="396">
        <v>2305</v>
      </c>
      <c r="L87" s="397">
        <v>40695</v>
      </c>
      <c r="M87" s="392">
        <v>9527</v>
      </c>
      <c r="N87" s="397">
        <v>40695</v>
      </c>
      <c r="O87" s="396"/>
      <c r="P87" s="415"/>
      <c r="Q87" s="396"/>
      <c r="R87" s="406" t="s">
        <v>1290</v>
      </c>
      <c r="S87" s="948">
        <v>16046</v>
      </c>
      <c r="T87" s="963">
        <v>40695</v>
      </c>
      <c r="U87" s="948">
        <v>6478</v>
      </c>
      <c r="V87" s="963">
        <v>40695</v>
      </c>
      <c r="W87" s="396"/>
      <c r="X87" s="406"/>
      <c r="Y87" s="396"/>
      <c r="Z87" s="406"/>
      <c r="AA87" s="396"/>
      <c r="AB87" s="407"/>
      <c r="AC87" s="512">
        <f t="shared" si="4"/>
        <v>34356</v>
      </c>
      <c r="AD87" s="601" t="s">
        <v>1322</v>
      </c>
      <c r="AE87" s="602" t="s">
        <v>1323</v>
      </c>
      <c r="AF87" s="465" t="s">
        <v>2308</v>
      </c>
      <c r="AG87" s="524" t="s">
        <v>2594</v>
      </c>
      <c r="AH87" s="525" t="s">
        <v>2672</v>
      </c>
      <c r="AI87" s="526">
        <v>1158136</v>
      </c>
      <c r="AJ87" s="403">
        <v>2465</v>
      </c>
      <c r="AK87" s="404">
        <v>41883</v>
      </c>
      <c r="AL87" s="416">
        <v>10187</v>
      </c>
      <c r="AM87" s="404">
        <v>41883</v>
      </c>
      <c r="AN87" s="405"/>
      <c r="AO87" s="408"/>
      <c r="AP87" s="405"/>
      <c r="AQ87" s="408"/>
      <c r="AR87" s="935"/>
      <c r="AS87" s="936"/>
      <c r="AT87" s="935"/>
      <c r="AU87" s="936"/>
      <c r="AV87" s="405"/>
      <c r="AW87" s="408"/>
      <c r="AX87" s="405"/>
      <c r="AY87" s="408"/>
      <c r="AZ87" s="405"/>
      <c r="BA87" s="409"/>
      <c r="BB87" s="517">
        <f t="shared" si="5"/>
        <v>12652</v>
      </c>
      <c r="BC87" s="238"/>
      <c r="BD87" s="55"/>
      <c r="BE87" s="55"/>
      <c r="BF87" s="55"/>
      <c r="BG87" s="4119"/>
      <c r="BH87" s="787"/>
      <c r="BI87" s="4120"/>
      <c r="BJ87" s="55"/>
      <c r="BK87" s="55"/>
      <c r="BL87" s="55"/>
      <c r="BM87" s="55"/>
      <c r="BN87" s="55"/>
      <c r="BO87" s="55"/>
      <c r="BP87" s="55"/>
      <c r="BQ87" s="55"/>
      <c r="BR87" s="55"/>
      <c r="BS87" s="55"/>
      <c r="BT87" s="55"/>
      <c r="BU87" s="55"/>
      <c r="BV87" s="55"/>
      <c r="BW87" s="55"/>
      <c r="BX87" s="55"/>
    </row>
    <row r="88" spans="1:89" s="47" customFormat="1" ht="67.5">
      <c r="A88" s="932" t="s">
        <v>1315</v>
      </c>
      <c r="B88" s="510" t="s">
        <v>1221</v>
      </c>
      <c r="C88" s="511" t="s">
        <v>1223</v>
      </c>
      <c r="D88" s="462" t="s">
        <v>9</v>
      </c>
      <c r="E88" s="933" t="s">
        <v>1318</v>
      </c>
      <c r="F88" s="406" t="s">
        <v>1319</v>
      </c>
      <c r="G88" s="933" t="s">
        <v>1320</v>
      </c>
      <c r="H88" s="934" t="s">
        <v>1321</v>
      </c>
      <c r="I88" s="461" t="s">
        <v>684</v>
      </c>
      <c r="J88" s="407" t="s">
        <v>1229</v>
      </c>
      <c r="K88" s="396">
        <v>3073</v>
      </c>
      <c r="L88" s="397">
        <v>40695</v>
      </c>
      <c r="M88" s="392">
        <v>12702</v>
      </c>
      <c r="N88" s="397">
        <v>40695</v>
      </c>
      <c r="O88" s="396"/>
      <c r="P88" s="415"/>
      <c r="Q88" s="396"/>
      <c r="R88" s="406" t="s">
        <v>1290</v>
      </c>
      <c r="S88" s="948">
        <v>21394</v>
      </c>
      <c r="T88" s="963">
        <v>40695</v>
      </c>
      <c r="U88" s="948">
        <v>8638</v>
      </c>
      <c r="V88" s="963">
        <v>40695</v>
      </c>
      <c r="W88" s="396"/>
      <c r="X88" s="406"/>
      <c r="Y88" s="396"/>
      <c r="Z88" s="406"/>
      <c r="AA88" s="396"/>
      <c r="AB88" s="407"/>
      <c r="AC88" s="512">
        <f t="shared" si="4"/>
        <v>45807</v>
      </c>
      <c r="AD88" s="601" t="s">
        <v>1305</v>
      </c>
      <c r="AE88" s="602" t="s">
        <v>1323</v>
      </c>
      <c r="AF88" s="465" t="s">
        <v>2308</v>
      </c>
      <c r="AG88" s="524" t="s">
        <v>2594</v>
      </c>
      <c r="AH88" s="525" t="s">
        <v>2672</v>
      </c>
      <c r="AI88" s="526">
        <v>1158136</v>
      </c>
      <c r="AJ88" s="403">
        <v>3286</v>
      </c>
      <c r="AK88" s="404">
        <v>41883</v>
      </c>
      <c r="AL88" s="416">
        <v>13582</v>
      </c>
      <c r="AM88" s="404">
        <v>41883</v>
      </c>
      <c r="AN88" s="405"/>
      <c r="AO88" s="408"/>
      <c r="AP88" s="405"/>
      <c r="AQ88" s="408"/>
      <c r="AR88" s="935"/>
      <c r="AS88" s="936"/>
      <c r="AT88" s="935"/>
      <c r="AU88" s="936"/>
      <c r="AV88" s="405"/>
      <c r="AW88" s="408"/>
      <c r="AX88" s="405"/>
      <c r="AY88" s="408"/>
      <c r="AZ88" s="405"/>
      <c r="BA88" s="409"/>
      <c r="BB88" s="517">
        <f t="shared" si="5"/>
        <v>16868</v>
      </c>
      <c r="BC88" s="238"/>
      <c r="BD88" s="55"/>
      <c r="BE88" s="55"/>
      <c r="BF88" s="55"/>
      <c r="BG88" s="4119"/>
      <c r="BH88" s="787"/>
      <c r="BI88" s="4120"/>
      <c r="BJ88" s="55"/>
      <c r="BK88" s="55"/>
      <c r="BL88" s="55"/>
      <c r="BM88" s="55"/>
      <c r="BN88" s="55"/>
      <c r="BO88" s="55"/>
      <c r="BP88" s="55"/>
      <c r="BQ88" s="55"/>
      <c r="BR88" s="55"/>
      <c r="BS88" s="55"/>
      <c r="BT88" s="55"/>
      <c r="BU88" s="55"/>
      <c r="BV88" s="55"/>
      <c r="BW88" s="55"/>
      <c r="BX88" s="55"/>
    </row>
    <row r="89" spans="1:89" s="47" customFormat="1" ht="67.5">
      <c r="A89" s="932" t="s">
        <v>1315</v>
      </c>
      <c r="B89" s="510" t="s">
        <v>1222</v>
      </c>
      <c r="C89" s="511" t="s">
        <v>1224</v>
      </c>
      <c r="D89" s="462" t="s">
        <v>9</v>
      </c>
      <c r="E89" s="933" t="s">
        <v>1318</v>
      </c>
      <c r="F89" s="406" t="s">
        <v>1319</v>
      </c>
      <c r="G89" s="933" t="s">
        <v>1320</v>
      </c>
      <c r="H89" s="934" t="s">
        <v>1321</v>
      </c>
      <c r="I89" s="461" t="s">
        <v>684</v>
      </c>
      <c r="J89" s="407" t="s">
        <v>1228</v>
      </c>
      <c r="K89" s="396">
        <v>2305</v>
      </c>
      <c r="L89" s="397">
        <v>40695</v>
      </c>
      <c r="M89" s="392">
        <v>9527</v>
      </c>
      <c r="N89" s="397">
        <v>40695</v>
      </c>
      <c r="O89" s="396"/>
      <c r="P89" s="415"/>
      <c r="Q89" s="396"/>
      <c r="R89" s="406" t="s">
        <v>1290</v>
      </c>
      <c r="S89" s="948">
        <v>16046</v>
      </c>
      <c r="T89" s="963">
        <v>40695</v>
      </c>
      <c r="U89" s="948">
        <v>6478</v>
      </c>
      <c r="V89" s="963">
        <v>40695</v>
      </c>
      <c r="W89" s="396"/>
      <c r="X89" s="406"/>
      <c r="Y89" s="396"/>
      <c r="Z89" s="406"/>
      <c r="AA89" s="396"/>
      <c r="AB89" s="407"/>
      <c r="AC89" s="512">
        <f t="shared" si="4"/>
        <v>34356</v>
      </c>
      <c r="AD89" s="601" t="s">
        <v>1305</v>
      </c>
      <c r="AE89" s="602" t="s">
        <v>1323</v>
      </c>
      <c r="AF89" s="465" t="s">
        <v>2308</v>
      </c>
      <c r="AG89" s="524" t="s">
        <v>2594</v>
      </c>
      <c r="AH89" s="525" t="s">
        <v>2672</v>
      </c>
      <c r="AI89" s="526">
        <v>1158136</v>
      </c>
      <c r="AJ89" s="403">
        <v>2465</v>
      </c>
      <c r="AK89" s="404">
        <v>41883</v>
      </c>
      <c r="AL89" s="416">
        <v>10187</v>
      </c>
      <c r="AM89" s="404">
        <v>41883</v>
      </c>
      <c r="AN89" s="405"/>
      <c r="AO89" s="408"/>
      <c r="AP89" s="405"/>
      <c r="AQ89" s="408"/>
      <c r="AR89" s="935"/>
      <c r="AS89" s="936"/>
      <c r="AT89" s="935"/>
      <c r="AU89" s="936"/>
      <c r="AV89" s="405"/>
      <c r="AW89" s="408"/>
      <c r="AX89" s="405"/>
      <c r="AY89" s="408"/>
      <c r="AZ89" s="405"/>
      <c r="BA89" s="409"/>
      <c r="BB89" s="517">
        <f t="shared" si="5"/>
        <v>12652</v>
      </c>
      <c r="BC89" s="238"/>
      <c r="BD89" s="55"/>
      <c r="BE89" s="55"/>
      <c r="BF89" s="55"/>
      <c r="BG89" s="4119"/>
      <c r="BH89" s="787"/>
      <c r="BI89" s="4120"/>
      <c r="BJ89" s="55"/>
      <c r="BK89" s="55"/>
      <c r="BL89" s="55"/>
      <c r="BM89" s="55"/>
      <c r="BN89" s="55"/>
      <c r="BO89" s="55"/>
      <c r="BP89" s="55"/>
      <c r="BQ89" s="55"/>
      <c r="BR89" s="55"/>
      <c r="BS89" s="55"/>
      <c r="BT89" s="55"/>
      <c r="BU89" s="55"/>
      <c r="BV89" s="55"/>
      <c r="BW89" s="55"/>
      <c r="BX89" s="55"/>
    </row>
    <row r="90" spans="1:89" s="47" customFormat="1" ht="67.5">
      <c r="A90" s="932" t="s">
        <v>1315</v>
      </c>
      <c r="B90" s="510" t="s">
        <v>1324</v>
      </c>
      <c r="C90" s="511" t="s">
        <v>1304</v>
      </c>
      <c r="D90" s="462" t="s">
        <v>9</v>
      </c>
      <c r="E90" s="933" t="s">
        <v>1318</v>
      </c>
      <c r="F90" s="406" t="s">
        <v>1319</v>
      </c>
      <c r="G90" s="933" t="s">
        <v>1320</v>
      </c>
      <c r="H90" s="934" t="s">
        <v>1321</v>
      </c>
      <c r="I90" s="461" t="s">
        <v>684</v>
      </c>
      <c r="J90" s="407" t="s">
        <v>941</v>
      </c>
      <c r="K90" s="396">
        <v>2305</v>
      </c>
      <c r="L90" s="397">
        <v>40695</v>
      </c>
      <c r="M90" s="392">
        <v>9527</v>
      </c>
      <c r="N90" s="397">
        <v>40695</v>
      </c>
      <c r="O90" s="396"/>
      <c r="P90" s="415"/>
      <c r="Q90" s="396"/>
      <c r="R90" s="406" t="s">
        <v>1290</v>
      </c>
      <c r="S90" s="948">
        <v>16046</v>
      </c>
      <c r="T90" s="963">
        <v>40695</v>
      </c>
      <c r="U90" s="948">
        <v>6478</v>
      </c>
      <c r="V90" s="963">
        <v>40695</v>
      </c>
      <c r="W90" s="396"/>
      <c r="X90" s="406"/>
      <c r="Y90" s="396"/>
      <c r="Z90" s="406"/>
      <c r="AA90" s="396"/>
      <c r="AB90" s="407"/>
      <c r="AC90" s="512">
        <f t="shared" si="4"/>
        <v>34356</v>
      </c>
      <c r="AD90" s="601" t="s">
        <v>1305</v>
      </c>
      <c r="AE90" s="602" t="s">
        <v>1323</v>
      </c>
      <c r="AF90" s="465" t="s">
        <v>2308</v>
      </c>
      <c r="AG90" s="524" t="s">
        <v>2594</v>
      </c>
      <c r="AH90" s="525" t="s">
        <v>2672</v>
      </c>
      <c r="AI90" s="526">
        <v>1158136</v>
      </c>
      <c r="AJ90" s="403">
        <v>2465</v>
      </c>
      <c r="AK90" s="404">
        <v>41883</v>
      </c>
      <c r="AL90" s="416">
        <v>10187</v>
      </c>
      <c r="AM90" s="404">
        <v>41883</v>
      </c>
      <c r="AN90" s="405"/>
      <c r="AO90" s="408"/>
      <c r="AP90" s="405"/>
      <c r="AQ90" s="408"/>
      <c r="AR90" s="935"/>
      <c r="AS90" s="936"/>
      <c r="AT90" s="935"/>
      <c r="AU90" s="936"/>
      <c r="AV90" s="405"/>
      <c r="AW90" s="408"/>
      <c r="AX90" s="405"/>
      <c r="AY90" s="408"/>
      <c r="AZ90" s="405"/>
      <c r="BA90" s="409"/>
      <c r="BB90" s="517">
        <f t="shared" si="5"/>
        <v>12652</v>
      </c>
      <c r="BC90" s="238"/>
      <c r="BD90" s="55"/>
      <c r="BE90" s="55"/>
      <c r="BF90" s="55"/>
      <c r="BG90" s="4119"/>
      <c r="BH90" s="787"/>
      <c r="BI90" s="4120"/>
      <c r="BJ90" s="55"/>
      <c r="BK90" s="55"/>
      <c r="BL90" s="55"/>
      <c r="BM90" s="55"/>
      <c r="BN90" s="55"/>
      <c r="BO90" s="55"/>
      <c r="BP90" s="55"/>
      <c r="BQ90" s="55"/>
      <c r="BR90" s="55"/>
      <c r="BS90" s="55"/>
      <c r="BT90" s="55"/>
      <c r="BU90" s="55"/>
      <c r="BV90" s="55"/>
      <c r="BW90" s="55"/>
      <c r="BX90" s="55"/>
    </row>
    <row r="91" spans="1:89" s="47" customFormat="1" ht="67.5">
      <c r="A91" s="932" t="s">
        <v>1315</v>
      </c>
      <c r="B91" s="510" t="s">
        <v>1230</v>
      </c>
      <c r="C91" s="511" t="s">
        <v>1234</v>
      </c>
      <c r="D91" s="462" t="s">
        <v>9</v>
      </c>
      <c r="E91" s="933" t="s">
        <v>1318</v>
      </c>
      <c r="F91" s="406" t="s">
        <v>1319</v>
      </c>
      <c r="G91" s="933" t="s">
        <v>1320</v>
      </c>
      <c r="H91" s="934" t="s">
        <v>1321</v>
      </c>
      <c r="I91" s="461" t="s">
        <v>684</v>
      </c>
      <c r="J91" s="407" t="s">
        <v>1238</v>
      </c>
      <c r="K91" s="396">
        <v>2305</v>
      </c>
      <c r="L91" s="397">
        <v>40695</v>
      </c>
      <c r="M91" s="392">
        <v>9527</v>
      </c>
      <c r="N91" s="397">
        <v>40695</v>
      </c>
      <c r="O91" s="396"/>
      <c r="P91" s="415"/>
      <c r="Q91" s="396"/>
      <c r="R91" s="406" t="s">
        <v>1290</v>
      </c>
      <c r="S91" s="948">
        <v>16046</v>
      </c>
      <c r="T91" s="963">
        <v>40695</v>
      </c>
      <c r="U91" s="948">
        <v>6478</v>
      </c>
      <c r="V91" s="963">
        <v>40695</v>
      </c>
      <c r="W91" s="396"/>
      <c r="X91" s="406"/>
      <c r="Y91" s="396"/>
      <c r="Z91" s="406"/>
      <c r="AA91" s="396"/>
      <c r="AB91" s="407"/>
      <c r="AC91" s="512">
        <f t="shared" si="4"/>
        <v>34356</v>
      </c>
      <c r="AD91" s="601" t="s">
        <v>1305</v>
      </c>
      <c r="AE91" s="602" t="s">
        <v>1323</v>
      </c>
      <c r="AF91" s="465" t="s">
        <v>2308</v>
      </c>
      <c r="AG91" s="524" t="s">
        <v>2594</v>
      </c>
      <c r="AH91" s="525" t="s">
        <v>2672</v>
      </c>
      <c r="AI91" s="526">
        <v>1158136</v>
      </c>
      <c r="AJ91" s="403">
        <v>2465</v>
      </c>
      <c r="AK91" s="404">
        <v>41883</v>
      </c>
      <c r="AL91" s="416">
        <v>10187</v>
      </c>
      <c r="AM91" s="404">
        <v>41883</v>
      </c>
      <c r="AN91" s="405"/>
      <c r="AO91" s="408"/>
      <c r="AP91" s="405"/>
      <c r="AQ91" s="408"/>
      <c r="AR91" s="935"/>
      <c r="AS91" s="936"/>
      <c r="AT91" s="935"/>
      <c r="AU91" s="936"/>
      <c r="AV91" s="405"/>
      <c r="AW91" s="408"/>
      <c r="AX91" s="405"/>
      <c r="AY91" s="408"/>
      <c r="AZ91" s="405"/>
      <c r="BA91" s="409"/>
      <c r="BB91" s="517">
        <f t="shared" si="5"/>
        <v>12652</v>
      </c>
      <c r="BC91" s="238"/>
      <c r="BD91" s="55"/>
      <c r="BE91" s="55"/>
      <c r="BF91" s="55"/>
      <c r="BG91" s="4119"/>
      <c r="BH91" s="787"/>
      <c r="BI91" s="4120"/>
      <c r="BJ91" s="55"/>
      <c r="BK91" s="55"/>
      <c r="BL91" s="55"/>
      <c r="BM91" s="55"/>
      <c r="BN91" s="55"/>
      <c r="BO91" s="55"/>
      <c r="BP91" s="55"/>
      <c r="BQ91" s="55"/>
      <c r="BR91" s="55"/>
      <c r="BS91" s="55"/>
      <c r="BT91" s="55"/>
      <c r="BU91" s="55"/>
      <c r="BV91" s="55"/>
      <c r="BW91" s="55"/>
      <c r="BX91" s="55"/>
    </row>
    <row r="92" spans="1:89" s="47" customFormat="1" ht="67.5">
      <c r="A92" s="932" t="s">
        <v>1315</v>
      </c>
      <c r="B92" s="510" t="s">
        <v>1231</v>
      </c>
      <c r="C92" s="511" t="s">
        <v>1235</v>
      </c>
      <c r="D92" s="462" t="s">
        <v>9</v>
      </c>
      <c r="E92" s="933" t="s">
        <v>1318</v>
      </c>
      <c r="F92" s="406" t="s">
        <v>1319</v>
      </c>
      <c r="G92" s="933" t="s">
        <v>1320</v>
      </c>
      <c r="H92" s="934" t="s">
        <v>1321</v>
      </c>
      <c r="I92" s="461" t="s">
        <v>684</v>
      </c>
      <c r="J92" s="407" t="s">
        <v>1239</v>
      </c>
      <c r="K92" s="396">
        <v>2305</v>
      </c>
      <c r="L92" s="397">
        <v>40695</v>
      </c>
      <c r="M92" s="392">
        <v>9527</v>
      </c>
      <c r="N92" s="397">
        <v>40695</v>
      </c>
      <c r="O92" s="396"/>
      <c r="P92" s="415"/>
      <c r="Q92" s="396"/>
      <c r="R92" s="406" t="s">
        <v>1290</v>
      </c>
      <c r="S92" s="948">
        <v>16046</v>
      </c>
      <c r="T92" s="963">
        <v>40695</v>
      </c>
      <c r="U92" s="948">
        <v>6478</v>
      </c>
      <c r="V92" s="963">
        <v>40695</v>
      </c>
      <c r="W92" s="396"/>
      <c r="X92" s="406"/>
      <c r="Y92" s="396"/>
      <c r="Z92" s="406"/>
      <c r="AA92" s="396"/>
      <c r="AB92" s="407"/>
      <c r="AC92" s="512">
        <f t="shared" si="4"/>
        <v>34356</v>
      </c>
      <c r="AD92" s="601" t="s">
        <v>1305</v>
      </c>
      <c r="AE92" s="602" t="s">
        <v>1323</v>
      </c>
      <c r="AF92" s="465" t="s">
        <v>2308</v>
      </c>
      <c r="AG92" s="524" t="s">
        <v>2594</v>
      </c>
      <c r="AH92" s="525" t="s">
        <v>2672</v>
      </c>
      <c r="AI92" s="526">
        <v>1158136</v>
      </c>
      <c r="AJ92" s="403">
        <v>2465</v>
      </c>
      <c r="AK92" s="404">
        <v>41883</v>
      </c>
      <c r="AL92" s="416">
        <v>10187</v>
      </c>
      <c r="AM92" s="404">
        <v>41883</v>
      </c>
      <c r="AN92" s="405"/>
      <c r="AO92" s="408"/>
      <c r="AP92" s="405"/>
      <c r="AQ92" s="408"/>
      <c r="AR92" s="935"/>
      <c r="AS92" s="936"/>
      <c r="AT92" s="935"/>
      <c r="AU92" s="936"/>
      <c r="AV92" s="405"/>
      <c r="AW92" s="408"/>
      <c r="AX92" s="405"/>
      <c r="AY92" s="408"/>
      <c r="AZ92" s="405"/>
      <c r="BA92" s="409"/>
      <c r="BB92" s="517">
        <f t="shared" si="5"/>
        <v>12652</v>
      </c>
      <c r="BC92" s="238"/>
      <c r="BD92" s="55"/>
      <c r="BE92" s="55"/>
      <c r="BF92" s="55"/>
      <c r="BG92" s="4119"/>
      <c r="BH92" s="787"/>
      <c r="BI92" s="4120"/>
      <c r="BJ92" s="55"/>
      <c r="BK92" s="55"/>
      <c r="BL92" s="55"/>
      <c r="BM92" s="55"/>
      <c r="BN92" s="55"/>
      <c r="BO92" s="55"/>
      <c r="BP92" s="55"/>
      <c r="BQ92" s="55"/>
      <c r="BR92" s="55"/>
      <c r="BS92" s="55"/>
      <c r="BT92" s="55"/>
      <c r="BU92" s="55"/>
      <c r="BV92" s="55"/>
      <c r="BW92" s="55"/>
      <c r="BX92" s="55"/>
    </row>
    <row r="93" spans="1:89" s="47" customFormat="1" ht="67.5">
      <c r="A93" s="932" t="s">
        <v>1315</v>
      </c>
      <c r="B93" s="510" t="s">
        <v>1232</v>
      </c>
      <c r="C93" s="511" t="s">
        <v>1236</v>
      </c>
      <c r="D93" s="462" t="s">
        <v>9</v>
      </c>
      <c r="E93" s="933" t="s">
        <v>1318</v>
      </c>
      <c r="F93" s="406" t="s">
        <v>1319</v>
      </c>
      <c r="G93" s="933" t="s">
        <v>1320</v>
      </c>
      <c r="H93" s="934" t="s">
        <v>1321</v>
      </c>
      <c r="I93" s="461" t="s">
        <v>684</v>
      </c>
      <c r="J93" s="407" t="s">
        <v>1240</v>
      </c>
      <c r="K93" s="396">
        <v>3073</v>
      </c>
      <c r="L93" s="397">
        <v>40695</v>
      </c>
      <c r="M93" s="392">
        <v>12702</v>
      </c>
      <c r="N93" s="397">
        <v>40695</v>
      </c>
      <c r="O93" s="396"/>
      <c r="P93" s="415"/>
      <c r="Q93" s="396"/>
      <c r="R93" s="406" t="s">
        <v>1290</v>
      </c>
      <c r="S93" s="948">
        <v>21395</v>
      </c>
      <c r="T93" s="963">
        <v>40695</v>
      </c>
      <c r="U93" s="948">
        <v>8638</v>
      </c>
      <c r="V93" s="963">
        <v>40695</v>
      </c>
      <c r="W93" s="396"/>
      <c r="X93" s="406"/>
      <c r="Y93" s="396"/>
      <c r="Z93" s="406"/>
      <c r="AA93" s="396"/>
      <c r="AB93" s="407"/>
      <c r="AC93" s="512">
        <f t="shared" si="4"/>
        <v>45808</v>
      </c>
      <c r="AD93" s="601" t="s">
        <v>1305</v>
      </c>
      <c r="AE93" s="602" t="s">
        <v>1323</v>
      </c>
      <c r="AF93" s="465" t="s">
        <v>2308</v>
      </c>
      <c r="AG93" s="524" t="s">
        <v>2594</v>
      </c>
      <c r="AH93" s="525" t="s">
        <v>2672</v>
      </c>
      <c r="AI93" s="526">
        <v>1158136</v>
      </c>
      <c r="AJ93" s="403">
        <v>3286</v>
      </c>
      <c r="AK93" s="404">
        <v>41883</v>
      </c>
      <c r="AL93" s="416">
        <v>13582</v>
      </c>
      <c r="AM93" s="404">
        <v>41883</v>
      </c>
      <c r="AN93" s="405"/>
      <c r="AO93" s="408"/>
      <c r="AP93" s="405"/>
      <c r="AQ93" s="408"/>
      <c r="AR93" s="935"/>
      <c r="AS93" s="936"/>
      <c r="AT93" s="935"/>
      <c r="AU93" s="936"/>
      <c r="AV93" s="405"/>
      <c r="AW93" s="408"/>
      <c r="AX93" s="405"/>
      <c r="AY93" s="408"/>
      <c r="AZ93" s="405"/>
      <c r="BA93" s="409"/>
      <c r="BB93" s="517">
        <f t="shared" si="5"/>
        <v>16868</v>
      </c>
      <c r="BC93" s="238"/>
      <c r="BD93" s="55"/>
      <c r="BE93" s="55"/>
      <c r="BF93" s="55"/>
      <c r="BG93" s="4119"/>
      <c r="BH93" s="787"/>
      <c r="BI93" s="4120"/>
      <c r="BJ93" s="55"/>
      <c r="BK93" s="55"/>
      <c r="BL93" s="55"/>
      <c r="BM93" s="55"/>
      <c r="BN93" s="55"/>
      <c r="BO93" s="55"/>
      <c r="BP93" s="55"/>
      <c r="BQ93" s="55"/>
      <c r="BR93" s="55"/>
      <c r="BS93" s="55"/>
      <c r="BT93" s="55"/>
      <c r="BU93" s="55"/>
      <c r="BV93" s="55"/>
      <c r="BW93" s="55"/>
      <c r="BX93" s="55"/>
    </row>
    <row r="94" spans="1:89" s="47" customFormat="1" ht="68.25" thickBot="1">
      <c r="A94" s="1094" t="s">
        <v>1315</v>
      </c>
      <c r="B94" s="651" t="s">
        <v>1233</v>
      </c>
      <c r="C94" s="652" t="s">
        <v>1237</v>
      </c>
      <c r="D94" s="470" t="s">
        <v>9</v>
      </c>
      <c r="E94" s="749" t="s">
        <v>1318</v>
      </c>
      <c r="F94" s="469" t="s">
        <v>1319</v>
      </c>
      <c r="G94" s="749" t="s">
        <v>1320</v>
      </c>
      <c r="H94" s="748" t="s">
        <v>1321</v>
      </c>
      <c r="I94" s="468" t="s">
        <v>684</v>
      </c>
      <c r="J94" s="471" t="s">
        <v>1144</v>
      </c>
      <c r="K94" s="473">
        <v>3841</v>
      </c>
      <c r="L94" s="472">
        <v>40695</v>
      </c>
      <c r="M94" s="653">
        <v>15878</v>
      </c>
      <c r="N94" s="472">
        <v>40695</v>
      </c>
      <c r="O94" s="473"/>
      <c r="P94" s="474"/>
      <c r="Q94" s="473"/>
      <c r="R94" s="469" t="s">
        <v>1290</v>
      </c>
      <c r="S94" s="957">
        <v>26743</v>
      </c>
      <c r="T94" s="973">
        <v>40695</v>
      </c>
      <c r="U94" s="957">
        <v>10797</v>
      </c>
      <c r="V94" s="973">
        <v>40695</v>
      </c>
      <c r="W94" s="473"/>
      <c r="X94" s="469"/>
      <c r="Y94" s="473"/>
      <c r="Z94" s="469"/>
      <c r="AA94" s="473"/>
      <c r="AB94" s="471"/>
      <c r="AC94" s="655">
        <f t="shared" si="4"/>
        <v>57259</v>
      </c>
      <c r="AD94" s="1095" t="s">
        <v>1305</v>
      </c>
      <c r="AE94" s="1096" t="s">
        <v>1323</v>
      </c>
      <c r="AF94" s="477" t="s">
        <v>2308</v>
      </c>
      <c r="AG94" s="656" t="s">
        <v>2594</v>
      </c>
      <c r="AH94" s="657" t="s">
        <v>2672</v>
      </c>
      <c r="AI94" s="658">
        <v>1158136</v>
      </c>
      <c r="AJ94" s="750">
        <v>4107</v>
      </c>
      <c r="AK94" s="724">
        <v>41883</v>
      </c>
      <c r="AL94" s="751">
        <v>16978</v>
      </c>
      <c r="AM94" s="724">
        <v>41883</v>
      </c>
      <c r="AN94" s="723"/>
      <c r="AO94" s="752"/>
      <c r="AP94" s="723"/>
      <c r="AQ94" s="752"/>
      <c r="AR94" s="972"/>
      <c r="AS94" s="995"/>
      <c r="AT94" s="972"/>
      <c r="AU94" s="995"/>
      <c r="AV94" s="723"/>
      <c r="AW94" s="752"/>
      <c r="AX94" s="723"/>
      <c r="AY94" s="752"/>
      <c r="AZ94" s="723"/>
      <c r="BA94" s="753"/>
      <c r="BB94" s="659">
        <f t="shared" si="5"/>
        <v>21085</v>
      </c>
      <c r="BC94" s="754" t="s">
        <v>2670</v>
      </c>
      <c r="BD94" s="741">
        <f>SUM(BB84:BB94)</f>
        <v>164208</v>
      </c>
      <c r="BE94" s="742">
        <f>BD94-BF94</f>
        <v>161975</v>
      </c>
      <c r="BF94" s="742">
        <f>SUM(AR84:AR94)+SUM(AT84:AT94)</f>
        <v>2233</v>
      </c>
      <c r="BG94" s="4119"/>
      <c r="BH94" s="787"/>
      <c r="BI94" s="4120"/>
      <c r="BJ94" s="55"/>
      <c r="BK94" s="55"/>
      <c r="BL94" s="55"/>
      <c r="BM94" s="55"/>
      <c r="BN94" s="55"/>
      <c r="BO94" s="55"/>
      <c r="BP94" s="55"/>
      <c r="BQ94" s="55"/>
      <c r="BR94" s="55"/>
      <c r="BS94" s="55"/>
      <c r="BT94" s="55"/>
      <c r="BU94" s="55"/>
      <c r="BV94" s="55"/>
      <c r="BW94" s="55"/>
      <c r="BX94" s="55"/>
    </row>
    <row r="95" spans="1:89" ht="67.5">
      <c r="A95" s="698" t="s">
        <v>2696</v>
      </c>
      <c r="B95" s="699" t="s">
        <v>286</v>
      </c>
      <c r="C95" s="700" t="s">
        <v>1017</v>
      </c>
      <c r="D95" s="698" t="s">
        <v>1330</v>
      </c>
      <c r="E95" s="701" t="s">
        <v>729</v>
      </c>
      <c r="F95" s="702" t="s">
        <v>358</v>
      </c>
      <c r="G95" s="701" t="s">
        <v>230</v>
      </c>
      <c r="H95" s="702" t="s">
        <v>272</v>
      </c>
      <c r="I95" s="701" t="s">
        <v>1257</v>
      </c>
      <c r="J95" s="703" t="s">
        <v>536</v>
      </c>
      <c r="K95" s="704"/>
      <c r="L95" s="705"/>
      <c r="M95" s="1024">
        <v>2963</v>
      </c>
      <c r="N95" s="707" t="s">
        <v>2265</v>
      </c>
      <c r="O95" s="704"/>
      <c r="P95" s="708"/>
      <c r="Q95" s="704"/>
      <c r="R95" s="702"/>
      <c r="S95" s="960"/>
      <c r="T95" s="970"/>
      <c r="U95" s="960"/>
      <c r="V95" s="971"/>
      <c r="W95" s="704"/>
      <c r="X95" s="702"/>
      <c r="Y95" s="704"/>
      <c r="Z95" s="702"/>
      <c r="AA95" s="704"/>
      <c r="AB95" s="703"/>
      <c r="AC95" s="536">
        <f t="shared" si="4"/>
        <v>2963</v>
      </c>
      <c r="AD95" s="709" t="s">
        <v>269</v>
      </c>
      <c r="AE95" s="710">
        <v>40016</v>
      </c>
      <c r="AF95" s="711">
        <v>40746</v>
      </c>
      <c r="AG95" s="1091" t="s">
        <v>2594</v>
      </c>
      <c r="AH95" s="1092">
        <v>41976</v>
      </c>
      <c r="AI95" s="1093">
        <v>1158566</v>
      </c>
      <c r="AJ95" s="772"/>
      <c r="AK95" s="775"/>
      <c r="AL95" s="773">
        <v>3776</v>
      </c>
      <c r="AM95" s="775" t="s">
        <v>2697</v>
      </c>
      <c r="AN95" s="774"/>
      <c r="AO95" s="775"/>
      <c r="AP95" s="774"/>
      <c r="AQ95" s="775"/>
      <c r="AR95" s="996"/>
      <c r="AS95" s="997"/>
      <c r="AT95" s="996"/>
      <c r="AU95" s="997"/>
      <c r="AV95" s="774"/>
      <c r="AW95" s="775"/>
      <c r="AX95" s="774"/>
      <c r="AY95" s="775"/>
      <c r="AZ95" s="774"/>
      <c r="BA95" s="776"/>
      <c r="BB95" s="721">
        <f t="shared" si="5"/>
        <v>3776</v>
      </c>
      <c r="BC95" s="4017"/>
    </row>
    <row r="96" spans="1:89" ht="225">
      <c r="A96" s="907" t="s">
        <v>2707</v>
      </c>
      <c r="B96" s="368" t="s">
        <v>622</v>
      </c>
      <c r="C96" s="215" t="s">
        <v>2705</v>
      </c>
      <c r="D96" s="350" t="s">
        <v>788</v>
      </c>
      <c r="E96" s="354" t="s">
        <v>475</v>
      </c>
      <c r="F96" s="353" t="s">
        <v>490</v>
      </c>
      <c r="G96" s="354" t="s">
        <v>918</v>
      </c>
      <c r="H96" s="353" t="s">
        <v>1117</v>
      </c>
      <c r="I96" s="354" t="s">
        <v>215</v>
      </c>
      <c r="J96" s="355" t="s">
        <v>2372</v>
      </c>
      <c r="K96" s="370"/>
      <c r="L96" s="357"/>
      <c r="M96" s="371"/>
      <c r="N96" s="372"/>
      <c r="O96" s="370"/>
      <c r="P96" s="373"/>
      <c r="Q96" s="370"/>
      <c r="R96" s="353"/>
      <c r="S96" s="948"/>
      <c r="T96" s="949"/>
      <c r="U96" s="948"/>
      <c r="V96" s="952"/>
      <c r="W96" s="370"/>
      <c r="X96" s="353"/>
      <c r="Y96" s="370"/>
      <c r="Z96" s="353"/>
      <c r="AA96" s="370">
        <f>920*48</f>
        <v>44160</v>
      </c>
      <c r="AB96" s="355" t="s">
        <v>2165</v>
      </c>
      <c r="AC96" s="358">
        <f t="shared" si="4"/>
        <v>44160</v>
      </c>
      <c r="AD96" s="768" t="s">
        <v>2396</v>
      </c>
      <c r="AE96" s="457" t="s">
        <v>2395</v>
      </c>
      <c r="AF96" s="458" t="s">
        <v>2394</v>
      </c>
      <c r="AG96" s="359" t="s">
        <v>2706</v>
      </c>
      <c r="AH96" s="378">
        <v>41978</v>
      </c>
      <c r="AI96" s="379">
        <v>1158656</v>
      </c>
      <c r="AJ96" s="380"/>
      <c r="AK96" s="381"/>
      <c r="AL96" s="382"/>
      <c r="AM96" s="381"/>
      <c r="AN96" s="383"/>
      <c r="AO96" s="381"/>
      <c r="AP96" s="383"/>
      <c r="AQ96" s="381"/>
      <c r="AR96" s="982"/>
      <c r="AS96" s="984"/>
      <c r="AT96" s="982"/>
      <c r="AU96" s="984"/>
      <c r="AV96" s="383"/>
      <c r="AW96" s="381"/>
      <c r="AX96" s="383"/>
      <c r="AY96" s="381"/>
      <c r="AZ96" s="365">
        <f>920*48</f>
        <v>44160</v>
      </c>
      <c r="BA96" s="366" t="s">
        <v>2165</v>
      </c>
      <c r="BB96" s="367">
        <f t="shared" si="5"/>
        <v>44160</v>
      </c>
      <c r="BC96" s="4017"/>
    </row>
    <row r="97" spans="1:76" s="149" customFormat="1" ht="78.75">
      <c r="A97" s="350" t="s">
        <v>2392</v>
      </c>
      <c r="B97" s="368" t="s">
        <v>183</v>
      </c>
      <c r="C97" s="215" t="s">
        <v>2341</v>
      </c>
      <c r="D97" s="350" t="s">
        <v>690</v>
      </c>
      <c r="E97" s="354" t="s">
        <v>410</v>
      </c>
      <c r="F97" s="353" t="s">
        <v>1098</v>
      </c>
      <c r="G97" s="354" t="s">
        <v>880</v>
      </c>
      <c r="H97" s="353" t="s">
        <v>662</v>
      </c>
      <c r="I97" s="354" t="s">
        <v>2340</v>
      </c>
      <c r="J97" s="355" t="s">
        <v>590</v>
      </c>
      <c r="K97" s="370">
        <v>8022</v>
      </c>
      <c r="L97" s="357">
        <v>39234</v>
      </c>
      <c r="M97" s="371">
        <v>33159</v>
      </c>
      <c r="N97" s="372">
        <v>39234</v>
      </c>
      <c r="O97" s="370"/>
      <c r="P97" s="373"/>
      <c r="Q97" s="370"/>
      <c r="R97" s="353" t="s">
        <v>344</v>
      </c>
      <c r="S97" s="948">
        <v>44403</v>
      </c>
      <c r="T97" s="949">
        <v>39234</v>
      </c>
      <c r="U97" s="948">
        <v>38593</v>
      </c>
      <c r="V97" s="950">
        <v>39234</v>
      </c>
      <c r="W97" s="370"/>
      <c r="X97" s="353"/>
      <c r="Y97" s="370"/>
      <c r="Z97" s="353"/>
      <c r="AA97" s="370"/>
      <c r="AB97" s="355"/>
      <c r="AC97" s="358">
        <f t="shared" si="4"/>
        <v>124177</v>
      </c>
      <c r="AD97" s="1123" t="s">
        <v>525</v>
      </c>
      <c r="AE97" s="428" t="s">
        <v>747</v>
      </c>
      <c r="AF97" s="892" t="s">
        <v>582</v>
      </c>
      <c r="AG97" s="359" t="s">
        <v>2460</v>
      </c>
      <c r="AH97" s="360">
        <v>41988</v>
      </c>
      <c r="AI97" s="361">
        <v>1158884</v>
      </c>
      <c r="AJ97" s="362">
        <v>9854</v>
      </c>
      <c r="AK97" s="394">
        <v>41883</v>
      </c>
      <c r="AL97" s="364">
        <v>40732</v>
      </c>
      <c r="AM97" s="394">
        <v>41883</v>
      </c>
      <c r="AN97" s="365"/>
      <c r="AO97" s="363"/>
      <c r="AP97" s="365"/>
      <c r="AQ97" s="363"/>
      <c r="AR97" s="935"/>
      <c r="AS97" s="936"/>
      <c r="AT97" s="935"/>
      <c r="AU97" s="936"/>
      <c r="AV97" s="365"/>
      <c r="AW97" s="363"/>
      <c r="AX97" s="365"/>
      <c r="AY97" s="363"/>
      <c r="AZ97" s="365"/>
      <c r="BA97" s="366"/>
      <c r="BB97" s="367">
        <f t="shared" si="5"/>
        <v>50586</v>
      </c>
      <c r="BC97" s="85"/>
      <c r="BD97" s="55"/>
      <c r="BE97" s="55"/>
      <c r="BF97" s="55"/>
      <c r="BG97" s="4119"/>
      <c r="BH97" s="787"/>
      <c r="BI97" s="4120"/>
      <c r="BJ97" s="55"/>
      <c r="BK97" s="55"/>
      <c r="BL97" s="55"/>
      <c r="BM97" s="55"/>
      <c r="BN97" s="55"/>
      <c r="BO97" s="55"/>
      <c r="BP97" s="55"/>
      <c r="BQ97" s="55"/>
      <c r="BR97" s="55"/>
      <c r="BS97" s="55"/>
      <c r="BT97" s="55"/>
      <c r="BU97" s="55"/>
      <c r="BV97" s="55"/>
      <c r="BW97" s="55"/>
      <c r="BX97" s="55"/>
    </row>
    <row r="98" spans="1:76" ht="57.75">
      <c r="A98" s="661" t="s">
        <v>2740</v>
      </c>
      <c r="B98" s="368" t="s">
        <v>2742</v>
      </c>
      <c r="C98" s="215" t="s">
        <v>2737</v>
      </c>
      <c r="D98" s="350" t="s">
        <v>788</v>
      </c>
      <c r="E98" s="354" t="s">
        <v>2739</v>
      </c>
      <c r="F98" s="353" t="s">
        <v>685</v>
      </c>
      <c r="G98" s="354" t="s">
        <v>726</v>
      </c>
      <c r="H98" s="353" t="s">
        <v>677</v>
      </c>
      <c r="I98" s="354" t="s">
        <v>394</v>
      </c>
      <c r="J98" s="355" t="s">
        <v>493</v>
      </c>
      <c r="K98" s="370"/>
      <c r="L98" s="357"/>
      <c r="M98" s="371"/>
      <c r="N98" s="372"/>
      <c r="O98" s="370"/>
      <c r="P98" s="373"/>
      <c r="Q98" s="370"/>
      <c r="R98" s="353"/>
      <c r="S98" s="948">
        <v>3153</v>
      </c>
      <c r="T98" s="949">
        <v>39692</v>
      </c>
      <c r="U98" s="948">
        <v>2551</v>
      </c>
      <c r="V98" s="963">
        <v>39692</v>
      </c>
      <c r="W98" s="370">
        <v>2605</v>
      </c>
      <c r="X98" s="357" t="s">
        <v>8147</v>
      </c>
      <c r="Y98" s="370">
        <v>1277</v>
      </c>
      <c r="Z98" s="357" t="s">
        <v>2738</v>
      </c>
      <c r="AA98" s="370"/>
      <c r="AB98" s="355"/>
      <c r="AC98" s="358">
        <f t="shared" si="4"/>
        <v>9586</v>
      </c>
      <c r="AD98" s="768" t="s">
        <v>465</v>
      </c>
      <c r="AE98" s="457">
        <v>39833</v>
      </c>
      <c r="AF98" s="458">
        <v>41293</v>
      </c>
      <c r="AG98" s="359" t="s">
        <v>2734</v>
      </c>
      <c r="AH98" s="378">
        <v>41991</v>
      </c>
      <c r="AI98" s="379">
        <v>1159008</v>
      </c>
      <c r="AJ98" s="380"/>
      <c r="AK98" s="381"/>
      <c r="AL98" s="382"/>
      <c r="AM98" s="381"/>
      <c r="AN98" s="383"/>
      <c r="AO98" s="381"/>
      <c r="AP98" s="383"/>
      <c r="AQ98" s="381"/>
      <c r="AR98" s="982">
        <v>3634</v>
      </c>
      <c r="AS98" s="981" t="s">
        <v>2736</v>
      </c>
      <c r="AT98" s="982">
        <v>2940</v>
      </c>
      <c r="AU98" s="981" t="s">
        <v>2736</v>
      </c>
      <c r="AV98" s="383">
        <v>2605</v>
      </c>
      <c r="AW98" s="394" t="s">
        <v>2735</v>
      </c>
      <c r="AX98" s="365">
        <v>1277</v>
      </c>
      <c r="AY98" s="394" t="s">
        <v>2735</v>
      </c>
      <c r="AZ98" s="383"/>
      <c r="BA98" s="384"/>
      <c r="BB98" s="367">
        <f t="shared" si="5"/>
        <v>10456</v>
      </c>
    </row>
    <row r="99" spans="1:76" ht="168.75">
      <c r="A99" s="350" t="s">
        <v>2757</v>
      </c>
      <c r="B99" s="368" t="s">
        <v>641</v>
      </c>
      <c r="C99" s="215" t="s">
        <v>2758</v>
      </c>
      <c r="D99" s="350" t="s">
        <v>1330</v>
      </c>
      <c r="E99" s="354" t="s">
        <v>277</v>
      </c>
      <c r="F99" s="353" t="s">
        <v>1078</v>
      </c>
      <c r="G99" s="354" t="s">
        <v>1079</v>
      </c>
      <c r="H99" s="353" t="s">
        <v>339</v>
      </c>
      <c r="I99" s="354" t="s">
        <v>1168</v>
      </c>
      <c r="J99" s="355" t="s">
        <v>536</v>
      </c>
      <c r="K99" s="370"/>
      <c r="L99" s="357"/>
      <c r="M99" s="419">
        <v>633</v>
      </c>
      <c r="N99" s="372" t="s">
        <v>2756</v>
      </c>
      <c r="O99" s="370"/>
      <c r="P99" s="373"/>
      <c r="Q99" s="370"/>
      <c r="R99" s="353"/>
      <c r="S99" s="948"/>
      <c r="T99" s="951"/>
      <c r="U99" s="948"/>
      <c r="V99" s="952"/>
      <c r="W99" s="370"/>
      <c r="X99" s="353"/>
      <c r="Y99" s="370"/>
      <c r="Z99" s="353"/>
      <c r="AA99" s="370"/>
      <c r="AB99" s="355"/>
      <c r="AC99" s="358">
        <f t="shared" si="4"/>
        <v>633</v>
      </c>
      <c r="AD99" s="660" t="s">
        <v>269</v>
      </c>
      <c r="AE99" s="457">
        <v>40312</v>
      </c>
      <c r="AF99" s="458">
        <v>41043</v>
      </c>
      <c r="AG99" s="759" t="s">
        <v>2752</v>
      </c>
      <c r="AH99" s="360" t="s">
        <v>2754</v>
      </c>
      <c r="AI99" s="361" t="s">
        <v>2755</v>
      </c>
      <c r="AJ99" s="380"/>
      <c r="AK99" s="381"/>
      <c r="AL99" s="1119">
        <v>633</v>
      </c>
      <c r="AM99" s="1071" t="s">
        <v>2753</v>
      </c>
      <c r="AN99" s="383"/>
      <c r="AO99" s="381"/>
      <c r="AP99" s="383"/>
      <c r="AQ99" s="381"/>
      <c r="AR99" s="982"/>
      <c r="AS99" s="984"/>
      <c r="AT99" s="982"/>
      <c r="AU99" s="984"/>
      <c r="AV99" s="383"/>
      <c r="AW99" s="381"/>
      <c r="AX99" s="383"/>
      <c r="AY99" s="381"/>
      <c r="AZ99" s="383"/>
      <c r="BA99" s="384"/>
      <c r="BB99" s="367">
        <f t="shared" si="5"/>
        <v>633</v>
      </c>
    </row>
    <row r="100" spans="1:76" ht="56.25">
      <c r="A100" s="1120" t="s">
        <v>2784</v>
      </c>
      <c r="B100" s="368" t="s">
        <v>679</v>
      </c>
      <c r="C100" s="215" t="s">
        <v>681</v>
      </c>
      <c r="D100" s="350" t="s">
        <v>788</v>
      </c>
      <c r="E100" s="354" t="s">
        <v>680</v>
      </c>
      <c r="F100" s="353" t="s">
        <v>818</v>
      </c>
      <c r="G100" s="354" t="s">
        <v>804</v>
      </c>
      <c r="H100" s="353" t="s">
        <v>1393</v>
      </c>
      <c r="I100" s="354" t="s">
        <v>740</v>
      </c>
      <c r="J100" s="355" t="s">
        <v>327</v>
      </c>
      <c r="K100" s="370">
        <v>199</v>
      </c>
      <c r="L100" s="357">
        <v>39692</v>
      </c>
      <c r="M100" s="758">
        <v>17359</v>
      </c>
      <c r="N100" s="372" t="s">
        <v>2264</v>
      </c>
      <c r="O100" s="370"/>
      <c r="P100" s="373"/>
      <c r="Q100" s="370">
        <v>197</v>
      </c>
      <c r="R100" s="357">
        <v>39692</v>
      </c>
      <c r="S100" s="948"/>
      <c r="T100" s="949" t="s">
        <v>2774</v>
      </c>
      <c r="U100" s="948"/>
      <c r="V100" s="949" t="s">
        <v>2775</v>
      </c>
      <c r="W100" s="370"/>
      <c r="X100" s="353"/>
      <c r="Y100" s="370"/>
      <c r="Z100" s="353"/>
      <c r="AA100" s="370"/>
      <c r="AB100" s="355"/>
      <c r="AC100" s="358">
        <f t="shared" si="4"/>
        <v>17755</v>
      </c>
      <c r="AD100" s="768" t="s">
        <v>937</v>
      </c>
      <c r="AE100" s="457">
        <v>39832</v>
      </c>
      <c r="AF100" s="458">
        <v>41293</v>
      </c>
      <c r="AG100" s="377" t="s">
        <v>2773</v>
      </c>
      <c r="AH100" s="378">
        <v>41996</v>
      </c>
      <c r="AI100" s="379">
        <v>1159138</v>
      </c>
      <c r="AJ100" s="380">
        <v>229</v>
      </c>
      <c r="AK100" s="893">
        <v>41883</v>
      </c>
      <c r="AL100" s="382">
        <v>19544</v>
      </c>
      <c r="AM100" s="363" t="s">
        <v>2776</v>
      </c>
      <c r="AN100" s="383"/>
      <c r="AO100" s="381"/>
      <c r="AP100" s="383">
        <v>227</v>
      </c>
      <c r="AQ100" s="893">
        <v>41883</v>
      </c>
      <c r="AR100" s="982">
        <v>0</v>
      </c>
      <c r="AS100" s="984"/>
      <c r="AT100" s="982">
        <v>0</v>
      </c>
      <c r="AU100" s="984"/>
      <c r="AV100" s="383"/>
      <c r="AW100" s="381"/>
      <c r="AX100" s="383"/>
      <c r="AY100" s="381"/>
      <c r="AZ100" s="383"/>
      <c r="BA100" s="384"/>
      <c r="BB100" s="367">
        <f t="shared" si="5"/>
        <v>20000</v>
      </c>
      <c r="BC100" s="3016"/>
      <c r="BD100" s="697"/>
      <c r="BE100" s="217"/>
      <c r="BF100" s="217"/>
    </row>
    <row r="101" spans="1:76" ht="102" thickBot="1">
      <c r="A101" s="1145" t="s">
        <v>2783</v>
      </c>
      <c r="B101" s="527" t="s">
        <v>679</v>
      </c>
      <c r="C101" s="528" t="s">
        <v>681</v>
      </c>
      <c r="D101" s="529" t="s">
        <v>788</v>
      </c>
      <c r="E101" s="530" t="s">
        <v>680</v>
      </c>
      <c r="F101" s="531" t="s">
        <v>818</v>
      </c>
      <c r="G101" s="530" t="s">
        <v>804</v>
      </c>
      <c r="H101" s="531" t="s">
        <v>1393</v>
      </c>
      <c r="I101" s="530" t="s">
        <v>740</v>
      </c>
      <c r="J101" s="532" t="s">
        <v>327</v>
      </c>
      <c r="K101" s="533"/>
      <c r="L101" s="534" t="s">
        <v>2778</v>
      </c>
      <c r="M101" s="726">
        <v>2454</v>
      </c>
      <c r="N101" s="777" t="s">
        <v>2787</v>
      </c>
      <c r="O101" s="533"/>
      <c r="P101" s="817"/>
      <c r="Q101" s="533"/>
      <c r="R101" s="534" t="s">
        <v>2777</v>
      </c>
      <c r="S101" s="957">
        <v>4421</v>
      </c>
      <c r="T101" s="958">
        <v>39692</v>
      </c>
      <c r="U101" s="957">
        <v>2326</v>
      </c>
      <c r="V101" s="959">
        <v>39692</v>
      </c>
      <c r="W101" s="533"/>
      <c r="X101" s="531"/>
      <c r="Y101" s="533"/>
      <c r="Z101" s="531"/>
      <c r="AA101" s="533"/>
      <c r="AB101" s="532"/>
      <c r="AC101" s="729">
        <f t="shared" si="4"/>
        <v>9201</v>
      </c>
      <c r="AD101" s="818" t="s">
        <v>937</v>
      </c>
      <c r="AE101" s="819">
        <v>39832</v>
      </c>
      <c r="AF101" s="732">
        <v>41293</v>
      </c>
      <c r="AG101" s="778" t="s">
        <v>2785</v>
      </c>
      <c r="AH101" s="663" t="s">
        <v>2781</v>
      </c>
      <c r="AI101" s="664" t="s">
        <v>2782</v>
      </c>
      <c r="AJ101" s="540"/>
      <c r="AK101" s="665" t="s">
        <v>2780</v>
      </c>
      <c r="AL101" s="542">
        <v>2454</v>
      </c>
      <c r="AM101" s="665" t="s">
        <v>2786</v>
      </c>
      <c r="AN101" s="543"/>
      <c r="AO101" s="541"/>
      <c r="AP101" s="543"/>
      <c r="AQ101" s="665" t="s">
        <v>2779</v>
      </c>
      <c r="AR101" s="987">
        <v>5096</v>
      </c>
      <c r="AS101" s="988">
        <v>39692</v>
      </c>
      <c r="AT101" s="987">
        <v>2681</v>
      </c>
      <c r="AU101" s="988">
        <v>39692</v>
      </c>
      <c r="AV101" s="543"/>
      <c r="AW101" s="541"/>
      <c r="AX101" s="543"/>
      <c r="AY101" s="541"/>
      <c r="AZ101" s="543"/>
      <c r="BA101" s="544"/>
      <c r="BB101" s="545">
        <f t="shared" si="5"/>
        <v>10231</v>
      </c>
      <c r="BC101" s="755" t="s">
        <v>2698</v>
      </c>
      <c r="BD101" s="756">
        <f>SUM(BB95:BB101)</f>
        <v>139842</v>
      </c>
      <c r="BE101" s="757">
        <f>BD101-BF101</f>
        <v>125491</v>
      </c>
      <c r="BF101" s="757">
        <f>SUM(AR95:AR101)+SUM(AT95:AT101)</f>
        <v>14351</v>
      </c>
      <c r="BG101" s="4131"/>
      <c r="BH101" s="4127"/>
      <c r="BI101" s="4121"/>
      <c r="BJ101" s="148"/>
      <c r="BK101" s="1121"/>
      <c r="BL101" s="148"/>
      <c r="BM101" s="1121"/>
      <c r="BN101" s="148"/>
      <c r="BO101" s="1121"/>
      <c r="BP101" s="148"/>
      <c r="BQ101" s="1121"/>
      <c r="BR101" s="148"/>
      <c r="BS101" s="1121"/>
      <c r="BT101" s="148"/>
      <c r="BU101" s="1121"/>
      <c r="BV101" s="148"/>
      <c r="BW101" s="1122"/>
    </row>
    <row r="102" spans="1:76" ht="56.25">
      <c r="A102" s="1151" t="s">
        <v>2794</v>
      </c>
      <c r="B102" s="1171" t="s">
        <v>359</v>
      </c>
      <c r="C102" s="1150" t="s">
        <v>615</v>
      </c>
      <c r="D102" s="1151" t="s">
        <v>788</v>
      </c>
      <c r="E102" s="1152" t="s">
        <v>459</v>
      </c>
      <c r="F102" s="1153" t="s">
        <v>528</v>
      </c>
      <c r="G102" s="1152" t="s">
        <v>1167</v>
      </c>
      <c r="H102" s="1153" t="s">
        <v>528</v>
      </c>
      <c r="I102" s="1152" t="s">
        <v>293</v>
      </c>
      <c r="J102" s="1154" t="s">
        <v>802</v>
      </c>
      <c r="K102" s="1155"/>
      <c r="L102" s="1156" t="s">
        <v>2219</v>
      </c>
      <c r="M102" s="1157">
        <v>14287</v>
      </c>
      <c r="N102" s="1158">
        <v>39692</v>
      </c>
      <c r="O102" s="1155"/>
      <c r="P102" s="1159"/>
      <c r="Q102" s="1155"/>
      <c r="R102" s="1156" t="s">
        <v>2220</v>
      </c>
      <c r="S102" s="1103"/>
      <c r="T102" s="1111" t="s">
        <v>2221</v>
      </c>
      <c r="U102" s="1103"/>
      <c r="V102" s="1111" t="s">
        <v>2222</v>
      </c>
      <c r="W102" s="1155"/>
      <c r="X102" s="1153"/>
      <c r="Y102" s="1155"/>
      <c r="Z102" s="1153"/>
      <c r="AA102" s="1155"/>
      <c r="AB102" s="1154"/>
      <c r="AC102" s="1160">
        <f t="shared" si="4"/>
        <v>14287</v>
      </c>
      <c r="AD102" s="1161" t="s">
        <v>937</v>
      </c>
      <c r="AE102" s="1162">
        <v>39755</v>
      </c>
      <c r="AF102" s="1163" t="s">
        <v>1360</v>
      </c>
      <c r="AG102" s="1164" t="s">
        <v>2795</v>
      </c>
      <c r="AH102" s="1165" t="s">
        <v>2796</v>
      </c>
      <c r="AI102" s="1166" t="s">
        <v>2797</v>
      </c>
      <c r="AJ102" s="1167"/>
      <c r="AK102" s="1168" t="s">
        <v>2223</v>
      </c>
      <c r="AL102" s="1169">
        <v>16467</v>
      </c>
      <c r="AM102" s="1170">
        <v>41883</v>
      </c>
      <c r="AN102" s="1146"/>
      <c r="AO102" s="1147"/>
      <c r="AP102" s="1167"/>
      <c r="AQ102" s="1168" t="s">
        <v>2220</v>
      </c>
      <c r="AR102" s="1116"/>
      <c r="AS102" s="1118" t="s">
        <v>2224</v>
      </c>
      <c r="AT102" s="1116"/>
      <c r="AU102" s="1118" t="s">
        <v>2222</v>
      </c>
      <c r="AV102" s="1146"/>
      <c r="AW102" s="1147"/>
      <c r="AX102" s="1146"/>
      <c r="AY102" s="1147"/>
      <c r="AZ102" s="1146"/>
      <c r="BA102" s="1148"/>
      <c r="BB102" s="1149">
        <f t="shared" si="5"/>
        <v>16467</v>
      </c>
      <c r="BG102" s="4131"/>
      <c r="BH102" s="4127"/>
      <c r="BI102" s="4121"/>
      <c r="BJ102" s="148"/>
      <c r="BK102" s="1121"/>
      <c r="BL102" s="148"/>
      <c r="BM102" s="1121"/>
      <c r="BN102" s="148"/>
      <c r="BO102" s="1121"/>
      <c r="BP102" s="148"/>
      <c r="BQ102" s="1121"/>
      <c r="BR102" s="148"/>
      <c r="BS102" s="1121"/>
      <c r="BT102" s="148"/>
      <c r="BU102" s="1121"/>
      <c r="BV102" s="148"/>
      <c r="BW102" s="1122"/>
    </row>
    <row r="103" spans="1:76" ht="180.75" thickBot="1">
      <c r="A103" s="202" t="s">
        <v>2816</v>
      </c>
      <c r="B103" s="200" t="s">
        <v>994</v>
      </c>
      <c r="C103" s="201" t="s">
        <v>2286</v>
      </c>
      <c r="D103" s="202" t="s">
        <v>788</v>
      </c>
      <c r="E103" s="204" t="s">
        <v>140</v>
      </c>
      <c r="F103" s="203" t="s">
        <v>115</v>
      </c>
      <c r="G103" s="204" t="s">
        <v>914</v>
      </c>
      <c r="H103" s="203" t="s">
        <v>1127</v>
      </c>
      <c r="I103" s="204" t="s">
        <v>63</v>
      </c>
      <c r="J103" s="205" t="s">
        <v>1245</v>
      </c>
      <c r="K103" s="206">
        <v>804</v>
      </c>
      <c r="L103" s="207" t="s">
        <v>2821</v>
      </c>
      <c r="M103" s="208">
        <v>2283</v>
      </c>
      <c r="N103" s="207" t="s">
        <v>2820</v>
      </c>
      <c r="O103" s="206"/>
      <c r="P103" s="209"/>
      <c r="Q103" s="206">
        <v>3576</v>
      </c>
      <c r="R103" s="207" t="s">
        <v>2819</v>
      </c>
      <c r="S103" s="1173">
        <f>6576+270</f>
        <v>6846</v>
      </c>
      <c r="T103" s="1174" t="s">
        <v>2818</v>
      </c>
      <c r="U103" s="1173">
        <v>4123</v>
      </c>
      <c r="V103" s="1174" t="s">
        <v>2817</v>
      </c>
      <c r="W103" s="206"/>
      <c r="X103" s="203"/>
      <c r="Y103" s="206"/>
      <c r="Z103" s="203"/>
      <c r="AA103" s="206"/>
      <c r="AB103" s="205"/>
      <c r="AC103" s="210">
        <f t="shared" si="4"/>
        <v>17632</v>
      </c>
      <c r="AD103" s="1175" t="s">
        <v>1282</v>
      </c>
      <c r="AE103" s="1176">
        <v>40164</v>
      </c>
      <c r="AF103" s="211">
        <v>41503</v>
      </c>
      <c r="AG103" s="1177" t="s">
        <v>2822</v>
      </c>
      <c r="AH103" s="1178" t="s">
        <v>2823</v>
      </c>
      <c r="AI103" s="1179" t="s">
        <v>2824</v>
      </c>
      <c r="AJ103" s="1180">
        <v>804</v>
      </c>
      <c r="AK103" s="1181" t="s">
        <v>2790</v>
      </c>
      <c r="AL103" s="742">
        <v>2283</v>
      </c>
      <c r="AM103" s="1181" t="s">
        <v>2791</v>
      </c>
      <c r="AN103" s="1182"/>
      <c r="AO103" s="1183"/>
      <c r="AP103" s="1182">
        <v>3576</v>
      </c>
      <c r="AQ103" s="1181" t="s">
        <v>2792</v>
      </c>
      <c r="AR103" s="1184">
        <f>6576+270</f>
        <v>6846</v>
      </c>
      <c r="AS103" s="1185" t="s">
        <v>2798</v>
      </c>
      <c r="AT103" s="1184">
        <v>4123</v>
      </c>
      <c r="AU103" s="1185" t="s">
        <v>2793</v>
      </c>
      <c r="AV103" s="1182"/>
      <c r="AW103" s="1183"/>
      <c r="AX103" s="1182"/>
      <c r="AY103" s="1183"/>
      <c r="AZ103" s="1182"/>
      <c r="BA103" s="1186"/>
      <c r="BB103" s="1187">
        <f t="shared" si="5"/>
        <v>17632</v>
      </c>
      <c r="BC103" s="3017" t="s">
        <v>2825</v>
      </c>
      <c r="BD103" s="3018">
        <f>SUM(BB102:BB103)</f>
        <v>34099</v>
      </c>
      <c r="BE103" s="2838">
        <f>BD103-BF103</f>
        <v>23130</v>
      </c>
      <c r="BF103" s="2838">
        <f>SUM(AR102:AR103)+SUM(AT102:AT103)</f>
        <v>10969</v>
      </c>
    </row>
    <row r="104" spans="1:76" s="47" customFormat="1" ht="56.25">
      <c r="A104" s="149" t="s">
        <v>2195</v>
      </c>
      <c r="B104" s="699" t="s">
        <v>385</v>
      </c>
      <c r="C104" s="700" t="s">
        <v>216</v>
      </c>
      <c r="D104" s="698" t="s">
        <v>1330</v>
      </c>
      <c r="E104" s="701" t="s">
        <v>1248</v>
      </c>
      <c r="F104" s="702" t="s">
        <v>82</v>
      </c>
      <c r="G104" s="701" t="s">
        <v>1082</v>
      </c>
      <c r="H104" s="702" t="s">
        <v>1163</v>
      </c>
      <c r="I104" s="701" t="s">
        <v>1257</v>
      </c>
      <c r="J104" s="703" t="s">
        <v>581</v>
      </c>
      <c r="K104" s="704"/>
      <c r="L104" s="705"/>
      <c r="M104" s="1024">
        <v>2713</v>
      </c>
      <c r="N104" s="707" t="s">
        <v>2260</v>
      </c>
      <c r="O104" s="704"/>
      <c r="P104" s="708"/>
      <c r="Q104" s="704"/>
      <c r="R104" s="702"/>
      <c r="S104" s="960"/>
      <c r="T104" s="970"/>
      <c r="U104" s="960"/>
      <c r="V104" s="971"/>
      <c r="W104" s="704"/>
      <c r="X104" s="702"/>
      <c r="Y104" s="704"/>
      <c r="Z104" s="702"/>
      <c r="AA104" s="704"/>
      <c r="AB104" s="703"/>
      <c r="AC104" s="536">
        <f t="shared" si="4"/>
        <v>2713</v>
      </c>
      <c r="AD104" s="709" t="s">
        <v>269</v>
      </c>
      <c r="AE104" s="710">
        <v>39156</v>
      </c>
      <c r="AF104" s="711">
        <v>39887</v>
      </c>
      <c r="AG104" s="712"/>
      <c r="AH104" s="713">
        <v>42040</v>
      </c>
      <c r="AI104" s="714">
        <v>1161067</v>
      </c>
      <c r="AJ104" s="715"/>
      <c r="AK104" s="716"/>
      <c r="AL104" s="717">
        <v>5512</v>
      </c>
      <c r="AM104" s="1188">
        <v>42339</v>
      </c>
      <c r="AN104" s="719"/>
      <c r="AO104" s="716"/>
      <c r="AP104" s="719"/>
      <c r="AQ104" s="716"/>
      <c r="AR104" s="990"/>
      <c r="AS104" s="991"/>
      <c r="AT104" s="990"/>
      <c r="AU104" s="991"/>
      <c r="AV104" s="719"/>
      <c r="AW104" s="716"/>
      <c r="AX104" s="719"/>
      <c r="AY104" s="716"/>
      <c r="AZ104" s="719"/>
      <c r="BA104" s="720"/>
      <c r="BB104" s="721">
        <f t="shared" ref="BB104:BB135" si="6">AJ104+AL104+AN104+AP104+AR104+AT104+AV104+AX104+AZ104</f>
        <v>5512</v>
      </c>
      <c r="BC104" s="4020"/>
      <c r="BG104" s="4131"/>
      <c r="BH104" s="4127"/>
      <c r="BI104" s="4121"/>
      <c r="BJ104" s="148"/>
      <c r="BK104" s="1121"/>
      <c r="BL104" s="148"/>
      <c r="BM104" s="1121"/>
      <c r="BN104" s="148"/>
      <c r="BO104" s="1121"/>
      <c r="BP104" s="148"/>
      <c r="BQ104" s="1121"/>
      <c r="BR104" s="148"/>
      <c r="BS104" s="1121"/>
      <c r="BT104" s="148"/>
      <c r="BU104" s="1121"/>
      <c r="BV104" s="148"/>
      <c r="BW104" s="1122"/>
    </row>
    <row r="105" spans="1:76" ht="123.75">
      <c r="A105" s="418" t="s">
        <v>2853</v>
      </c>
      <c r="B105" s="368" t="s">
        <v>861</v>
      </c>
      <c r="C105" s="446" t="s">
        <v>616</v>
      </c>
      <c r="D105" s="447" t="s">
        <v>788</v>
      </c>
      <c r="E105" s="354" t="s">
        <v>735</v>
      </c>
      <c r="F105" s="353" t="s">
        <v>2854</v>
      </c>
      <c r="G105" s="354" t="s">
        <v>467</v>
      </c>
      <c r="H105" s="353" t="s">
        <v>466</v>
      </c>
      <c r="I105" s="354" t="s">
        <v>143</v>
      </c>
      <c r="J105" s="355" t="s">
        <v>1051</v>
      </c>
      <c r="K105" s="430">
        <v>243</v>
      </c>
      <c r="L105" s="431">
        <v>39600</v>
      </c>
      <c r="M105" s="789">
        <v>2354</v>
      </c>
      <c r="N105" s="372" t="s">
        <v>2855</v>
      </c>
      <c r="O105" s="430"/>
      <c r="P105" s="435"/>
      <c r="Q105" s="430">
        <v>193</v>
      </c>
      <c r="R105" s="431">
        <v>39600</v>
      </c>
      <c r="S105" s="964"/>
      <c r="T105" s="1109"/>
      <c r="U105" s="964"/>
      <c r="V105" s="967"/>
      <c r="W105" s="430"/>
      <c r="X105" s="434"/>
      <c r="Y105" s="430"/>
      <c r="Z105" s="434"/>
      <c r="AA105" s="430"/>
      <c r="AB105" s="436"/>
      <c r="AC105" s="358">
        <f t="shared" si="4"/>
        <v>2790</v>
      </c>
      <c r="AD105" s="768" t="s">
        <v>937</v>
      </c>
      <c r="AE105" s="1205">
        <v>39765</v>
      </c>
      <c r="AF105" s="1206">
        <v>41226</v>
      </c>
      <c r="AG105" s="377" t="s">
        <v>2479</v>
      </c>
      <c r="AH105" s="378">
        <v>42041</v>
      </c>
      <c r="AI105" s="379">
        <v>1161155</v>
      </c>
      <c r="AJ105" s="380">
        <v>280</v>
      </c>
      <c r="AK105" s="893">
        <v>41883</v>
      </c>
      <c r="AL105" s="382">
        <v>3081</v>
      </c>
      <c r="AM105" s="381" t="s">
        <v>2856</v>
      </c>
      <c r="AN105" s="383"/>
      <c r="AO105" s="381"/>
      <c r="AP105" s="383">
        <v>222</v>
      </c>
      <c r="AQ105" s="893">
        <v>41883</v>
      </c>
      <c r="AR105" s="982"/>
      <c r="AS105" s="984"/>
      <c r="AT105" s="982"/>
      <c r="AU105" s="984"/>
      <c r="AV105" s="383"/>
      <c r="AW105" s="381"/>
      <c r="AX105" s="383"/>
      <c r="AY105" s="381"/>
      <c r="AZ105" s="383"/>
      <c r="BA105" s="384"/>
      <c r="BB105" s="367">
        <f t="shared" si="6"/>
        <v>3583</v>
      </c>
      <c r="BC105" s="3016"/>
      <c r="BD105" s="697"/>
      <c r="BE105" s="217"/>
      <c r="BF105" s="217"/>
    </row>
    <row r="106" spans="1:76" ht="56.25">
      <c r="A106" s="661" t="s">
        <v>2846</v>
      </c>
      <c r="B106" s="368" t="s">
        <v>175</v>
      </c>
      <c r="C106" s="215" t="s">
        <v>485</v>
      </c>
      <c r="D106" s="350" t="s">
        <v>9</v>
      </c>
      <c r="E106" s="354" t="s">
        <v>692</v>
      </c>
      <c r="F106" s="353" t="s">
        <v>78</v>
      </c>
      <c r="G106" s="354" t="s">
        <v>693</v>
      </c>
      <c r="H106" s="353" t="s">
        <v>372</v>
      </c>
      <c r="I106" s="354" t="s">
        <v>817</v>
      </c>
      <c r="J106" s="355" t="s">
        <v>186</v>
      </c>
      <c r="K106" s="370">
        <v>691</v>
      </c>
      <c r="L106" s="357">
        <v>39508</v>
      </c>
      <c r="M106" s="371"/>
      <c r="N106" s="372"/>
      <c r="O106" s="370"/>
      <c r="P106" s="373"/>
      <c r="Q106" s="370">
        <v>1368</v>
      </c>
      <c r="R106" s="357">
        <v>39508</v>
      </c>
      <c r="S106" s="948"/>
      <c r="T106" s="951"/>
      <c r="U106" s="948"/>
      <c r="V106" s="952"/>
      <c r="W106" s="370"/>
      <c r="X106" s="353"/>
      <c r="Y106" s="370">
        <v>1350</v>
      </c>
      <c r="Z106" s="357">
        <v>39508</v>
      </c>
      <c r="AA106" s="370"/>
      <c r="AB106" s="355"/>
      <c r="AC106" s="358">
        <f t="shared" si="4"/>
        <v>3409</v>
      </c>
      <c r="AD106" s="768" t="s">
        <v>465</v>
      </c>
      <c r="AE106" s="457" t="s">
        <v>1404</v>
      </c>
      <c r="AF106" s="458" t="s">
        <v>1403</v>
      </c>
      <c r="AG106" s="377" t="s">
        <v>1061</v>
      </c>
      <c r="AH106" s="378">
        <v>42046</v>
      </c>
      <c r="AI106" s="379">
        <v>1161650</v>
      </c>
      <c r="AJ106" s="380">
        <v>823</v>
      </c>
      <c r="AK106" s="893">
        <v>41974</v>
      </c>
      <c r="AL106" s="382"/>
      <c r="AM106" s="381"/>
      <c r="AN106" s="383"/>
      <c r="AO106" s="381"/>
      <c r="AP106" s="383">
        <v>1629</v>
      </c>
      <c r="AQ106" s="893">
        <v>41974</v>
      </c>
      <c r="AR106" s="982"/>
      <c r="AS106" s="984"/>
      <c r="AT106" s="982"/>
      <c r="AU106" s="984"/>
      <c r="AV106" s="383"/>
      <c r="AW106" s="381"/>
      <c r="AX106" s="383">
        <v>1608</v>
      </c>
      <c r="AY106" s="893">
        <v>41974</v>
      </c>
      <c r="AZ106" s="383"/>
      <c r="BA106" s="384"/>
      <c r="BB106" s="367">
        <f t="shared" si="6"/>
        <v>4060</v>
      </c>
      <c r="BC106" s="4017"/>
      <c r="BG106" s="4131"/>
      <c r="BH106" s="4127"/>
      <c r="BI106" s="4121"/>
      <c r="BJ106" s="148"/>
      <c r="BK106" s="1121"/>
      <c r="BL106" s="148"/>
      <c r="BM106" s="1121"/>
      <c r="BN106" s="148"/>
      <c r="BO106" s="1121"/>
      <c r="BP106" s="148"/>
      <c r="BQ106" s="1121"/>
      <c r="BR106" s="148"/>
      <c r="BS106" s="1121"/>
      <c r="BT106" s="148"/>
      <c r="BU106" s="1121"/>
      <c r="BV106" s="148"/>
      <c r="BW106" s="1122"/>
    </row>
    <row r="107" spans="1:76" ht="90.75" thickBot="1">
      <c r="A107" s="1208" t="s">
        <v>2899</v>
      </c>
      <c r="B107" s="527" t="s">
        <v>254</v>
      </c>
      <c r="C107" s="528" t="s">
        <v>121</v>
      </c>
      <c r="D107" s="529" t="s">
        <v>788</v>
      </c>
      <c r="E107" s="530" t="s">
        <v>1268</v>
      </c>
      <c r="F107" s="531" t="s">
        <v>1191</v>
      </c>
      <c r="G107" s="530" t="s">
        <v>1126</v>
      </c>
      <c r="H107" s="531" t="s">
        <v>449</v>
      </c>
      <c r="I107" s="530" t="s">
        <v>63</v>
      </c>
      <c r="J107" s="1209" t="s">
        <v>1298</v>
      </c>
      <c r="K107" s="533"/>
      <c r="L107" s="534"/>
      <c r="M107" s="535"/>
      <c r="N107" s="1210" t="s">
        <v>1954</v>
      </c>
      <c r="O107" s="533"/>
      <c r="P107" s="817"/>
      <c r="Q107" s="533">
        <v>599</v>
      </c>
      <c r="R107" s="1211" t="s">
        <v>782</v>
      </c>
      <c r="S107" s="957"/>
      <c r="T107" s="968"/>
      <c r="U107" s="957"/>
      <c r="V107" s="969"/>
      <c r="W107" s="533"/>
      <c r="X107" s="531"/>
      <c r="Y107" s="533"/>
      <c r="Z107" s="531"/>
      <c r="AA107" s="533"/>
      <c r="AB107" s="532"/>
      <c r="AC107" s="729">
        <f t="shared" si="4"/>
        <v>599</v>
      </c>
      <c r="AD107" s="730" t="s">
        <v>252</v>
      </c>
      <c r="AE107" s="731" t="s">
        <v>253</v>
      </c>
      <c r="AF107" s="732">
        <v>41195</v>
      </c>
      <c r="AG107" s="537" t="s">
        <v>1952</v>
      </c>
      <c r="AH107" s="538">
        <v>41733</v>
      </c>
      <c r="AI107" s="539">
        <v>1146546</v>
      </c>
      <c r="AJ107" s="540"/>
      <c r="AK107" s="897"/>
      <c r="AL107" s="542"/>
      <c r="AM107" s="734" t="s">
        <v>1953</v>
      </c>
      <c r="AN107" s="543"/>
      <c r="AO107" s="541"/>
      <c r="AP107" s="540">
        <v>692</v>
      </c>
      <c r="AQ107" s="897">
        <v>41974</v>
      </c>
      <c r="AR107" s="987"/>
      <c r="AS107" s="1002"/>
      <c r="AT107" s="987"/>
      <c r="AU107" s="1002"/>
      <c r="AV107" s="543"/>
      <c r="AW107" s="541"/>
      <c r="AX107" s="543"/>
      <c r="AY107" s="541"/>
      <c r="AZ107" s="543"/>
      <c r="BA107" s="544"/>
      <c r="BB107" s="545">
        <f t="shared" si="6"/>
        <v>692</v>
      </c>
      <c r="BC107" s="755" t="s">
        <v>2847</v>
      </c>
      <c r="BD107" s="756">
        <f>SUM(BB104:BB107)</f>
        <v>13847</v>
      </c>
      <c r="BE107" s="757">
        <f>BD107-BF107</f>
        <v>13847</v>
      </c>
      <c r="BF107" s="757">
        <f>SUM(AR105:AR107)+SUM(AT105:AT107)</f>
        <v>0</v>
      </c>
    </row>
    <row r="108" spans="1:76" ht="90">
      <c r="A108" s="1409" t="s">
        <v>2978</v>
      </c>
      <c r="B108" s="1352" t="s">
        <v>3036</v>
      </c>
      <c r="C108" s="1353" t="s">
        <v>2637</v>
      </c>
      <c r="D108" s="1354" t="s">
        <v>788</v>
      </c>
      <c r="E108" s="1355" t="s">
        <v>2004</v>
      </c>
      <c r="F108" s="1326" t="s">
        <v>2003</v>
      </c>
      <c r="G108" s="1355" t="s">
        <v>553</v>
      </c>
      <c r="H108" s="1326" t="s">
        <v>554</v>
      </c>
      <c r="I108" s="1355" t="s">
        <v>361</v>
      </c>
      <c r="J108" s="1356" t="s">
        <v>388</v>
      </c>
      <c r="K108" s="1410">
        <v>740</v>
      </c>
      <c r="L108" s="1411">
        <v>40330</v>
      </c>
      <c r="M108" s="1412">
        <v>1147</v>
      </c>
      <c r="N108" s="1413">
        <v>40330</v>
      </c>
      <c r="O108" s="1414"/>
      <c r="P108" s="1415" t="s">
        <v>2975</v>
      </c>
      <c r="Q108" s="1410">
        <v>3292</v>
      </c>
      <c r="R108" s="1411">
        <v>40330</v>
      </c>
      <c r="S108" s="1103">
        <v>3351</v>
      </c>
      <c r="T108" s="1104">
        <v>40330</v>
      </c>
      <c r="U108" s="1103">
        <v>3859</v>
      </c>
      <c r="V108" s="1105">
        <v>40330</v>
      </c>
      <c r="W108" s="1410"/>
      <c r="X108" s="1326"/>
      <c r="Y108" s="1410"/>
      <c r="Z108" s="1326"/>
      <c r="AA108" s="1414"/>
      <c r="AB108" s="1439" t="s">
        <v>2976</v>
      </c>
      <c r="AC108" s="1440">
        <f>K108+M108+O108+Q108+S108+U108+W108+Y108+AA108</f>
        <v>12389</v>
      </c>
      <c r="AD108" s="1441" t="s">
        <v>2005</v>
      </c>
      <c r="AE108" s="1442" t="s">
        <v>2155</v>
      </c>
      <c r="AF108" s="1443" t="s">
        <v>2154</v>
      </c>
      <c r="AG108" s="1416" t="s">
        <v>2977</v>
      </c>
      <c r="AH108" s="1417">
        <v>42080</v>
      </c>
      <c r="AI108" s="1418">
        <v>1164127</v>
      </c>
      <c r="AJ108" s="1419">
        <v>823</v>
      </c>
      <c r="AK108" s="1420">
        <v>41974</v>
      </c>
      <c r="AL108" s="1421">
        <v>1276</v>
      </c>
      <c r="AM108" s="1420">
        <v>41974</v>
      </c>
      <c r="AN108" s="1423"/>
      <c r="AO108" s="1424"/>
      <c r="AP108" s="1423">
        <v>3663</v>
      </c>
      <c r="AQ108" s="1420">
        <v>41974</v>
      </c>
      <c r="AR108" s="1117"/>
      <c r="AS108" s="1422"/>
      <c r="AT108" s="1117"/>
      <c r="AU108" s="1422"/>
      <c r="AV108" s="1423"/>
      <c r="AW108" s="1424"/>
      <c r="AX108" s="1423"/>
      <c r="AY108" s="1424"/>
      <c r="AZ108" s="1423"/>
      <c r="BA108" s="1425"/>
      <c r="BB108" s="1452">
        <f t="shared" si="6"/>
        <v>5762</v>
      </c>
      <c r="BC108" s="4017"/>
    </row>
    <row r="109" spans="1:76" s="47" customFormat="1" ht="146.25">
      <c r="A109" s="1395" t="s">
        <v>3282</v>
      </c>
      <c r="B109" s="1396" t="s">
        <v>923</v>
      </c>
      <c r="C109" s="1397" t="s">
        <v>208</v>
      </c>
      <c r="D109" s="1398" t="s">
        <v>788</v>
      </c>
      <c r="E109" s="1399" t="s">
        <v>924</v>
      </c>
      <c r="F109" s="1172" t="s">
        <v>2930</v>
      </c>
      <c r="G109" s="1400" t="s">
        <v>983</v>
      </c>
      <c r="H109" s="1172" t="s">
        <v>1025</v>
      </c>
      <c r="I109" s="1399" t="s">
        <v>871</v>
      </c>
      <c r="J109" s="1172" t="s">
        <v>389</v>
      </c>
      <c r="K109" s="1401"/>
      <c r="L109" s="1402"/>
      <c r="M109" s="1403">
        <v>5259</v>
      </c>
      <c r="N109" s="1404">
        <v>38869</v>
      </c>
      <c r="O109" s="1403"/>
      <c r="P109" s="1405"/>
      <c r="Q109" s="1401"/>
      <c r="R109" s="1402"/>
      <c r="S109" s="1406"/>
      <c r="T109" s="1407"/>
      <c r="U109" s="1406"/>
      <c r="V109" s="1408"/>
      <c r="W109" s="1427"/>
      <c r="X109" s="1426"/>
      <c r="Y109" s="1427"/>
      <c r="Z109" s="1426"/>
      <c r="AA109" s="1428"/>
      <c r="AB109" s="1429"/>
      <c r="AC109" s="3897">
        <f t="shared" si="4"/>
        <v>5259</v>
      </c>
      <c r="AD109" s="1444" t="s">
        <v>266</v>
      </c>
      <c r="AE109" s="1445">
        <v>38946</v>
      </c>
      <c r="AF109" s="1445">
        <v>40407</v>
      </c>
      <c r="AG109" s="1438" t="s">
        <v>3276</v>
      </c>
      <c r="AH109" s="1436">
        <v>42080</v>
      </c>
      <c r="AI109" s="1437" t="s">
        <v>3277</v>
      </c>
      <c r="AJ109" s="3950"/>
      <c r="AK109" s="3951"/>
      <c r="AL109" s="3952">
        <v>3812</v>
      </c>
      <c r="AM109" s="3953" t="s">
        <v>3290</v>
      </c>
      <c r="AN109" s="3954"/>
      <c r="AO109" s="3955"/>
      <c r="AP109" s="3954"/>
      <c r="AQ109" s="3956"/>
      <c r="AR109" s="985"/>
      <c r="AS109" s="3957"/>
      <c r="AT109" s="985"/>
      <c r="AU109" s="3957"/>
      <c r="AV109" s="3954"/>
      <c r="AW109" s="3955"/>
      <c r="AX109" s="3954"/>
      <c r="AY109" s="3955"/>
      <c r="AZ109" s="3954"/>
      <c r="BA109" s="3958"/>
      <c r="BB109" s="2272">
        <f t="shared" si="6"/>
        <v>3812</v>
      </c>
      <c r="BC109" s="4020"/>
      <c r="BG109" s="4132"/>
      <c r="BH109" s="4127"/>
      <c r="BI109" s="4122"/>
    </row>
    <row r="110" spans="1:76" ht="90">
      <c r="A110" s="1362" t="s">
        <v>3284</v>
      </c>
      <c r="B110" s="1363" t="s">
        <v>342</v>
      </c>
      <c r="C110" s="1364" t="s">
        <v>614</v>
      </c>
      <c r="D110" s="1362" t="s">
        <v>1330</v>
      </c>
      <c r="E110" s="1365" t="s">
        <v>343</v>
      </c>
      <c r="F110" s="1366" t="s">
        <v>1130</v>
      </c>
      <c r="G110" s="1367" t="s">
        <v>758</v>
      </c>
      <c r="H110" s="1366" t="s">
        <v>1130</v>
      </c>
      <c r="I110" s="1365" t="s">
        <v>1257</v>
      </c>
      <c r="J110" s="1366" t="s">
        <v>536</v>
      </c>
      <c r="K110" s="1357"/>
      <c r="L110" s="1358"/>
      <c r="M110" s="1359">
        <v>2901</v>
      </c>
      <c r="N110" s="1360">
        <v>39600</v>
      </c>
      <c r="O110" s="1359"/>
      <c r="P110" s="1361"/>
      <c r="Q110" s="1357"/>
      <c r="R110" s="1358"/>
      <c r="S110" s="1346"/>
      <c r="T110" s="1347"/>
      <c r="U110" s="1346"/>
      <c r="V110" s="1348"/>
      <c r="W110" s="1427"/>
      <c r="X110" s="1426"/>
      <c r="Y110" s="1427"/>
      <c r="Z110" s="1426"/>
      <c r="AA110" s="1428"/>
      <c r="AB110" s="1429"/>
      <c r="AC110" s="2262">
        <f t="shared" si="4"/>
        <v>2901</v>
      </c>
      <c r="AD110" s="1446" t="s">
        <v>937</v>
      </c>
      <c r="AE110" s="1447">
        <v>39730</v>
      </c>
      <c r="AF110" s="1447">
        <v>40460</v>
      </c>
      <c r="AG110" s="1438" t="s">
        <v>3276</v>
      </c>
      <c r="AH110" s="1436">
        <v>42080</v>
      </c>
      <c r="AI110" s="1437" t="s">
        <v>3277</v>
      </c>
      <c r="AJ110" s="3959"/>
      <c r="AK110" s="3960"/>
      <c r="AL110" s="3952">
        <v>5379</v>
      </c>
      <c r="AM110" s="3953" t="s">
        <v>3290</v>
      </c>
      <c r="AN110" s="3961"/>
      <c r="AO110" s="3962"/>
      <c r="AP110" s="3961"/>
      <c r="AQ110" s="3963"/>
      <c r="AR110" s="3964"/>
      <c r="AS110" s="3965"/>
      <c r="AT110" s="3964"/>
      <c r="AU110" s="3965"/>
      <c r="AV110" s="3961"/>
      <c r="AW110" s="3962"/>
      <c r="AX110" s="3961"/>
      <c r="AY110" s="3962"/>
      <c r="AZ110" s="3961"/>
      <c r="BA110" s="3966"/>
      <c r="BB110" s="1480">
        <f t="shared" si="6"/>
        <v>5379</v>
      </c>
      <c r="BC110" s="4022"/>
      <c r="BD110" s="3019"/>
      <c r="BE110" s="3019"/>
      <c r="BF110" s="3019"/>
      <c r="BG110" s="4133"/>
      <c r="BH110" s="4128"/>
      <c r="BI110" s="4123"/>
      <c r="BJ110" s="3019"/>
      <c r="BK110" s="3019"/>
      <c r="BL110" s="3019"/>
      <c r="BM110" s="3019"/>
      <c r="BN110" s="3019"/>
      <c r="BO110" s="3019"/>
      <c r="BP110" s="3019"/>
      <c r="BQ110" s="3019"/>
      <c r="BR110" s="3019"/>
      <c r="BS110" s="3019"/>
      <c r="BT110" s="3019"/>
      <c r="BU110" s="3019"/>
      <c r="BV110" s="3019"/>
      <c r="BW110" s="3019"/>
      <c r="BX110" s="3019"/>
    </row>
    <row r="111" spans="1:76" ht="78.75">
      <c r="A111" s="1362" t="s">
        <v>3283</v>
      </c>
      <c r="B111" s="1363" t="s">
        <v>249</v>
      </c>
      <c r="C111" s="1364" t="s">
        <v>960</v>
      </c>
      <c r="D111" s="1362" t="s">
        <v>1330</v>
      </c>
      <c r="E111" s="1365" t="s">
        <v>414</v>
      </c>
      <c r="F111" s="1366" t="s">
        <v>1081</v>
      </c>
      <c r="G111" s="1367" t="s">
        <v>823</v>
      </c>
      <c r="H111" s="1366" t="s">
        <v>337</v>
      </c>
      <c r="I111" s="1365" t="s">
        <v>1257</v>
      </c>
      <c r="J111" s="1366" t="s">
        <v>536</v>
      </c>
      <c r="K111" s="1357"/>
      <c r="L111" s="1358"/>
      <c r="M111" s="1359">
        <v>2946</v>
      </c>
      <c r="N111" s="1360">
        <v>39692</v>
      </c>
      <c r="O111" s="1359"/>
      <c r="P111" s="1361"/>
      <c r="Q111" s="1357"/>
      <c r="R111" s="1358"/>
      <c r="S111" s="1346"/>
      <c r="T111" s="1347"/>
      <c r="U111" s="1346"/>
      <c r="V111" s="1348"/>
      <c r="W111" s="1427"/>
      <c r="X111" s="1426"/>
      <c r="Y111" s="1427"/>
      <c r="Z111" s="1426"/>
      <c r="AA111" s="1428"/>
      <c r="AB111" s="1429"/>
      <c r="AC111" s="2262">
        <f t="shared" si="4"/>
        <v>2946</v>
      </c>
      <c r="AD111" s="1446" t="s">
        <v>937</v>
      </c>
      <c r="AE111" s="1447">
        <v>39751</v>
      </c>
      <c r="AF111" s="1447">
        <v>40481</v>
      </c>
      <c r="AG111" s="1438" t="s">
        <v>3276</v>
      </c>
      <c r="AH111" s="1436">
        <v>42080</v>
      </c>
      <c r="AI111" s="1437" t="s">
        <v>3277</v>
      </c>
      <c r="AJ111" s="3959"/>
      <c r="AK111" s="3960"/>
      <c r="AL111" s="3952">
        <v>5636</v>
      </c>
      <c r="AM111" s="3953" t="s">
        <v>3290</v>
      </c>
      <c r="AN111" s="3961"/>
      <c r="AO111" s="3962"/>
      <c r="AP111" s="3961"/>
      <c r="AQ111" s="3963"/>
      <c r="AR111" s="3964"/>
      <c r="AS111" s="3965"/>
      <c r="AT111" s="3964"/>
      <c r="AU111" s="3965"/>
      <c r="AV111" s="3961"/>
      <c r="AW111" s="3962"/>
      <c r="AX111" s="3961"/>
      <c r="AY111" s="3962"/>
      <c r="AZ111" s="3961"/>
      <c r="BA111" s="3966"/>
      <c r="BB111" s="1480">
        <f t="shared" si="6"/>
        <v>5636</v>
      </c>
      <c r="BC111" s="4022"/>
      <c r="BD111" s="3019"/>
      <c r="BE111" s="3019"/>
      <c r="BF111" s="3019"/>
      <c r="BG111" s="4133"/>
      <c r="BH111" s="4128"/>
      <c r="BI111" s="4123"/>
      <c r="BJ111" s="3019"/>
      <c r="BK111" s="3019"/>
      <c r="BL111" s="3019"/>
      <c r="BM111" s="3019"/>
      <c r="BN111" s="3019"/>
      <c r="BO111" s="3019"/>
      <c r="BP111" s="3019"/>
      <c r="BQ111" s="3019"/>
      <c r="BR111" s="3019"/>
      <c r="BS111" s="3019"/>
      <c r="BT111" s="3019"/>
      <c r="BU111" s="3019"/>
      <c r="BV111" s="3019"/>
      <c r="BW111" s="3019"/>
      <c r="BX111" s="3019"/>
    </row>
    <row r="112" spans="1:76" ht="112.5">
      <c r="A112" s="1362" t="s">
        <v>3285</v>
      </c>
      <c r="B112" s="1363" t="s">
        <v>375</v>
      </c>
      <c r="C112" s="1364" t="s">
        <v>795</v>
      </c>
      <c r="D112" s="1362" t="s">
        <v>1330</v>
      </c>
      <c r="E112" s="1365" t="s">
        <v>630</v>
      </c>
      <c r="F112" s="1366" t="s">
        <v>908</v>
      </c>
      <c r="G112" s="1367" t="s">
        <v>938</v>
      </c>
      <c r="H112" s="1366" t="s">
        <v>606</v>
      </c>
      <c r="I112" s="1365" t="s">
        <v>1262</v>
      </c>
      <c r="J112" s="1366" t="s">
        <v>536</v>
      </c>
      <c r="K112" s="1357"/>
      <c r="L112" s="1358"/>
      <c r="M112" s="1359">
        <v>2939</v>
      </c>
      <c r="N112" s="1360">
        <v>39783</v>
      </c>
      <c r="O112" s="1359"/>
      <c r="P112" s="1361"/>
      <c r="Q112" s="1357"/>
      <c r="R112" s="1358"/>
      <c r="S112" s="1346"/>
      <c r="T112" s="1347"/>
      <c r="U112" s="1346"/>
      <c r="V112" s="1348"/>
      <c r="W112" s="1427"/>
      <c r="X112" s="1426"/>
      <c r="Y112" s="1427"/>
      <c r="Z112" s="1426"/>
      <c r="AA112" s="1428"/>
      <c r="AB112" s="1429"/>
      <c r="AC112" s="2262">
        <f t="shared" si="4"/>
        <v>2939</v>
      </c>
      <c r="AD112" s="1448" t="s">
        <v>269</v>
      </c>
      <c r="AE112" s="1447">
        <v>38237</v>
      </c>
      <c r="AF112" s="1447">
        <v>40063</v>
      </c>
      <c r="AG112" s="1438" t="s">
        <v>3276</v>
      </c>
      <c r="AH112" s="1436">
        <v>42080</v>
      </c>
      <c r="AI112" s="1437" t="s">
        <v>3277</v>
      </c>
      <c r="AJ112" s="3959"/>
      <c r="AK112" s="3960"/>
      <c r="AL112" s="3952">
        <v>3855</v>
      </c>
      <c r="AM112" s="3953" t="s">
        <v>3290</v>
      </c>
      <c r="AN112" s="3961"/>
      <c r="AO112" s="3962"/>
      <c r="AP112" s="3961"/>
      <c r="AQ112" s="3963"/>
      <c r="AR112" s="3964"/>
      <c r="AS112" s="3965"/>
      <c r="AT112" s="3964"/>
      <c r="AU112" s="3965"/>
      <c r="AV112" s="3961"/>
      <c r="AW112" s="3962"/>
      <c r="AX112" s="3961"/>
      <c r="AY112" s="3962"/>
      <c r="AZ112" s="3961"/>
      <c r="BA112" s="3966"/>
      <c r="BB112" s="1480">
        <f t="shared" si="6"/>
        <v>3855</v>
      </c>
      <c r="BC112" s="4017"/>
    </row>
    <row r="113" spans="1:75" ht="123.75">
      <c r="A113" s="1362" t="s">
        <v>3286</v>
      </c>
      <c r="B113" s="1363" t="s">
        <v>797</v>
      </c>
      <c r="C113" s="1364" t="s">
        <v>1019</v>
      </c>
      <c r="D113" s="1362" t="s">
        <v>1330</v>
      </c>
      <c r="E113" s="1365" t="s">
        <v>798</v>
      </c>
      <c r="F113" s="1366" t="s">
        <v>267</v>
      </c>
      <c r="G113" s="1367" t="s">
        <v>462</v>
      </c>
      <c r="H113" s="1366" t="s">
        <v>461</v>
      </c>
      <c r="I113" s="1365" t="s">
        <v>1257</v>
      </c>
      <c r="J113" s="1366" t="s">
        <v>536</v>
      </c>
      <c r="K113" s="1357"/>
      <c r="L113" s="1358"/>
      <c r="M113" s="1359">
        <v>2963</v>
      </c>
      <c r="N113" s="1360">
        <v>39965</v>
      </c>
      <c r="O113" s="1359"/>
      <c r="P113" s="1361"/>
      <c r="Q113" s="1357"/>
      <c r="R113" s="1358"/>
      <c r="S113" s="1346"/>
      <c r="T113" s="1347"/>
      <c r="U113" s="1346"/>
      <c r="V113" s="1348"/>
      <c r="W113" s="1427"/>
      <c r="X113" s="1426"/>
      <c r="Y113" s="1427"/>
      <c r="Z113" s="1426"/>
      <c r="AA113" s="1428"/>
      <c r="AB113" s="1429"/>
      <c r="AC113" s="2262">
        <f t="shared" si="4"/>
        <v>2963</v>
      </c>
      <c r="AD113" s="1448" t="s">
        <v>269</v>
      </c>
      <c r="AE113" s="1447">
        <v>40018</v>
      </c>
      <c r="AF113" s="1447">
        <v>40748</v>
      </c>
      <c r="AG113" s="1438" t="s">
        <v>3276</v>
      </c>
      <c r="AH113" s="1436">
        <v>42080</v>
      </c>
      <c r="AI113" s="1437" t="s">
        <v>3277</v>
      </c>
      <c r="AJ113" s="3959"/>
      <c r="AK113" s="3960"/>
      <c r="AL113" s="3952">
        <v>3837</v>
      </c>
      <c r="AM113" s="3953" t="s">
        <v>3290</v>
      </c>
      <c r="AN113" s="3961"/>
      <c r="AO113" s="3962"/>
      <c r="AP113" s="3961"/>
      <c r="AQ113" s="3963"/>
      <c r="AR113" s="3964"/>
      <c r="AS113" s="3965"/>
      <c r="AT113" s="3964"/>
      <c r="AU113" s="3965"/>
      <c r="AV113" s="3961"/>
      <c r="AW113" s="3962"/>
      <c r="AX113" s="3961"/>
      <c r="AY113" s="3962"/>
      <c r="AZ113" s="3961"/>
      <c r="BA113" s="3966"/>
      <c r="BB113" s="1480">
        <f t="shared" si="6"/>
        <v>3837</v>
      </c>
      <c r="BC113" s="4017"/>
    </row>
    <row r="114" spans="1:75" ht="146.25">
      <c r="A114" s="1362" t="s">
        <v>3287</v>
      </c>
      <c r="B114" s="1363" t="s">
        <v>299</v>
      </c>
      <c r="C114" s="1364" t="s">
        <v>300</v>
      </c>
      <c r="D114" s="1362" t="s">
        <v>1330</v>
      </c>
      <c r="E114" s="1365" t="s">
        <v>301</v>
      </c>
      <c r="F114" s="1366" t="s">
        <v>112</v>
      </c>
      <c r="G114" s="1367" t="s">
        <v>721</v>
      </c>
      <c r="H114" s="1366" t="s">
        <v>722</v>
      </c>
      <c r="I114" s="1365" t="s">
        <v>1257</v>
      </c>
      <c r="J114" s="1366" t="s">
        <v>536</v>
      </c>
      <c r="K114" s="1357"/>
      <c r="L114" s="1358"/>
      <c r="M114" s="1359">
        <v>3003</v>
      </c>
      <c r="N114" s="1360">
        <v>40057</v>
      </c>
      <c r="O114" s="1359"/>
      <c r="P114" s="1361"/>
      <c r="Q114" s="1357"/>
      <c r="R114" s="1358"/>
      <c r="S114" s="1346"/>
      <c r="T114" s="1347"/>
      <c r="U114" s="1346"/>
      <c r="V114" s="1348"/>
      <c r="W114" s="1427"/>
      <c r="X114" s="1426"/>
      <c r="Y114" s="1427"/>
      <c r="Z114" s="1426"/>
      <c r="AA114" s="1428"/>
      <c r="AB114" s="1429"/>
      <c r="AC114" s="2262">
        <f t="shared" si="4"/>
        <v>3003</v>
      </c>
      <c r="AD114" s="1448" t="s">
        <v>269</v>
      </c>
      <c r="AE114" s="1447">
        <v>40133</v>
      </c>
      <c r="AF114" s="1447">
        <v>40863</v>
      </c>
      <c r="AG114" s="1438" t="s">
        <v>3276</v>
      </c>
      <c r="AH114" s="1436">
        <v>42080</v>
      </c>
      <c r="AI114" s="1437" t="s">
        <v>3277</v>
      </c>
      <c r="AJ114" s="3959"/>
      <c r="AK114" s="3960"/>
      <c r="AL114" s="3952">
        <v>3846</v>
      </c>
      <c r="AM114" s="3953" t="s">
        <v>3290</v>
      </c>
      <c r="AN114" s="3961"/>
      <c r="AO114" s="3962"/>
      <c r="AP114" s="3961"/>
      <c r="AQ114" s="3963"/>
      <c r="AR114" s="3964"/>
      <c r="AS114" s="3965"/>
      <c r="AT114" s="3964"/>
      <c r="AU114" s="3965"/>
      <c r="AV114" s="3961"/>
      <c r="AW114" s="3962"/>
      <c r="AX114" s="3961"/>
      <c r="AY114" s="3962"/>
      <c r="AZ114" s="3961"/>
      <c r="BA114" s="3966"/>
      <c r="BB114" s="1480">
        <f t="shared" si="6"/>
        <v>3846</v>
      </c>
      <c r="BC114" s="4017"/>
    </row>
    <row r="115" spans="1:75" ht="146.25">
      <c r="A115" s="1362" t="s">
        <v>3288</v>
      </c>
      <c r="B115" s="1363" t="s">
        <v>2</v>
      </c>
      <c r="C115" s="1364" t="s">
        <v>3</v>
      </c>
      <c r="D115" s="1362" t="s">
        <v>1330</v>
      </c>
      <c r="E115" s="1365" t="s">
        <v>47</v>
      </c>
      <c r="F115" s="1366" t="s">
        <v>48</v>
      </c>
      <c r="G115" s="1367" t="s">
        <v>49</v>
      </c>
      <c r="H115" s="1366" t="s">
        <v>196</v>
      </c>
      <c r="I115" s="1365" t="s">
        <v>479</v>
      </c>
      <c r="J115" s="1366" t="s">
        <v>536</v>
      </c>
      <c r="K115" s="1357"/>
      <c r="L115" s="1358"/>
      <c r="M115" s="1359">
        <v>3013</v>
      </c>
      <c r="N115" s="1360">
        <v>40148</v>
      </c>
      <c r="O115" s="1359"/>
      <c r="P115" s="1361"/>
      <c r="Q115" s="1357"/>
      <c r="R115" s="1358"/>
      <c r="S115" s="1346"/>
      <c r="T115" s="1347"/>
      <c r="U115" s="1346"/>
      <c r="V115" s="1348"/>
      <c r="W115" s="1427"/>
      <c r="X115" s="1426"/>
      <c r="Y115" s="1427"/>
      <c r="Z115" s="1426"/>
      <c r="AA115" s="1428"/>
      <c r="AB115" s="1429"/>
      <c r="AC115" s="2262">
        <f t="shared" si="4"/>
        <v>3013</v>
      </c>
      <c r="AD115" s="1448" t="s">
        <v>269</v>
      </c>
      <c r="AE115" s="1447">
        <v>40189</v>
      </c>
      <c r="AF115" s="1447">
        <v>40554</v>
      </c>
      <c r="AG115" s="1438" t="s">
        <v>3276</v>
      </c>
      <c r="AH115" s="1436">
        <v>42080</v>
      </c>
      <c r="AI115" s="1437" t="s">
        <v>3277</v>
      </c>
      <c r="AJ115" s="3959"/>
      <c r="AK115" s="3960"/>
      <c r="AL115" s="3952">
        <v>3845</v>
      </c>
      <c r="AM115" s="3953" t="s">
        <v>3290</v>
      </c>
      <c r="AN115" s="3961"/>
      <c r="AO115" s="3962"/>
      <c r="AP115" s="3961"/>
      <c r="AQ115" s="3963"/>
      <c r="AR115" s="3964"/>
      <c r="AS115" s="3965"/>
      <c r="AT115" s="3964"/>
      <c r="AU115" s="3965"/>
      <c r="AV115" s="3961"/>
      <c r="AW115" s="3962"/>
      <c r="AX115" s="3961"/>
      <c r="AY115" s="3962"/>
      <c r="AZ115" s="3961"/>
      <c r="BA115" s="3966"/>
      <c r="BB115" s="1480">
        <f t="shared" si="6"/>
        <v>3845</v>
      </c>
      <c r="BC115" s="4017"/>
    </row>
    <row r="116" spans="1:75" ht="90">
      <c r="A116" s="1362" t="s">
        <v>3289</v>
      </c>
      <c r="B116" s="1363" t="s">
        <v>867</v>
      </c>
      <c r="C116" s="1364" t="s">
        <v>868</v>
      </c>
      <c r="D116" s="1362" t="s">
        <v>1330</v>
      </c>
      <c r="E116" s="1365" t="s">
        <v>340</v>
      </c>
      <c r="F116" s="1366" t="s">
        <v>454</v>
      </c>
      <c r="G116" s="1367" t="s">
        <v>200</v>
      </c>
      <c r="H116" s="1366" t="s">
        <v>201</v>
      </c>
      <c r="I116" s="1365" t="s">
        <v>1168</v>
      </c>
      <c r="J116" s="1366" t="s">
        <v>536</v>
      </c>
      <c r="K116" s="1357"/>
      <c r="L116" s="1358"/>
      <c r="M116" s="1359">
        <v>3036</v>
      </c>
      <c r="N116" s="1360">
        <v>40238</v>
      </c>
      <c r="O116" s="1359"/>
      <c r="P116" s="1361"/>
      <c r="Q116" s="1357"/>
      <c r="R116" s="1358"/>
      <c r="S116" s="1346"/>
      <c r="T116" s="1347"/>
      <c r="U116" s="1346"/>
      <c r="V116" s="1348"/>
      <c r="W116" s="1427"/>
      <c r="X116" s="1426"/>
      <c r="Y116" s="1427"/>
      <c r="Z116" s="1426"/>
      <c r="AA116" s="1428"/>
      <c r="AB116" s="1429"/>
      <c r="AC116" s="2262">
        <f t="shared" si="4"/>
        <v>3036</v>
      </c>
      <c r="AD116" s="1448" t="s">
        <v>269</v>
      </c>
      <c r="AE116" s="1447">
        <v>40323</v>
      </c>
      <c r="AF116" s="1447">
        <v>41054</v>
      </c>
      <c r="AG116" s="1438" t="s">
        <v>3276</v>
      </c>
      <c r="AH116" s="1436">
        <v>42080</v>
      </c>
      <c r="AI116" s="1437" t="s">
        <v>3277</v>
      </c>
      <c r="AJ116" s="3959"/>
      <c r="AK116" s="3960"/>
      <c r="AL116" s="3952">
        <v>3857</v>
      </c>
      <c r="AM116" s="3953" t="s">
        <v>3290</v>
      </c>
      <c r="AN116" s="3961"/>
      <c r="AO116" s="3962"/>
      <c r="AP116" s="3961"/>
      <c r="AQ116" s="3963"/>
      <c r="AR116" s="3964"/>
      <c r="AS116" s="3965"/>
      <c r="AT116" s="3964"/>
      <c r="AU116" s="3965"/>
      <c r="AV116" s="3961"/>
      <c r="AW116" s="3962"/>
      <c r="AX116" s="3961"/>
      <c r="AY116" s="3962"/>
      <c r="AZ116" s="3961"/>
      <c r="BA116" s="3966"/>
      <c r="BB116" s="1480">
        <f t="shared" si="6"/>
        <v>3857</v>
      </c>
      <c r="BC116" s="4017"/>
    </row>
    <row r="117" spans="1:75" ht="90">
      <c r="A117" s="1368" t="s">
        <v>3281</v>
      </c>
      <c r="B117" s="1363" t="s">
        <v>565</v>
      </c>
      <c r="C117" s="1369" t="s">
        <v>566</v>
      </c>
      <c r="D117" s="1362" t="s">
        <v>1330</v>
      </c>
      <c r="E117" s="1365" t="s">
        <v>737</v>
      </c>
      <c r="F117" s="1366" t="s">
        <v>738</v>
      </c>
      <c r="G117" s="1367" t="s">
        <v>739</v>
      </c>
      <c r="H117" s="1366" t="s">
        <v>624</v>
      </c>
      <c r="I117" s="1365" t="s">
        <v>684</v>
      </c>
      <c r="J117" s="1366" t="s">
        <v>474</v>
      </c>
      <c r="K117" s="1357"/>
      <c r="L117" s="1358"/>
      <c r="M117" s="1359">
        <v>3105</v>
      </c>
      <c r="N117" s="1360">
        <v>40513</v>
      </c>
      <c r="O117" s="1359"/>
      <c r="P117" s="1361"/>
      <c r="Q117" s="1357"/>
      <c r="R117" s="1358"/>
      <c r="S117" s="1346"/>
      <c r="T117" s="1347"/>
      <c r="U117" s="1346"/>
      <c r="V117" s="1348"/>
      <c r="W117" s="1427"/>
      <c r="X117" s="1426"/>
      <c r="Y117" s="1427"/>
      <c r="Z117" s="1426"/>
      <c r="AA117" s="1428"/>
      <c r="AB117" s="1429"/>
      <c r="AC117" s="3897">
        <f t="shared" si="4"/>
        <v>3105</v>
      </c>
      <c r="AD117" s="1448" t="s">
        <v>269</v>
      </c>
      <c r="AE117" s="1449">
        <v>40613</v>
      </c>
      <c r="AF117" s="1449">
        <v>41313</v>
      </c>
      <c r="AG117" s="1438" t="s">
        <v>3276</v>
      </c>
      <c r="AH117" s="1436">
        <v>42080</v>
      </c>
      <c r="AI117" s="1437" t="s">
        <v>3277</v>
      </c>
      <c r="AJ117" s="3959"/>
      <c r="AK117" s="3960"/>
      <c r="AL117" s="3967">
        <v>3820</v>
      </c>
      <c r="AM117" s="3953" t="s">
        <v>3290</v>
      </c>
      <c r="AN117" s="3961"/>
      <c r="AO117" s="3962"/>
      <c r="AP117" s="3961"/>
      <c r="AQ117" s="3963"/>
      <c r="AR117" s="3964"/>
      <c r="AS117" s="3965"/>
      <c r="AT117" s="3964"/>
      <c r="AU117" s="3965"/>
      <c r="AV117" s="3961"/>
      <c r="AW117" s="3962"/>
      <c r="AX117" s="3961"/>
      <c r="AY117" s="3962"/>
      <c r="AZ117" s="3961"/>
      <c r="BA117" s="3966"/>
      <c r="BB117" s="1480">
        <f t="shared" si="6"/>
        <v>3820</v>
      </c>
      <c r="BC117" s="4017"/>
    </row>
    <row r="118" spans="1:75" ht="78.75">
      <c r="A118" s="1368" t="s">
        <v>3280</v>
      </c>
      <c r="B118" s="1363" t="s">
        <v>1139</v>
      </c>
      <c r="C118" s="1369" t="s">
        <v>657</v>
      </c>
      <c r="D118" s="1362" t="s">
        <v>1330</v>
      </c>
      <c r="E118" s="1365" t="s">
        <v>1169</v>
      </c>
      <c r="F118" s="1366" t="s">
        <v>1396</v>
      </c>
      <c r="G118" s="1367" t="s">
        <v>1397</v>
      </c>
      <c r="H118" s="1366" t="s">
        <v>1398</v>
      </c>
      <c r="I118" s="1365" t="s">
        <v>1257</v>
      </c>
      <c r="J118" s="1366" t="s">
        <v>939</v>
      </c>
      <c r="K118" s="1357"/>
      <c r="L118" s="1358"/>
      <c r="M118" s="1359">
        <v>3144</v>
      </c>
      <c r="N118" s="1360">
        <v>40603</v>
      </c>
      <c r="O118" s="1359"/>
      <c r="P118" s="1361"/>
      <c r="Q118" s="1357"/>
      <c r="R118" s="1358"/>
      <c r="S118" s="1346"/>
      <c r="T118" s="1347"/>
      <c r="U118" s="1346"/>
      <c r="V118" s="1348"/>
      <c r="W118" s="1427"/>
      <c r="X118" s="1426"/>
      <c r="Y118" s="1427"/>
      <c r="Z118" s="1426"/>
      <c r="AA118" s="1428"/>
      <c r="AB118" s="1429"/>
      <c r="AC118" s="3897">
        <f t="shared" si="4"/>
        <v>3144</v>
      </c>
      <c r="AD118" s="1448" t="s">
        <v>1395</v>
      </c>
      <c r="AE118" s="1449">
        <v>40672</v>
      </c>
      <c r="AF118" s="1449">
        <v>41365</v>
      </c>
      <c r="AG118" s="1438" t="s">
        <v>3276</v>
      </c>
      <c r="AH118" s="1436">
        <v>42080</v>
      </c>
      <c r="AI118" s="1437" t="s">
        <v>3277</v>
      </c>
      <c r="AJ118" s="3959"/>
      <c r="AK118" s="3960"/>
      <c r="AL118" s="3967">
        <v>3820</v>
      </c>
      <c r="AM118" s="3953" t="s">
        <v>3290</v>
      </c>
      <c r="AN118" s="3961"/>
      <c r="AO118" s="3962"/>
      <c r="AP118" s="3961"/>
      <c r="AQ118" s="3963"/>
      <c r="AR118" s="3964"/>
      <c r="AS118" s="3965"/>
      <c r="AT118" s="3964"/>
      <c r="AU118" s="3965"/>
      <c r="AV118" s="3961"/>
      <c r="AW118" s="3962"/>
      <c r="AX118" s="3961"/>
      <c r="AY118" s="3962"/>
      <c r="AZ118" s="3961"/>
      <c r="BA118" s="3966"/>
      <c r="BB118" s="1480">
        <f t="shared" si="6"/>
        <v>3820</v>
      </c>
      <c r="BC118" s="4017"/>
    </row>
    <row r="119" spans="1:75" ht="135">
      <c r="A119" s="1375" t="s">
        <v>3279</v>
      </c>
      <c r="B119" s="1430" t="s">
        <v>927</v>
      </c>
      <c r="C119" s="1431" t="s">
        <v>2933</v>
      </c>
      <c r="D119" s="1432" t="s">
        <v>788</v>
      </c>
      <c r="E119" s="1433" t="s">
        <v>575</v>
      </c>
      <c r="F119" s="1434" t="s">
        <v>825</v>
      </c>
      <c r="G119" s="1435" t="s">
        <v>2934</v>
      </c>
      <c r="H119" s="1434" t="s">
        <v>2931</v>
      </c>
      <c r="I119" s="1433" t="s">
        <v>562</v>
      </c>
      <c r="J119" s="1434" t="s">
        <v>417</v>
      </c>
      <c r="K119" s="1357"/>
      <c r="L119" s="1358"/>
      <c r="M119" s="1359">
        <v>2728</v>
      </c>
      <c r="N119" s="1360">
        <v>39965</v>
      </c>
      <c r="O119" s="1359"/>
      <c r="P119" s="1361"/>
      <c r="Q119" s="1357"/>
      <c r="R119" s="1358"/>
      <c r="S119" s="1346"/>
      <c r="T119" s="1347"/>
      <c r="U119" s="1346"/>
      <c r="V119" s="1348"/>
      <c r="W119" s="1427"/>
      <c r="X119" s="1426"/>
      <c r="Y119" s="1427"/>
      <c r="Z119" s="1426"/>
      <c r="AA119" s="1428"/>
      <c r="AB119" s="1429"/>
      <c r="AC119" s="3897">
        <f t="shared" si="4"/>
        <v>2728</v>
      </c>
      <c r="AD119" s="1450" t="s">
        <v>937</v>
      </c>
      <c r="AE119" s="1451">
        <v>40091</v>
      </c>
      <c r="AF119" s="1451">
        <v>41552</v>
      </c>
      <c r="AG119" s="1438" t="s">
        <v>3276</v>
      </c>
      <c r="AH119" s="1436">
        <v>42080</v>
      </c>
      <c r="AI119" s="1437" t="s">
        <v>3277</v>
      </c>
      <c r="AJ119" s="3968"/>
      <c r="AK119" s="3969"/>
      <c r="AL119" s="3970">
        <v>3356</v>
      </c>
      <c r="AM119" s="3953" t="s">
        <v>3290</v>
      </c>
      <c r="AN119" s="3961"/>
      <c r="AO119" s="3962"/>
      <c r="AP119" s="3961"/>
      <c r="AQ119" s="3963"/>
      <c r="AR119" s="3964"/>
      <c r="AS119" s="3965"/>
      <c r="AT119" s="3964"/>
      <c r="AU119" s="3965"/>
      <c r="AV119" s="3961"/>
      <c r="AW119" s="3962"/>
      <c r="AX119" s="3961"/>
      <c r="AY119" s="3962"/>
      <c r="AZ119" s="3961"/>
      <c r="BA119" s="3966"/>
      <c r="BB119" s="3971">
        <f t="shared" si="6"/>
        <v>3356</v>
      </c>
      <c r="BC119" s="4017"/>
    </row>
    <row r="120" spans="1:75" ht="147" thickBot="1">
      <c r="A120" s="1376" t="s">
        <v>3014</v>
      </c>
      <c r="B120" s="5172" t="s">
        <v>3447</v>
      </c>
      <c r="C120" s="1371" t="s">
        <v>2708</v>
      </c>
      <c r="D120" s="1372" t="s">
        <v>788</v>
      </c>
      <c r="E120" s="1373" t="s">
        <v>3015</v>
      </c>
      <c r="F120" s="1327" t="s">
        <v>685</v>
      </c>
      <c r="G120" s="1373" t="s">
        <v>390</v>
      </c>
      <c r="H120" s="1327" t="s">
        <v>588</v>
      </c>
      <c r="I120" s="1373" t="s">
        <v>8814</v>
      </c>
      <c r="J120" s="1374" t="s">
        <v>8815</v>
      </c>
      <c r="K120" s="1377"/>
      <c r="L120" s="1378"/>
      <c r="M120" s="1379"/>
      <c r="N120" s="1380"/>
      <c r="O120" s="1377"/>
      <c r="P120" s="1381"/>
      <c r="Q120" s="1377"/>
      <c r="R120" s="1327"/>
      <c r="S120" s="957"/>
      <c r="T120" s="968"/>
      <c r="U120" s="957"/>
      <c r="V120" s="969"/>
      <c r="W120" s="1377"/>
      <c r="X120" s="1327"/>
      <c r="Y120" s="1377">
        <v>51493</v>
      </c>
      <c r="Z120" s="1327" t="s">
        <v>3016</v>
      </c>
      <c r="AA120" s="1377"/>
      <c r="AB120" s="1374"/>
      <c r="AC120" s="1382">
        <f t="shared" ref="AC120:AC151" si="7">K120+M120+O120+Q120+S120+U120+W120+Y120+AA120</f>
        <v>51493</v>
      </c>
      <c r="AD120" s="1383" t="s">
        <v>2891</v>
      </c>
      <c r="AE120" s="1384" t="s">
        <v>2890</v>
      </c>
      <c r="AF120" s="1385" t="s">
        <v>175</v>
      </c>
      <c r="AG120" s="1386" t="s">
        <v>2594</v>
      </c>
      <c r="AH120" s="1387">
        <v>42094</v>
      </c>
      <c r="AI120" s="1388">
        <v>1164759</v>
      </c>
      <c r="AJ120" s="1389"/>
      <c r="AK120" s="1393"/>
      <c r="AL120" s="1391"/>
      <c r="AM120" s="1390"/>
      <c r="AN120" s="1391"/>
      <c r="AO120" s="1390"/>
      <c r="AP120" s="1391"/>
      <c r="AQ120" s="1390"/>
      <c r="AR120" s="987"/>
      <c r="AS120" s="1002"/>
      <c r="AT120" s="987"/>
      <c r="AU120" s="1002"/>
      <c r="AV120" s="1391"/>
      <c r="AW120" s="1390"/>
      <c r="AX120" s="1391">
        <v>51493</v>
      </c>
      <c r="AY120" s="1392">
        <v>41974</v>
      </c>
      <c r="AZ120" s="1391"/>
      <c r="BA120" s="1393"/>
      <c r="BB120" s="1394">
        <f t="shared" si="6"/>
        <v>51493</v>
      </c>
      <c r="BC120" s="3017" t="s">
        <v>3291</v>
      </c>
      <c r="BD120" s="3018">
        <f>SUM(BB108:BB120)</f>
        <v>102318</v>
      </c>
      <c r="BE120" s="2838">
        <f>BD120-BF120</f>
        <v>102318</v>
      </c>
      <c r="BF120" s="2838">
        <f>SUM(AR108:AR120)+SUM(AT108:AT120)</f>
        <v>0</v>
      </c>
    </row>
    <row r="121" spans="1:75" ht="202.5">
      <c r="A121" s="698" t="s">
        <v>2875</v>
      </c>
      <c r="B121" s="699" t="s">
        <v>994</v>
      </c>
      <c r="C121" s="700" t="s">
        <v>3011</v>
      </c>
      <c r="D121" s="698" t="s">
        <v>788</v>
      </c>
      <c r="E121" s="701" t="s">
        <v>140</v>
      </c>
      <c r="F121" s="702" t="s">
        <v>115</v>
      </c>
      <c r="G121" s="701" t="s">
        <v>914</v>
      </c>
      <c r="H121" s="702" t="s">
        <v>1127</v>
      </c>
      <c r="I121" s="701" t="s">
        <v>63</v>
      </c>
      <c r="J121" s="703" t="s">
        <v>1245</v>
      </c>
      <c r="K121" s="1224">
        <f>1003+839+830+804+777-1003-839-830-804</f>
        <v>777</v>
      </c>
      <c r="L121" s="705" t="s">
        <v>2878</v>
      </c>
      <c r="M121" s="1024">
        <f>2850+2385+2357+2283+2209-2850-2385-2357-2283</f>
        <v>2209</v>
      </c>
      <c r="N121" s="705" t="s">
        <v>2788</v>
      </c>
      <c r="O121" s="704"/>
      <c r="P121" s="708"/>
      <c r="Q121" s="1224">
        <f>4461+3733+3691+3576+3459-4461-3733-3691-3576</f>
        <v>3459</v>
      </c>
      <c r="R121" s="705" t="s">
        <v>2789</v>
      </c>
      <c r="S121" s="1225">
        <f>610</f>
        <v>610</v>
      </c>
      <c r="T121" s="1075" t="s">
        <v>2881</v>
      </c>
      <c r="U121" s="1225">
        <v>0</v>
      </c>
      <c r="V121" s="1075" t="s">
        <v>2882</v>
      </c>
      <c r="W121" s="704"/>
      <c r="X121" s="702"/>
      <c r="Y121" s="704"/>
      <c r="Z121" s="702"/>
      <c r="AA121" s="704"/>
      <c r="AB121" s="703"/>
      <c r="AC121" s="536">
        <f t="shared" si="7"/>
        <v>7055</v>
      </c>
      <c r="AD121" s="1226" t="s">
        <v>1282</v>
      </c>
      <c r="AE121" s="710">
        <v>40164</v>
      </c>
      <c r="AF121" s="711">
        <v>41503</v>
      </c>
      <c r="AG121" s="1227" t="s">
        <v>2991</v>
      </c>
      <c r="AH121" s="713" t="s">
        <v>2992</v>
      </c>
      <c r="AI121" s="714" t="s">
        <v>2993</v>
      </c>
      <c r="AJ121" s="772">
        <v>777</v>
      </c>
      <c r="AK121" s="718" t="s">
        <v>2887</v>
      </c>
      <c r="AL121" s="773">
        <v>2209</v>
      </c>
      <c r="AM121" s="718" t="s">
        <v>2886</v>
      </c>
      <c r="AN121" s="774"/>
      <c r="AO121" s="775"/>
      <c r="AP121" s="774">
        <v>3459</v>
      </c>
      <c r="AQ121" s="718" t="s">
        <v>2887</v>
      </c>
      <c r="AR121" s="996">
        <v>610</v>
      </c>
      <c r="AS121" s="1228" t="s">
        <v>2888</v>
      </c>
      <c r="AT121" s="996"/>
      <c r="AU121" s="1228"/>
      <c r="AV121" s="774"/>
      <c r="AW121" s="775"/>
      <c r="AX121" s="774"/>
      <c r="AY121" s="775"/>
      <c r="AZ121" s="774"/>
      <c r="BA121" s="776"/>
      <c r="BB121" s="721">
        <f t="shared" si="6"/>
        <v>7055</v>
      </c>
      <c r="BC121" s="216"/>
    </row>
    <row r="122" spans="1:75" ht="202.5">
      <c r="A122" s="350" t="s">
        <v>3010</v>
      </c>
      <c r="B122" s="368" t="s">
        <v>994</v>
      </c>
      <c r="C122" s="215" t="s">
        <v>3012</v>
      </c>
      <c r="D122" s="350" t="s">
        <v>788</v>
      </c>
      <c r="E122" s="354" t="s">
        <v>140</v>
      </c>
      <c r="F122" s="353" t="s">
        <v>115</v>
      </c>
      <c r="G122" s="354" t="s">
        <v>914</v>
      </c>
      <c r="H122" s="353" t="s">
        <v>1127</v>
      </c>
      <c r="I122" s="354" t="s">
        <v>63</v>
      </c>
      <c r="J122" s="355" t="s">
        <v>1245</v>
      </c>
      <c r="K122" s="760"/>
      <c r="L122" s="357" t="s">
        <v>2877</v>
      </c>
      <c r="M122" s="758"/>
      <c r="N122" s="357" t="s">
        <v>2879</v>
      </c>
      <c r="O122" s="370"/>
      <c r="P122" s="373"/>
      <c r="Q122" s="760"/>
      <c r="R122" s="357" t="s">
        <v>2880</v>
      </c>
      <c r="S122" s="1025">
        <f>8542+7148+7067+6846+6622-8542-7148-7067-6576-270-610</f>
        <v>6012</v>
      </c>
      <c r="T122" s="963" t="s">
        <v>2884</v>
      </c>
      <c r="U122" s="1025">
        <f>5144+4304+4255+4123+3988-5144-4304-4255-4123</f>
        <v>3988</v>
      </c>
      <c r="V122" s="963" t="s">
        <v>2883</v>
      </c>
      <c r="W122" s="370"/>
      <c r="X122" s="353"/>
      <c r="Y122" s="370"/>
      <c r="Z122" s="353"/>
      <c r="AA122" s="370"/>
      <c r="AB122" s="355"/>
      <c r="AC122" s="358">
        <f t="shared" si="7"/>
        <v>10000</v>
      </c>
      <c r="AD122" s="768" t="s">
        <v>1282</v>
      </c>
      <c r="AE122" s="457">
        <v>40164</v>
      </c>
      <c r="AF122" s="458">
        <v>41503</v>
      </c>
      <c r="AG122" s="763" t="s">
        <v>3008</v>
      </c>
      <c r="AH122" s="360" t="s">
        <v>3007</v>
      </c>
      <c r="AI122" s="361" t="s">
        <v>3013</v>
      </c>
      <c r="AJ122" s="380"/>
      <c r="AK122" s="394"/>
      <c r="AL122" s="382"/>
      <c r="AM122" s="394"/>
      <c r="AN122" s="383"/>
      <c r="AO122" s="381"/>
      <c r="AP122" s="383"/>
      <c r="AQ122" s="394"/>
      <c r="AR122" s="982">
        <v>6012</v>
      </c>
      <c r="AS122" s="981" t="s">
        <v>3009</v>
      </c>
      <c r="AT122" s="982">
        <v>3988</v>
      </c>
      <c r="AU122" s="981" t="s">
        <v>2885</v>
      </c>
      <c r="AV122" s="383"/>
      <c r="AW122" s="381"/>
      <c r="AX122" s="383"/>
      <c r="AY122" s="381"/>
      <c r="AZ122" s="383"/>
      <c r="BA122" s="384"/>
      <c r="BB122" s="367">
        <f t="shared" si="6"/>
        <v>10000</v>
      </c>
      <c r="BC122" s="3016"/>
    </row>
    <row r="123" spans="1:75" ht="68.25" thickBot="1">
      <c r="A123" s="1208" t="s">
        <v>3648</v>
      </c>
      <c r="B123" s="527" t="s">
        <v>3647</v>
      </c>
      <c r="C123" s="528" t="s">
        <v>4043</v>
      </c>
      <c r="D123" s="529" t="s">
        <v>9</v>
      </c>
      <c r="E123" s="530" t="s">
        <v>573</v>
      </c>
      <c r="F123" s="531" t="s">
        <v>546</v>
      </c>
      <c r="G123" s="530" t="s">
        <v>831</v>
      </c>
      <c r="H123" s="531" t="s">
        <v>547</v>
      </c>
      <c r="I123" s="530" t="s">
        <v>832</v>
      </c>
      <c r="J123" s="532" t="s">
        <v>833</v>
      </c>
      <c r="K123" s="533">
        <v>13851</v>
      </c>
      <c r="L123" s="534">
        <v>40148</v>
      </c>
      <c r="M123" s="535"/>
      <c r="N123" s="777" t="s">
        <v>2166</v>
      </c>
      <c r="O123" s="1072"/>
      <c r="P123" s="1249" t="s">
        <v>3138</v>
      </c>
      <c r="Q123" s="533">
        <v>61624</v>
      </c>
      <c r="R123" s="534">
        <v>40148</v>
      </c>
      <c r="S123" s="957">
        <v>117997</v>
      </c>
      <c r="T123" s="958">
        <v>40148</v>
      </c>
      <c r="U123" s="957">
        <v>90370</v>
      </c>
      <c r="V123" s="959">
        <v>40148</v>
      </c>
      <c r="W123" s="533"/>
      <c r="X123" s="531"/>
      <c r="Y123" s="533"/>
      <c r="Z123" s="531"/>
      <c r="AA123" s="1072"/>
      <c r="AB123" s="1073" t="s">
        <v>3139</v>
      </c>
      <c r="AC123" s="729">
        <f t="shared" si="7"/>
        <v>283842</v>
      </c>
      <c r="AD123" s="730" t="s">
        <v>1247</v>
      </c>
      <c r="AE123" s="731" t="s">
        <v>2295</v>
      </c>
      <c r="AF123" s="1250" t="s">
        <v>2294</v>
      </c>
      <c r="AG123" s="778" t="s">
        <v>3033</v>
      </c>
      <c r="AH123" s="663" t="s">
        <v>3034</v>
      </c>
      <c r="AI123" s="664" t="s">
        <v>3035</v>
      </c>
      <c r="AJ123" s="540">
        <v>15639</v>
      </c>
      <c r="AK123" s="897">
        <v>41974</v>
      </c>
      <c r="AL123" s="542"/>
      <c r="AM123" s="897" t="s">
        <v>2166</v>
      </c>
      <c r="AN123" s="543"/>
      <c r="AO123" s="1251" t="s">
        <v>3140</v>
      </c>
      <c r="AP123" s="543">
        <v>69580</v>
      </c>
      <c r="AQ123" s="897">
        <v>41974</v>
      </c>
      <c r="AR123" s="987"/>
      <c r="AS123" s="1002"/>
      <c r="AT123" s="987"/>
      <c r="AU123" s="1002"/>
      <c r="AV123" s="543"/>
      <c r="AW123" s="541"/>
      <c r="AX123" s="543"/>
      <c r="AY123" s="541"/>
      <c r="AZ123" s="543"/>
      <c r="BA123" s="1252" t="s">
        <v>3141</v>
      </c>
      <c r="BB123" s="545">
        <f t="shared" si="6"/>
        <v>85219</v>
      </c>
      <c r="BC123" s="755" t="s">
        <v>2994</v>
      </c>
      <c r="BD123" s="756">
        <f>SUM(BB121:BB123)</f>
        <v>102274</v>
      </c>
      <c r="BE123" s="757">
        <f>BD123-BF123</f>
        <v>91664</v>
      </c>
      <c r="BF123" s="757">
        <f>SUM(AR121:AR123)+SUM(AT121:AT123)</f>
        <v>10610</v>
      </c>
      <c r="BG123" s="4131"/>
      <c r="BH123" s="4127"/>
      <c r="BI123" s="4121"/>
      <c r="BJ123" s="148"/>
      <c r="BK123" s="1121"/>
      <c r="BL123" s="148"/>
      <c r="BM123" s="1121"/>
      <c r="BN123" s="148"/>
      <c r="BO123" s="1121"/>
      <c r="BP123" s="148"/>
      <c r="BQ123" s="1121"/>
      <c r="BR123" s="148"/>
      <c r="BS123" s="1121"/>
      <c r="BT123" s="148"/>
      <c r="BU123" s="1121"/>
      <c r="BV123" s="148"/>
      <c r="BW123" s="1122"/>
    </row>
    <row r="124" spans="1:75" s="47" customFormat="1" ht="78.75">
      <c r="A124" s="1246" t="s">
        <v>3146</v>
      </c>
      <c r="B124" s="1288" t="s">
        <v>2302</v>
      </c>
      <c r="C124" s="793" t="s">
        <v>2626</v>
      </c>
      <c r="D124" s="791" t="s">
        <v>233</v>
      </c>
      <c r="E124" s="794" t="s">
        <v>757</v>
      </c>
      <c r="F124" s="795" t="s">
        <v>1196</v>
      </c>
      <c r="G124" s="794" t="s">
        <v>1177</v>
      </c>
      <c r="H124" s="795" t="s">
        <v>905</v>
      </c>
      <c r="I124" s="794" t="s">
        <v>536</v>
      </c>
      <c r="J124" s="796" t="s">
        <v>990</v>
      </c>
      <c r="K124" s="797">
        <v>630</v>
      </c>
      <c r="L124" s="1247">
        <v>38596</v>
      </c>
      <c r="M124" s="1280">
        <v>977</v>
      </c>
      <c r="N124" s="1281">
        <v>38596</v>
      </c>
      <c r="O124" s="1282">
        <v>1795</v>
      </c>
      <c r="P124" s="1283" t="s">
        <v>2297</v>
      </c>
      <c r="Q124" s="797">
        <v>2802</v>
      </c>
      <c r="R124" s="798">
        <v>38596</v>
      </c>
      <c r="S124" s="960">
        <v>2852</v>
      </c>
      <c r="T124" s="961">
        <v>38596</v>
      </c>
      <c r="U124" s="960">
        <v>2982</v>
      </c>
      <c r="V124" s="962">
        <v>38596</v>
      </c>
      <c r="W124" s="797"/>
      <c r="X124" s="795"/>
      <c r="Y124" s="797"/>
      <c r="Z124" s="795"/>
      <c r="AA124" s="1282">
        <v>396</v>
      </c>
      <c r="AB124" s="1289" t="s">
        <v>2296</v>
      </c>
      <c r="AC124" s="802">
        <f t="shared" si="7"/>
        <v>12434</v>
      </c>
      <c r="AD124" s="1453" t="s">
        <v>506</v>
      </c>
      <c r="AE124" s="1454" t="s">
        <v>2298</v>
      </c>
      <c r="AF124" s="1455" t="s">
        <v>2299</v>
      </c>
      <c r="AG124" s="806" t="s">
        <v>3075</v>
      </c>
      <c r="AH124" s="807" t="s">
        <v>3144</v>
      </c>
      <c r="AI124" s="808">
        <v>1166952</v>
      </c>
      <c r="AJ124" s="809">
        <v>824</v>
      </c>
      <c r="AK124" s="812">
        <v>42064</v>
      </c>
      <c r="AL124" s="1088"/>
      <c r="AM124" s="810"/>
      <c r="AN124" s="813"/>
      <c r="AO124" s="810"/>
      <c r="AP124" s="813">
        <v>3664</v>
      </c>
      <c r="AQ124" s="812">
        <v>42064</v>
      </c>
      <c r="AR124" s="990"/>
      <c r="AS124" s="991"/>
      <c r="AT124" s="990"/>
      <c r="AU124" s="991"/>
      <c r="AV124" s="813"/>
      <c r="AW124" s="810"/>
      <c r="AX124" s="813"/>
      <c r="AY124" s="810"/>
      <c r="AZ124" s="813"/>
      <c r="BA124" s="814"/>
      <c r="BB124" s="1248">
        <f t="shared" si="6"/>
        <v>4488</v>
      </c>
      <c r="BC124" s="3016"/>
      <c r="BD124" s="697"/>
      <c r="BE124" s="217"/>
      <c r="BF124" s="217"/>
      <c r="BG124" s="4131"/>
      <c r="BH124" s="4127"/>
      <c r="BI124" s="4121"/>
      <c r="BJ124" s="148"/>
      <c r="BK124" s="1121"/>
      <c r="BL124" s="148"/>
      <c r="BM124" s="1121"/>
      <c r="BN124" s="148"/>
      <c r="BO124" s="1121"/>
      <c r="BP124" s="148"/>
      <c r="BQ124" s="1121"/>
      <c r="BR124" s="148"/>
      <c r="BS124" s="1121"/>
      <c r="BT124" s="148"/>
      <c r="BU124" s="1121"/>
      <c r="BV124" s="148"/>
      <c r="BW124" s="1122"/>
    </row>
    <row r="125" spans="1:75" s="47" customFormat="1" ht="78.75">
      <c r="A125" s="599" t="s">
        <v>3146</v>
      </c>
      <c r="B125" s="413" t="s">
        <v>2533</v>
      </c>
      <c r="C125" s="1240" t="s">
        <v>2627</v>
      </c>
      <c r="D125" s="462" t="s">
        <v>233</v>
      </c>
      <c r="E125" s="1028" t="s">
        <v>854</v>
      </c>
      <c r="F125" s="1239" t="s">
        <v>1196</v>
      </c>
      <c r="G125" s="1028" t="s">
        <v>406</v>
      </c>
      <c r="H125" s="1239" t="s">
        <v>953</v>
      </c>
      <c r="I125" s="1028" t="s">
        <v>536</v>
      </c>
      <c r="J125" s="407" t="s">
        <v>990</v>
      </c>
      <c r="K125" s="1229">
        <v>630</v>
      </c>
      <c r="L125" s="1230">
        <v>38596</v>
      </c>
      <c r="M125" s="1284">
        <v>977</v>
      </c>
      <c r="N125" s="1285">
        <v>38596</v>
      </c>
      <c r="O125" s="1286">
        <v>1795</v>
      </c>
      <c r="P125" s="1287" t="s">
        <v>2297</v>
      </c>
      <c r="Q125" s="396">
        <v>2802</v>
      </c>
      <c r="R125" s="397">
        <v>38596</v>
      </c>
      <c r="S125" s="974">
        <v>2852</v>
      </c>
      <c r="T125" s="1231">
        <v>38596</v>
      </c>
      <c r="U125" s="974">
        <v>2982</v>
      </c>
      <c r="V125" s="1231" t="s">
        <v>2197</v>
      </c>
      <c r="W125" s="1229"/>
      <c r="X125" s="1239"/>
      <c r="Y125" s="1229"/>
      <c r="Z125" s="1239"/>
      <c r="AA125" s="1286">
        <v>396</v>
      </c>
      <c r="AB125" s="1290" t="s">
        <v>2296</v>
      </c>
      <c r="AC125" s="512">
        <f t="shared" si="7"/>
        <v>12434</v>
      </c>
      <c r="AD125" s="1456" t="s">
        <v>2196</v>
      </c>
      <c r="AE125" s="1447" t="s">
        <v>2624</v>
      </c>
      <c r="AF125" s="1457" t="s">
        <v>2301</v>
      </c>
      <c r="AG125" s="1237" t="s">
        <v>3075</v>
      </c>
      <c r="AH125" s="807" t="s">
        <v>3145</v>
      </c>
      <c r="AI125" s="1238">
        <v>1167149</v>
      </c>
      <c r="AJ125" s="403">
        <v>824</v>
      </c>
      <c r="AK125" s="404">
        <v>42064</v>
      </c>
      <c r="AL125" s="1236"/>
      <c r="AM125" s="1233"/>
      <c r="AN125" s="1234"/>
      <c r="AO125" s="1233"/>
      <c r="AP125" s="405">
        <v>3664</v>
      </c>
      <c r="AQ125" s="404">
        <v>42064</v>
      </c>
      <c r="AR125" s="1051"/>
      <c r="AS125" s="1235"/>
      <c r="AT125" s="1051"/>
      <c r="AU125" s="1235"/>
      <c r="AV125" s="1234"/>
      <c r="AW125" s="1233"/>
      <c r="AX125" s="1234"/>
      <c r="AY125" s="1233"/>
      <c r="AZ125" s="1234"/>
      <c r="BA125" s="409"/>
      <c r="BB125" s="1241">
        <f t="shared" si="6"/>
        <v>4488</v>
      </c>
      <c r="BC125" s="3016"/>
      <c r="BD125" s="697"/>
      <c r="BE125" s="217"/>
      <c r="BF125" s="217"/>
      <c r="BG125" s="4131"/>
      <c r="BH125" s="4127"/>
      <c r="BI125" s="4121"/>
      <c r="BJ125" s="148"/>
      <c r="BK125" s="1121"/>
      <c r="BL125" s="148"/>
      <c r="BM125" s="1121"/>
      <c r="BN125" s="148"/>
      <c r="BO125" s="1121"/>
      <c r="BP125" s="148"/>
      <c r="BQ125" s="1121"/>
      <c r="BR125" s="148"/>
      <c r="BS125" s="1121"/>
      <c r="BT125" s="148"/>
      <c r="BU125" s="1121"/>
      <c r="BV125" s="148"/>
      <c r="BW125" s="1122"/>
    </row>
    <row r="126" spans="1:75" s="47" customFormat="1" ht="56.25">
      <c r="A126" s="442" t="s">
        <v>1368</v>
      </c>
      <c r="B126" s="510" t="s">
        <v>1379</v>
      </c>
      <c r="C126" s="511" t="s">
        <v>2570</v>
      </c>
      <c r="D126" s="462" t="s">
        <v>233</v>
      </c>
      <c r="E126" s="461" t="s">
        <v>1362</v>
      </c>
      <c r="F126" s="406" t="s">
        <v>1382</v>
      </c>
      <c r="G126" s="461" t="s">
        <v>1381</v>
      </c>
      <c r="H126" s="406" t="s">
        <v>1001</v>
      </c>
      <c r="I126" s="461" t="s">
        <v>1257</v>
      </c>
      <c r="J126" s="407" t="s">
        <v>1366</v>
      </c>
      <c r="K126" s="396">
        <v>2871</v>
      </c>
      <c r="L126" s="397">
        <v>41426</v>
      </c>
      <c r="M126" s="392">
        <v>29421</v>
      </c>
      <c r="N126" s="393">
        <v>41426</v>
      </c>
      <c r="O126" s="396"/>
      <c r="P126" s="415"/>
      <c r="Q126" s="396"/>
      <c r="R126" s="406"/>
      <c r="S126" s="948"/>
      <c r="T126" s="949" t="s">
        <v>3100</v>
      </c>
      <c r="U126" s="948"/>
      <c r="V126" s="949" t="s">
        <v>3101</v>
      </c>
      <c r="W126" s="396"/>
      <c r="X126" s="406"/>
      <c r="Y126" s="396"/>
      <c r="Z126" s="406"/>
      <c r="AA126" s="396"/>
      <c r="AB126" s="407"/>
      <c r="AC126" s="512">
        <f t="shared" si="7"/>
        <v>32292</v>
      </c>
      <c r="AD126" s="513" t="s">
        <v>1376</v>
      </c>
      <c r="AE126" s="602" t="s">
        <v>1377</v>
      </c>
      <c r="AF126" s="629" t="s">
        <v>2306</v>
      </c>
      <c r="AG126" s="524" t="s">
        <v>3097</v>
      </c>
      <c r="AH126" s="525">
        <v>42184</v>
      </c>
      <c r="AI126" s="526">
        <v>1167484</v>
      </c>
      <c r="AJ126" s="403">
        <v>2988</v>
      </c>
      <c r="AK126" s="404">
        <v>42064</v>
      </c>
      <c r="AL126" s="416">
        <v>30627</v>
      </c>
      <c r="AM126" s="404">
        <v>42064</v>
      </c>
      <c r="AN126" s="405"/>
      <c r="AO126" s="408"/>
      <c r="AP126" s="405"/>
      <c r="AQ126" s="408"/>
      <c r="AR126" s="935"/>
      <c r="AS126" s="936"/>
      <c r="AT126" s="935"/>
      <c r="AU126" s="936"/>
      <c r="AV126" s="405"/>
      <c r="AW126" s="408"/>
      <c r="AX126" s="405"/>
      <c r="AY126" s="408"/>
      <c r="AZ126" s="405"/>
      <c r="BA126" s="409"/>
      <c r="BB126" s="1241">
        <f t="shared" si="6"/>
        <v>33615</v>
      </c>
      <c r="BC126" s="4023"/>
      <c r="BD126" s="697"/>
      <c r="BE126" s="217"/>
      <c r="BF126" s="217"/>
      <c r="BG126" s="4131"/>
      <c r="BH126" s="4127"/>
      <c r="BI126" s="4121"/>
      <c r="BJ126" s="148"/>
      <c r="BK126" s="1121"/>
      <c r="BL126" s="148"/>
      <c r="BM126" s="1121"/>
      <c r="BN126" s="148"/>
      <c r="BO126" s="1121"/>
      <c r="BP126" s="148"/>
      <c r="BQ126" s="1121"/>
      <c r="BR126" s="148"/>
      <c r="BS126" s="1121"/>
      <c r="BT126" s="148"/>
      <c r="BU126" s="1121"/>
      <c r="BV126" s="148"/>
      <c r="BW126" s="1122"/>
    </row>
    <row r="127" spans="1:75" s="47" customFormat="1" ht="56.25">
      <c r="A127" s="442" t="s">
        <v>1368</v>
      </c>
      <c r="B127" s="510" t="s">
        <v>1385</v>
      </c>
      <c r="C127" s="511" t="s">
        <v>2571</v>
      </c>
      <c r="D127" s="462" t="s">
        <v>233</v>
      </c>
      <c r="E127" s="461" t="s">
        <v>1362</v>
      </c>
      <c r="F127" s="406" t="s">
        <v>1382</v>
      </c>
      <c r="G127" s="461" t="s">
        <v>1381</v>
      </c>
      <c r="H127" s="406" t="s">
        <v>1001</v>
      </c>
      <c r="I127" s="461" t="s">
        <v>1257</v>
      </c>
      <c r="J127" s="407" t="s">
        <v>1371</v>
      </c>
      <c r="K127" s="396">
        <v>3509</v>
      </c>
      <c r="L127" s="397">
        <v>41426</v>
      </c>
      <c r="M127" s="392">
        <v>35959</v>
      </c>
      <c r="N127" s="393">
        <v>41426</v>
      </c>
      <c r="O127" s="396"/>
      <c r="P127" s="415"/>
      <c r="Q127" s="396"/>
      <c r="R127" s="406"/>
      <c r="S127" s="948"/>
      <c r="T127" s="949" t="s">
        <v>3102</v>
      </c>
      <c r="U127" s="948"/>
      <c r="V127" s="949" t="s">
        <v>3103</v>
      </c>
      <c r="W127" s="396"/>
      <c r="X127" s="406"/>
      <c r="Y127" s="396"/>
      <c r="Z127" s="406"/>
      <c r="AA127" s="396"/>
      <c r="AB127" s="407"/>
      <c r="AC127" s="512">
        <f t="shared" si="7"/>
        <v>39468</v>
      </c>
      <c r="AD127" s="513" t="s">
        <v>1376</v>
      </c>
      <c r="AE127" s="602" t="s">
        <v>1377</v>
      </c>
      <c r="AF127" s="629" t="s">
        <v>2306</v>
      </c>
      <c r="AG127" s="524" t="s">
        <v>3098</v>
      </c>
      <c r="AH127" s="525">
        <v>42181</v>
      </c>
      <c r="AI127" s="526">
        <v>1167484</v>
      </c>
      <c r="AJ127" s="403">
        <v>3653</v>
      </c>
      <c r="AK127" s="404">
        <v>42064</v>
      </c>
      <c r="AL127" s="416">
        <v>37432</v>
      </c>
      <c r="AM127" s="404">
        <v>42064</v>
      </c>
      <c r="AN127" s="405"/>
      <c r="AO127" s="408"/>
      <c r="AP127" s="405"/>
      <c r="AQ127" s="408"/>
      <c r="AR127" s="935"/>
      <c r="AS127" s="936"/>
      <c r="AT127" s="935"/>
      <c r="AU127" s="936"/>
      <c r="AV127" s="405"/>
      <c r="AW127" s="408"/>
      <c r="AX127" s="405"/>
      <c r="AY127" s="408"/>
      <c r="AZ127" s="405"/>
      <c r="BA127" s="409"/>
      <c r="BB127" s="1241">
        <f t="shared" si="6"/>
        <v>41085</v>
      </c>
      <c r="BC127" s="4023"/>
      <c r="BD127" s="697"/>
      <c r="BE127" s="217"/>
      <c r="BF127" s="217"/>
      <c r="BG127" s="4131"/>
      <c r="BH127" s="4127"/>
      <c r="BI127" s="4121"/>
      <c r="BJ127" s="148"/>
      <c r="BK127" s="1121"/>
      <c r="BL127" s="148"/>
      <c r="BM127" s="1121"/>
      <c r="BN127" s="148"/>
      <c r="BO127" s="1121"/>
      <c r="BP127" s="148"/>
      <c r="BQ127" s="1121"/>
      <c r="BR127" s="148"/>
      <c r="BS127" s="1121"/>
      <c r="BT127" s="148"/>
      <c r="BU127" s="1121"/>
      <c r="BV127" s="148"/>
      <c r="BW127" s="1122"/>
    </row>
    <row r="128" spans="1:75" s="47" customFormat="1" ht="56.25">
      <c r="A128" s="442" t="s">
        <v>1368</v>
      </c>
      <c r="B128" s="510" t="s">
        <v>1386</v>
      </c>
      <c r="C128" s="511" t="s">
        <v>2572</v>
      </c>
      <c r="D128" s="462" t="s">
        <v>233</v>
      </c>
      <c r="E128" s="461" t="s">
        <v>1362</v>
      </c>
      <c r="F128" s="406" t="s">
        <v>1382</v>
      </c>
      <c r="G128" s="461" t="s">
        <v>1381</v>
      </c>
      <c r="H128" s="406" t="s">
        <v>1001</v>
      </c>
      <c r="I128" s="461" t="s">
        <v>1257</v>
      </c>
      <c r="J128" s="407" t="s">
        <v>1372</v>
      </c>
      <c r="K128" s="396">
        <v>3509</v>
      </c>
      <c r="L128" s="397">
        <v>41426</v>
      </c>
      <c r="M128" s="392">
        <v>35959</v>
      </c>
      <c r="N128" s="393">
        <v>41426</v>
      </c>
      <c r="O128" s="396"/>
      <c r="P128" s="415"/>
      <c r="Q128" s="396"/>
      <c r="R128" s="406"/>
      <c r="S128" s="948"/>
      <c r="T128" s="949" t="s">
        <v>3102</v>
      </c>
      <c r="U128" s="948"/>
      <c r="V128" s="949" t="s">
        <v>3103</v>
      </c>
      <c r="W128" s="396"/>
      <c r="X128" s="406"/>
      <c r="Y128" s="396"/>
      <c r="Z128" s="406"/>
      <c r="AA128" s="396"/>
      <c r="AB128" s="407"/>
      <c r="AC128" s="512">
        <f t="shared" si="7"/>
        <v>39468</v>
      </c>
      <c r="AD128" s="513" t="s">
        <v>1376</v>
      </c>
      <c r="AE128" s="602" t="s">
        <v>1377</v>
      </c>
      <c r="AF128" s="629" t="s">
        <v>2306</v>
      </c>
      <c r="AG128" s="524" t="s">
        <v>3099</v>
      </c>
      <c r="AH128" s="525">
        <v>42181</v>
      </c>
      <c r="AI128" s="526">
        <v>1167484</v>
      </c>
      <c r="AJ128" s="403">
        <v>3653</v>
      </c>
      <c r="AK128" s="404">
        <v>42064</v>
      </c>
      <c r="AL128" s="416">
        <v>37432</v>
      </c>
      <c r="AM128" s="404">
        <v>42064</v>
      </c>
      <c r="AN128" s="405"/>
      <c r="AO128" s="408"/>
      <c r="AP128" s="405"/>
      <c r="AQ128" s="408"/>
      <c r="AR128" s="935"/>
      <c r="AS128" s="936"/>
      <c r="AT128" s="935"/>
      <c r="AU128" s="936"/>
      <c r="AV128" s="405"/>
      <c r="AW128" s="408"/>
      <c r="AX128" s="405"/>
      <c r="AY128" s="408"/>
      <c r="AZ128" s="405"/>
      <c r="BA128" s="409"/>
      <c r="BB128" s="1241">
        <f t="shared" si="6"/>
        <v>41085</v>
      </c>
      <c r="BC128" s="4023"/>
      <c r="BD128" s="697"/>
      <c r="BE128" s="217"/>
      <c r="BF128" s="217"/>
      <c r="BG128" s="4131"/>
      <c r="BH128" s="4127"/>
      <c r="BI128" s="4121"/>
      <c r="BJ128" s="148"/>
      <c r="BK128" s="1121"/>
      <c r="BL128" s="148"/>
      <c r="BM128" s="1121"/>
      <c r="BN128" s="148"/>
      <c r="BO128" s="1121"/>
      <c r="BP128" s="148"/>
      <c r="BQ128" s="1121"/>
      <c r="BR128" s="148"/>
      <c r="BS128" s="1121"/>
      <c r="BT128" s="148"/>
      <c r="BU128" s="1121"/>
      <c r="BV128" s="148"/>
      <c r="BW128" s="1122"/>
    </row>
    <row r="129" spans="1:75" ht="70.5">
      <c r="A129" s="442" t="s">
        <v>3108</v>
      </c>
      <c r="B129" s="510" t="s">
        <v>2741</v>
      </c>
      <c r="C129" s="511" t="s">
        <v>2737</v>
      </c>
      <c r="D129" s="462" t="s">
        <v>788</v>
      </c>
      <c r="E129" s="461" t="s">
        <v>2739</v>
      </c>
      <c r="F129" s="406" t="s">
        <v>980</v>
      </c>
      <c r="G129" s="461" t="s">
        <v>2725</v>
      </c>
      <c r="H129" s="406" t="s">
        <v>2726</v>
      </c>
      <c r="I129" s="461" t="s">
        <v>394</v>
      </c>
      <c r="J129" s="407" t="s">
        <v>8155</v>
      </c>
      <c r="K129" s="396"/>
      <c r="L129" s="397"/>
      <c r="M129" s="392"/>
      <c r="N129" s="393"/>
      <c r="O129" s="396"/>
      <c r="P129" s="415"/>
      <c r="Q129" s="396"/>
      <c r="R129" s="406"/>
      <c r="S129" s="948"/>
      <c r="T129" s="949"/>
      <c r="U129" s="948"/>
      <c r="V129" s="963"/>
      <c r="W129" s="396">
        <v>2605</v>
      </c>
      <c r="X129" s="397" t="s">
        <v>8148</v>
      </c>
      <c r="Y129" s="396">
        <v>1277</v>
      </c>
      <c r="Z129" s="397">
        <v>41883</v>
      </c>
      <c r="AA129" s="396"/>
      <c r="AB129" s="407"/>
      <c r="AC129" s="512">
        <f t="shared" si="7"/>
        <v>3882</v>
      </c>
      <c r="AD129" s="513" t="s">
        <v>465</v>
      </c>
      <c r="AE129" s="464">
        <v>39834</v>
      </c>
      <c r="AF129" s="465">
        <v>41294</v>
      </c>
      <c r="AG129" s="524" t="s">
        <v>3109</v>
      </c>
      <c r="AH129" s="515">
        <v>42184</v>
      </c>
      <c r="AI129" s="516">
        <v>1167477</v>
      </c>
      <c r="AJ129" s="439"/>
      <c r="AK129" s="466"/>
      <c r="AL129" s="445"/>
      <c r="AM129" s="466"/>
      <c r="AN129" s="441"/>
      <c r="AO129" s="466"/>
      <c r="AP129" s="441"/>
      <c r="AQ129" s="466"/>
      <c r="AR129" s="982"/>
      <c r="AS129" s="984"/>
      <c r="AT129" s="982"/>
      <c r="AU129" s="984"/>
      <c r="AV129" s="441">
        <v>2610</v>
      </c>
      <c r="AW129" s="440">
        <v>42064</v>
      </c>
      <c r="AX129" s="441">
        <v>1279</v>
      </c>
      <c r="AY129" s="440">
        <v>42064</v>
      </c>
      <c r="AZ129" s="441"/>
      <c r="BA129" s="467"/>
      <c r="BB129" s="1241">
        <f t="shared" si="6"/>
        <v>3889</v>
      </c>
      <c r="BC129" s="4024"/>
      <c r="BD129" s="697"/>
      <c r="BE129" s="217"/>
      <c r="BF129" s="217"/>
      <c r="BG129" s="4131"/>
      <c r="BH129" s="4127"/>
      <c r="BI129" s="4121"/>
      <c r="BJ129" s="148"/>
      <c r="BK129" s="1121"/>
      <c r="BL129" s="148"/>
      <c r="BM129" s="1121"/>
      <c r="BN129" s="148"/>
      <c r="BO129" s="1121"/>
      <c r="BP129" s="148"/>
      <c r="BQ129" s="1121"/>
      <c r="BR129" s="148"/>
      <c r="BS129" s="1121"/>
      <c r="BT129" s="148"/>
      <c r="BU129" s="1121"/>
      <c r="BV129" s="148"/>
      <c r="BW129" s="1122"/>
    </row>
    <row r="130" spans="1:75" ht="180.75" thickBot="1">
      <c r="A130" s="470" t="s">
        <v>3104</v>
      </c>
      <c r="B130" s="651" t="s">
        <v>641</v>
      </c>
      <c r="C130" s="652" t="s">
        <v>2876</v>
      </c>
      <c r="D130" s="470" t="s">
        <v>1330</v>
      </c>
      <c r="E130" s="468" t="s">
        <v>277</v>
      </c>
      <c r="F130" s="469" t="s">
        <v>1078</v>
      </c>
      <c r="G130" s="468" t="s">
        <v>1079</v>
      </c>
      <c r="H130" s="469" t="s">
        <v>339</v>
      </c>
      <c r="I130" s="468" t="s">
        <v>1168</v>
      </c>
      <c r="J130" s="471" t="s">
        <v>536</v>
      </c>
      <c r="K130" s="473"/>
      <c r="L130" s="472"/>
      <c r="M130" s="1253">
        <f>815+657+664+633+671-815-657-664-633</f>
        <v>671</v>
      </c>
      <c r="N130" s="654" t="s">
        <v>2751</v>
      </c>
      <c r="O130" s="473"/>
      <c r="P130" s="474"/>
      <c r="Q130" s="473"/>
      <c r="R130" s="469"/>
      <c r="S130" s="957"/>
      <c r="T130" s="968"/>
      <c r="U130" s="957"/>
      <c r="V130" s="969"/>
      <c r="W130" s="473"/>
      <c r="X130" s="469"/>
      <c r="Y130" s="473"/>
      <c r="Z130" s="469"/>
      <c r="AA130" s="473"/>
      <c r="AB130" s="471"/>
      <c r="AC130" s="655">
        <f t="shared" si="7"/>
        <v>671</v>
      </c>
      <c r="AD130" s="1254" t="s">
        <v>269</v>
      </c>
      <c r="AE130" s="476">
        <v>40312</v>
      </c>
      <c r="AF130" s="477">
        <v>41043</v>
      </c>
      <c r="AG130" s="1255" t="s">
        <v>3105</v>
      </c>
      <c r="AH130" s="657" t="s">
        <v>3106</v>
      </c>
      <c r="AI130" s="658" t="s">
        <v>3107</v>
      </c>
      <c r="AJ130" s="880"/>
      <c r="AK130" s="479"/>
      <c r="AL130" s="1256">
        <v>671</v>
      </c>
      <c r="AM130" s="1257" t="s">
        <v>2759</v>
      </c>
      <c r="AN130" s="478"/>
      <c r="AO130" s="479"/>
      <c r="AP130" s="478"/>
      <c r="AQ130" s="479"/>
      <c r="AR130" s="987"/>
      <c r="AS130" s="1002"/>
      <c r="AT130" s="987"/>
      <c r="AU130" s="1002"/>
      <c r="AV130" s="478"/>
      <c r="AW130" s="479"/>
      <c r="AX130" s="478"/>
      <c r="AY130" s="479"/>
      <c r="AZ130" s="478"/>
      <c r="BA130" s="480"/>
      <c r="BB130" s="659">
        <f t="shared" si="6"/>
        <v>671</v>
      </c>
      <c r="BC130" s="754" t="s">
        <v>3078</v>
      </c>
      <c r="BD130" s="741">
        <f>SUM(BB124:BB130)</f>
        <v>129321</v>
      </c>
      <c r="BE130" s="742">
        <f>BD130-BF130</f>
        <v>129321</v>
      </c>
      <c r="BF130" s="742">
        <f>SUM(AR124:AR130)+SUM(AT124:AT130)</f>
        <v>0</v>
      </c>
      <c r="BG130" s="4569">
        <f>SUM(BE57:BE130)</f>
        <v>1187941</v>
      </c>
      <c r="BH130" s="4570">
        <f>SUM(BH57:BH129)</f>
        <v>0</v>
      </c>
      <c r="BI130" s="4570">
        <f>SUM(BI57:BI129)</f>
        <v>0</v>
      </c>
      <c r="BJ130" s="148"/>
      <c r="BK130" s="1121"/>
      <c r="BL130" s="148"/>
      <c r="BM130" s="1121"/>
      <c r="BN130" s="148"/>
      <c r="BO130" s="1121"/>
      <c r="BP130" s="148"/>
      <c r="BQ130" s="1121"/>
      <c r="BR130" s="148"/>
      <c r="BS130" s="1121"/>
      <c r="BT130" s="148"/>
      <c r="BU130" s="1121"/>
      <c r="BV130" s="148"/>
      <c r="BW130" s="1122"/>
    </row>
    <row r="131" spans="1:75" ht="56.25">
      <c r="A131" s="3020"/>
      <c r="B131" s="368" t="s">
        <v>175</v>
      </c>
      <c r="C131" s="215" t="s">
        <v>3208</v>
      </c>
      <c r="D131" s="350" t="s">
        <v>3199</v>
      </c>
      <c r="E131" s="354" t="s">
        <v>348</v>
      </c>
      <c r="F131" s="353" t="s">
        <v>239</v>
      </c>
      <c r="G131" s="354" t="s">
        <v>347</v>
      </c>
      <c r="H131" s="353" t="s">
        <v>346</v>
      </c>
      <c r="I131" s="354" t="s">
        <v>1275</v>
      </c>
      <c r="J131" s="355" t="s">
        <v>1276</v>
      </c>
      <c r="K131" s="370"/>
      <c r="L131" s="357"/>
      <c r="M131" s="371"/>
      <c r="N131" s="372"/>
      <c r="O131" s="370"/>
      <c r="P131" s="373"/>
      <c r="Q131" s="370">
        <v>827</v>
      </c>
      <c r="R131" s="357">
        <v>39965</v>
      </c>
      <c r="S131" s="948"/>
      <c r="T131" s="951"/>
      <c r="U131" s="948"/>
      <c r="V131" s="952"/>
      <c r="W131" s="370"/>
      <c r="X131" s="353"/>
      <c r="Y131" s="370"/>
      <c r="Z131" s="394" t="s">
        <v>3209</v>
      </c>
      <c r="AA131" s="370"/>
      <c r="AB131" s="355"/>
      <c r="AC131" s="358">
        <f t="shared" si="7"/>
        <v>827</v>
      </c>
      <c r="AD131" s="768" t="s">
        <v>465</v>
      </c>
      <c r="AE131" s="457" t="s">
        <v>3292</v>
      </c>
      <c r="AF131" s="458" t="s">
        <v>2192</v>
      </c>
      <c r="AG131" s="377" t="s">
        <v>1061</v>
      </c>
      <c r="AH131" s="378">
        <v>42226</v>
      </c>
      <c r="AI131" s="379">
        <v>1169957</v>
      </c>
      <c r="AJ131" s="380"/>
      <c r="AK131" s="381"/>
      <c r="AL131" s="382"/>
      <c r="AM131" s="381"/>
      <c r="AN131" s="383"/>
      <c r="AO131" s="381"/>
      <c r="AP131" s="383">
        <v>956</v>
      </c>
      <c r="AQ131" s="893">
        <v>42156</v>
      </c>
      <c r="AR131" s="982"/>
      <c r="AS131" s="984"/>
      <c r="AT131" s="982"/>
      <c r="AU131" s="984"/>
      <c r="AV131" s="383"/>
      <c r="AW131" s="381"/>
      <c r="AX131" s="383"/>
      <c r="AY131" s="381"/>
      <c r="AZ131" s="383"/>
      <c r="BA131" s="384"/>
      <c r="BB131" s="367">
        <f t="shared" si="6"/>
        <v>956</v>
      </c>
      <c r="BC131" s="167"/>
    </row>
    <row r="132" spans="1:75" ht="68.25" thickBot="1">
      <c r="A132" s="1349" t="s">
        <v>3278</v>
      </c>
      <c r="B132" s="527" t="s">
        <v>175</v>
      </c>
      <c r="C132" s="1350" t="s">
        <v>431</v>
      </c>
      <c r="D132" s="1351" t="s">
        <v>788</v>
      </c>
      <c r="E132" s="530" t="s">
        <v>2238</v>
      </c>
      <c r="F132" s="531" t="s">
        <v>2239</v>
      </c>
      <c r="G132" s="530" t="s">
        <v>2241</v>
      </c>
      <c r="H132" s="531" t="s">
        <v>2240</v>
      </c>
      <c r="I132" s="530" t="s">
        <v>2244</v>
      </c>
      <c r="J132" s="532" t="s">
        <v>2243</v>
      </c>
      <c r="K132" s="1077">
        <v>45</v>
      </c>
      <c r="L132" s="1082">
        <v>40603</v>
      </c>
      <c r="M132" s="1079"/>
      <c r="N132" s="1080"/>
      <c r="O132" s="1077"/>
      <c r="P132" s="1081"/>
      <c r="Q132" s="1077">
        <v>44</v>
      </c>
      <c r="R132" s="1082">
        <v>40603</v>
      </c>
      <c r="S132" s="1059"/>
      <c r="T132" s="1083"/>
      <c r="U132" s="1059"/>
      <c r="V132" s="1084"/>
      <c r="W132" s="1077"/>
      <c r="X132" s="1078"/>
      <c r="Y132" s="1077">
        <v>119</v>
      </c>
      <c r="Z132" s="1082">
        <v>40603</v>
      </c>
      <c r="AA132" s="1077"/>
      <c r="AB132" s="1085"/>
      <c r="AC132" s="729">
        <f t="shared" si="7"/>
        <v>208</v>
      </c>
      <c r="AD132" s="818" t="s">
        <v>439</v>
      </c>
      <c r="AE132" s="819" t="s">
        <v>2242</v>
      </c>
      <c r="AF132" s="1458">
        <v>42165</v>
      </c>
      <c r="AG132" s="537" t="s">
        <v>2977</v>
      </c>
      <c r="AH132" s="538">
        <v>42233</v>
      </c>
      <c r="AI132" s="539">
        <v>1170946</v>
      </c>
      <c r="AJ132" s="540">
        <v>49</v>
      </c>
      <c r="AK132" s="897">
        <v>42156</v>
      </c>
      <c r="AL132" s="542"/>
      <c r="AM132" s="541"/>
      <c r="AN132" s="543"/>
      <c r="AO132" s="541"/>
      <c r="AP132" s="543">
        <v>48</v>
      </c>
      <c r="AQ132" s="897">
        <v>42156</v>
      </c>
      <c r="AR132" s="987"/>
      <c r="AS132" s="1002"/>
      <c r="AT132" s="987"/>
      <c r="AU132" s="1002"/>
      <c r="AV132" s="543"/>
      <c r="AW132" s="541"/>
      <c r="AX132" s="543">
        <v>130</v>
      </c>
      <c r="AY132" s="897">
        <v>42156</v>
      </c>
      <c r="AZ132" s="543"/>
      <c r="BA132" s="544"/>
      <c r="BB132" s="545">
        <f t="shared" si="6"/>
        <v>227</v>
      </c>
      <c r="BC132" s="755" t="s">
        <v>3210</v>
      </c>
      <c r="BD132" s="756">
        <f>SUM(BB131:BB132)</f>
        <v>1183</v>
      </c>
      <c r="BE132" s="757">
        <f>BD132-BF132</f>
        <v>1183</v>
      </c>
      <c r="BF132" s="757">
        <f>SUM(AR131)+SUM(AT131)</f>
        <v>0</v>
      </c>
      <c r="BG132" s="4131"/>
      <c r="BH132" s="4127"/>
      <c r="BI132" s="4121"/>
      <c r="BJ132" s="148"/>
      <c r="BK132" s="1121"/>
      <c r="BL132" s="148"/>
      <c r="BM132" s="1121"/>
      <c r="BN132" s="148"/>
      <c r="BO132" s="1121"/>
      <c r="BP132" s="148"/>
      <c r="BQ132" s="1121"/>
      <c r="BR132" s="148"/>
      <c r="BS132" s="1121"/>
      <c r="BT132" s="148"/>
      <c r="BU132" s="1121"/>
      <c r="BV132" s="148"/>
      <c r="BW132" s="1122"/>
    </row>
    <row r="133" spans="1:75" ht="56.25">
      <c r="A133" s="1521" t="s">
        <v>3820</v>
      </c>
      <c r="B133" s="1363" t="s">
        <v>3372</v>
      </c>
      <c r="C133" s="1481" t="s">
        <v>2635</v>
      </c>
      <c r="D133" s="1362" t="s">
        <v>788</v>
      </c>
      <c r="E133" s="1482" t="s">
        <v>1119</v>
      </c>
      <c r="F133" s="781" t="s">
        <v>1120</v>
      </c>
      <c r="G133" s="1482" t="s">
        <v>499</v>
      </c>
      <c r="H133" s="781" t="s">
        <v>1121</v>
      </c>
      <c r="I133" s="1482" t="s">
        <v>1168</v>
      </c>
      <c r="J133" s="1367" t="s">
        <v>925</v>
      </c>
      <c r="K133" s="1483">
        <v>1469</v>
      </c>
      <c r="L133" s="1484">
        <v>40238</v>
      </c>
      <c r="M133" s="1485">
        <v>4174</v>
      </c>
      <c r="N133" s="1484">
        <v>40238</v>
      </c>
      <c r="O133" s="1486"/>
      <c r="P133" s="1487" t="s">
        <v>3371</v>
      </c>
      <c r="Q133" s="1483">
        <v>3267</v>
      </c>
      <c r="R133" s="1484">
        <v>40238</v>
      </c>
      <c r="S133" s="948">
        <v>5090</v>
      </c>
      <c r="T133" s="949">
        <v>40238</v>
      </c>
      <c r="U133" s="948">
        <v>4927</v>
      </c>
      <c r="V133" s="963">
        <v>40238</v>
      </c>
      <c r="W133" s="1483"/>
      <c r="X133" s="781"/>
      <c r="Y133" s="1483"/>
      <c r="Z133" s="781"/>
      <c r="AA133" s="1486"/>
      <c r="AB133" s="1478" t="s">
        <v>3370</v>
      </c>
      <c r="AC133" s="1488">
        <f t="shared" si="7"/>
        <v>18927</v>
      </c>
      <c r="AD133" s="1489" t="s">
        <v>211</v>
      </c>
      <c r="AE133" s="1490" t="s">
        <v>2293</v>
      </c>
      <c r="AF133" s="1491" t="s">
        <v>2292</v>
      </c>
      <c r="AG133" s="1492" t="s">
        <v>909</v>
      </c>
      <c r="AH133" s="1493">
        <v>42285</v>
      </c>
      <c r="AI133" s="1494">
        <v>1173146</v>
      </c>
      <c r="AJ133" s="1495">
        <v>1657</v>
      </c>
      <c r="AK133" s="1496">
        <v>42156</v>
      </c>
      <c r="AL133" s="1497">
        <v>4709</v>
      </c>
      <c r="AM133" s="1496">
        <v>42156</v>
      </c>
      <c r="AN133" s="1476"/>
      <c r="AO133" s="1487" t="s">
        <v>3374</v>
      </c>
      <c r="AP133" s="1476">
        <v>3686</v>
      </c>
      <c r="AQ133" s="1496">
        <v>42156</v>
      </c>
      <c r="AR133" s="982"/>
      <c r="AS133" s="984"/>
      <c r="AT133" s="982"/>
      <c r="AU133" s="984"/>
      <c r="AV133" s="1476"/>
      <c r="AW133" s="1477"/>
      <c r="AX133" s="1476"/>
      <c r="AY133" s="1478" t="s">
        <v>3375</v>
      </c>
      <c r="AZ133" s="1476"/>
      <c r="BA133" s="1479"/>
      <c r="BB133" s="1480">
        <f t="shared" si="6"/>
        <v>10052</v>
      </c>
      <c r="BC133" s="4025"/>
      <c r="BD133" s="1304"/>
      <c r="BE133" s="1304"/>
      <c r="BF133" s="1304"/>
    </row>
    <row r="134" spans="1:75" ht="56.25">
      <c r="A134" s="1521" t="s">
        <v>3820</v>
      </c>
      <c r="B134" s="1363" t="s">
        <v>3373</v>
      </c>
      <c r="C134" s="1481" t="s">
        <v>2636</v>
      </c>
      <c r="D134" s="1362" t="s">
        <v>788</v>
      </c>
      <c r="E134" s="1482" t="s">
        <v>1119</v>
      </c>
      <c r="F134" s="781" t="s">
        <v>1120</v>
      </c>
      <c r="G134" s="1482" t="s">
        <v>921</v>
      </c>
      <c r="H134" s="781" t="s">
        <v>922</v>
      </c>
      <c r="I134" s="1482" t="s">
        <v>1168</v>
      </c>
      <c r="J134" s="1367" t="s">
        <v>925</v>
      </c>
      <c r="K134" s="1483">
        <v>1469</v>
      </c>
      <c r="L134" s="1484">
        <v>40238</v>
      </c>
      <c r="M134" s="1485">
        <v>4174</v>
      </c>
      <c r="N134" s="1484">
        <v>40238</v>
      </c>
      <c r="O134" s="1486"/>
      <c r="P134" s="1487" t="s">
        <v>3371</v>
      </c>
      <c r="Q134" s="1483">
        <v>3267</v>
      </c>
      <c r="R134" s="1484">
        <v>40238</v>
      </c>
      <c r="S134" s="948">
        <v>5090</v>
      </c>
      <c r="T134" s="949">
        <v>40238</v>
      </c>
      <c r="U134" s="948">
        <v>4927</v>
      </c>
      <c r="V134" s="963">
        <v>40238</v>
      </c>
      <c r="W134" s="1483"/>
      <c r="X134" s="781"/>
      <c r="Y134" s="1483"/>
      <c r="Z134" s="781"/>
      <c r="AA134" s="1486"/>
      <c r="AB134" s="1478" t="s">
        <v>3370</v>
      </c>
      <c r="AC134" s="1488">
        <f t="shared" si="7"/>
        <v>18927</v>
      </c>
      <c r="AD134" s="1489" t="s">
        <v>211</v>
      </c>
      <c r="AE134" s="1490" t="s">
        <v>2293</v>
      </c>
      <c r="AF134" s="1491" t="s">
        <v>2292</v>
      </c>
      <c r="AG134" s="1492" t="s">
        <v>909</v>
      </c>
      <c r="AH134" s="1493">
        <v>42285</v>
      </c>
      <c r="AI134" s="1494">
        <v>1173147</v>
      </c>
      <c r="AJ134" s="1495">
        <v>1657</v>
      </c>
      <c r="AK134" s="1496">
        <v>42156</v>
      </c>
      <c r="AL134" s="1497">
        <v>4709</v>
      </c>
      <c r="AM134" s="1496">
        <v>42156</v>
      </c>
      <c r="AN134" s="1476"/>
      <c r="AO134" s="1487" t="s">
        <v>3374</v>
      </c>
      <c r="AP134" s="1476">
        <v>3686</v>
      </c>
      <c r="AQ134" s="1496">
        <v>42156</v>
      </c>
      <c r="AR134" s="982"/>
      <c r="AS134" s="984"/>
      <c r="AT134" s="982"/>
      <c r="AU134" s="984"/>
      <c r="AV134" s="1476"/>
      <c r="AW134" s="1477"/>
      <c r="AX134" s="1476"/>
      <c r="AY134" s="1478" t="s">
        <v>3375</v>
      </c>
      <c r="AZ134" s="1476"/>
      <c r="BA134" s="1479"/>
      <c r="BB134" s="1480">
        <f t="shared" si="6"/>
        <v>10052</v>
      </c>
      <c r="BC134" s="4017"/>
    </row>
    <row r="135" spans="1:75" ht="67.5">
      <c r="A135" s="1521" t="s">
        <v>3386</v>
      </c>
      <c r="B135" s="1363" t="s">
        <v>3352</v>
      </c>
      <c r="C135" s="1369" t="s">
        <v>3332</v>
      </c>
      <c r="D135" s="1522" t="s">
        <v>788</v>
      </c>
      <c r="E135" s="1365" t="s">
        <v>1334</v>
      </c>
      <c r="F135" s="1366" t="s">
        <v>303</v>
      </c>
      <c r="G135" s="1365" t="s">
        <v>3333</v>
      </c>
      <c r="H135" s="1366" t="s">
        <v>3334</v>
      </c>
      <c r="I135" s="1365" t="s">
        <v>3337</v>
      </c>
      <c r="J135" s="1367" t="s">
        <v>8156</v>
      </c>
      <c r="K135" s="1523"/>
      <c r="L135" s="1524"/>
      <c r="M135" s="1525"/>
      <c r="N135" s="1526"/>
      <c r="O135" s="1523"/>
      <c r="P135" s="1527"/>
      <c r="Q135" s="1523"/>
      <c r="R135" s="1524"/>
      <c r="S135" s="1027"/>
      <c r="T135" s="1473"/>
      <c r="U135" s="1027"/>
      <c r="V135" s="1474"/>
      <c r="W135" s="1523">
        <v>68187</v>
      </c>
      <c r="X135" s="1366" t="s">
        <v>8149</v>
      </c>
      <c r="Y135" s="1523"/>
      <c r="Z135" s="1524"/>
      <c r="AA135" s="1523"/>
      <c r="AB135" s="1528"/>
      <c r="AC135" s="1488">
        <f t="shared" si="7"/>
        <v>68187</v>
      </c>
      <c r="AD135" s="1446" t="s">
        <v>663</v>
      </c>
      <c r="AE135" s="1529">
        <v>42271</v>
      </c>
      <c r="AF135" s="1530" t="s">
        <v>3338</v>
      </c>
      <c r="AG135" s="1531" t="s">
        <v>1061</v>
      </c>
      <c r="AH135" s="1493">
        <v>42291</v>
      </c>
      <c r="AI135" s="1532">
        <v>1173368</v>
      </c>
      <c r="AJ135" s="1533"/>
      <c r="AK135" s="1534"/>
      <c r="AL135" s="1535"/>
      <c r="AM135" s="1534"/>
      <c r="AN135" s="1536"/>
      <c r="AO135" s="1534"/>
      <c r="AP135" s="1536"/>
      <c r="AQ135" s="1534"/>
      <c r="AR135" s="998"/>
      <c r="AS135" s="1539"/>
      <c r="AT135" s="998"/>
      <c r="AU135" s="1539"/>
      <c r="AV135" s="1536">
        <v>68634</v>
      </c>
      <c r="AW135" s="1537">
        <v>42156</v>
      </c>
      <c r="AX135" s="1536"/>
      <c r="AY135" s="1534"/>
      <c r="AZ135" s="1536"/>
      <c r="BA135" s="1479"/>
      <c r="BB135" s="1480">
        <f t="shared" si="6"/>
        <v>68634</v>
      </c>
      <c r="BC135" s="4017"/>
    </row>
    <row r="136" spans="1:75" ht="135.75" thickBot="1">
      <c r="A136" s="1546" t="s">
        <v>2150</v>
      </c>
      <c r="B136" s="1370" t="s">
        <v>3349</v>
      </c>
      <c r="C136" s="1371" t="s">
        <v>3410</v>
      </c>
      <c r="D136" s="1372" t="s">
        <v>788</v>
      </c>
      <c r="E136" s="1373" t="s">
        <v>2935</v>
      </c>
      <c r="F136" s="1327" t="s">
        <v>2936</v>
      </c>
      <c r="G136" s="1373" t="s">
        <v>958</v>
      </c>
      <c r="H136" s="1327" t="s">
        <v>957</v>
      </c>
      <c r="I136" s="1373" t="s">
        <v>3411</v>
      </c>
      <c r="J136" s="1374" t="s">
        <v>3426</v>
      </c>
      <c r="K136" s="1547">
        <f>33382+45162+58711+30108</f>
        <v>167363</v>
      </c>
      <c r="L136" s="1548" t="s">
        <v>3412</v>
      </c>
      <c r="M136" s="1549"/>
      <c r="N136" s="1550"/>
      <c r="O136" s="1551">
        <f>57267+142653+97991+49632</f>
        <v>347543</v>
      </c>
      <c r="P136" s="1548" t="s">
        <v>3413</v>
      </c>
      <c r="Q136" s="1547">
        <f>72876+95881+128170+65728</f>
        <v>362655</v>
      </c>
      <c r="R136" s="1548" t="s">
        <v>3418</v>
      </c>
      <c r="S136" s="1552">
        <f>185879+161040+322908+165594</f>
        <v>835421</v>
      </c>
      <c r="T136" s="989" t="s">
        <v>3414</v>
      </c>
      <c r="U136" s="1552">
        <f>183787+158522+349644+179305</f>
        <v>871258</v>
      </c>
      <c r="V136" s="989" t="s">
        <v>3415</v>
      </c>
      <c r="W136" s="1551"/>
      <c r="X136" s="1553"/>
      <c r="Y136" s="1547">
        <f>22694+15151+40623+20833</f>
        <v>99301</v>
      </c>
      <c r="Z136" s="1548" t="s">
        <v>3416</v>
      </c>
      <c r="AA136" s="1551">
        <f>14111+24253+24145+12229</f>
        <v>74738</v>
      </c>
      <c r="AB136" s="1548" t="s">
        <v>3417</v>
      </c>
      <c r="AC136" s="1554">
        <f t="shared" si="7"/>
        <v>2758279</v>
      </c>
      <c r="AD136" s="1383" t="s">
        <v>464</v>
      </c>
      <c r="AE136" s="1384" t="s">
        <v>2213</v>
      </c>
      <c r="AF136" s="1385" t="s">
        <v>2214</v>
      </c>
      <c r="AG136" s="1555" t="s">
        <v>3419</v>
      </c>
      <c r="AH136" s="1556">
        <v>42296</v>
      </c>
      <c r="AI136" s="1557">
        <v>1173523</v>
      </c>
      <c r="AJ136" s="1389">
        <v>168461</v>
      </c>
      <c r="AK136" s="1548">
        <v>42156</v>
      </c>
      <c r="AL136" s="1558"/>
      <c r="AM136" s="1548"/>
      <c r="AN136" s="1391"/>
      <c r="AO136" s="1390" t="s">
        <v>3420</v>
      </c>
      <c r="AP136" s="1391">
        <v>365034</v>
      </c>
      <c r="AQ136" s="1548">
        <v>42156</v>
      </c>
      <c r="AR136" s="987"/>
      <c r="AS136" s="989"/>
      <c r="AT136" s="987"/>
      <c r="AU136" s="989"/>
      <c r="AV136" s="1391"/>
      <c r="AW136" s="1390"/>
      <c r="AX136" s="1391">
        <v>99952</v>
      </c>
      <c r="AY136" s="1392">
        <v>42156</v>
      </c>
      <c r="AZ136" s="1391"/>
      <c r="BA136" s="1393" t="s">
        <v>3420</v>
      </c>
      <c r="BB136" s="1394">
        <f t="shared" ref="BB136:BB167" si="8">AJ136+AL136+AN136+AP136+AR136+AT136+AV136+AX136+AZ136</f>
        <v>633447</v>
      </c>
      <c r="BC136" s="3017" t="s">
        <v>3376</v>
      </c>
      <c r="BD136" s="3018">
        <f>SUM(BB133:BB136)</f>
        <v>722185</v>
      </c>
      <c r="BE136" s="2838">
        <f>BD136-BF136</f>
        <v>722185</v>
      </c>
      <c r="BF136" s="2838">
        <f>SUM(AR133:AR136)+SUM(AT133:AT136)</f>
        <v>0</v>
      </c>
    </row>
    <row r="137" spans="1:75" ht="45">
      <c r="A137" s="698"/>
      <c r="B137" s="699" t="s">
        <v>175</v>
      </c>
      <c r="C137" s="700" t="s">
        <v>3480</v>
      </c>
      <c r="D137" s="698" t="s">
        <v>9</v>
      </c>
      <c r="E137" s="701" t="s">
        <v>141</v>
      </c>
      <c r="F137" s="702" t="s">
        <v>103</v>
      </c>
      <c r="G137" s="701" t="s">
        <v>1278</v>
      </c>
      <c r="H137" s="702" t="s">
        <v>26</v>
      </c>
      <c r="I137" s="701" t="s">
        <v>817</v>
      </c>
      <c r="J137" s="703" t="s">
        <v>971</v>
      </c>
      <c r="K137" s="704"/>
      <c r="L137" s="705"/>
      <c r="M137" s="706"/>
      <c r="N137" s="707"/>
      <c r="O137" s="704"/>
      <c r="P137" s="708"/>
      <c r="Q137" s="704"/>
      <c r="R137" s="702" t="s">
        <v>3481</v>
      </c>
      <c r="S137" s="960"/>
      <c r="T137" s="970"/>
      <c r="U137" s="960"/>
      <c r="V137" s="971"/>
      <c r="W137" s="704"/>
      <c r="X137" s="702"/>
      <c r="Y137" s="704">
        <v>2000</v>
      </c>
      <c r="Z137" s="705">
        <v>39508</v>
      </c>
      <c r="AA137" s="704"/>
      <c r="AB137" s="703"/>
      <c r="AC137" s="536">
        <f t="shared" si="7"/>
        <v>2000</v>
      </c>
      <c r="AD137" s="1560" t="s">
        <v>715</v>
      </c>
      <c r="AE137" s="1561" t="s">
        <v>716</v>
      </c>
      <c r="AF137" s="711" t="s">
        <v>1405</v>
      </c>
      <c r="AG137" s="712" t="s">
        <v>3482</v>
      </c>
      <c r="AH137" s="713" t="s">
        <v>3483</v>
      </c>
      <c r="AI137" s="1093">
        <v>1174168</v>
      </c>
      <c r="AJ137" s="772"/>
      <c r="AK137" s="775"/>
      <c r="AL137" s="773"/>
      <c r="AM137" s="775"/>
      <c r="AN137" s="774"/>
      <c r="AO137" s="775"/>
      <c r="AP137" s="774"/>
      <c r="AQ137" s="775"/>
      <c r="AR137" s="996"/>
      <c r="AS137" s="997"/>
      <c r="AT137" s="996"/>
      <c r="AU137" s="997"/>
      <c r="AV137" s="774"/>
      <c r="AW137" s="775"/>
      <c r="AX137" s="774">
        <v>2397</v>
      </c>
      <c r="AY137" s="1559">
        <v>42156</v>
      </c>
      <c r="AZ137" s="774"/>
      <c r="BA137" s="776"/>
      <c r="BB137" s="721">
        <f t="shared" si="8"/>
        <v>2397</v>
      </c>
    </row>
    <row r="138" spans="1:75" ht="68.25" thickBot="1">
      <c r="A138" s="816" t="s">
        <v>3312</v>
      </c>
      <c r="B138" s="527" t="s">
        <v>570</v>
      </c>
      <c r="C138" s="528" t="s">
        <v>3313</v>
      </c>
      <c r="D138" s="529" t="s">
        <v>788</v>
      </c>
      <c r="E138" s="530" t="s">
        <v>571</v>
      </c>
      <c r="F138" s="531" t="s">
        <v>1091</v>
      </c>
      <c r="G138" s="530" t="s">
        <v>1249</v>
      </c>
      <c r="H138" s="531" t="s">
        <v>1250</v>
      </c>
      <c r="I138" s="530" t="s">
        <v>210</v>
      </c>
      <c r="J138" s="532" t="s">
        <v>592</v>
      </c>
      <c r="K138" s="533">
        <v>517</v>
      </c>
      <c r="L138" s="534">
        <v>39783</v>
      </c>
      <c r="M138" s="535">
        <v>551</v>
      </c>
      <c r="N138" s="777">
        <v>39783</v>
      </c>
      <c r="O138" s="533">
        <v>9065</v>
      </c>
      <c r="P138" s="727">
        <v>39783</v>
      </c>
      <c r="Q138" s="533">
        <v>2301</v>
      </c>
      <c r="R138" s="534">
        <v>39783</v>
      </c>
      <c r="S138" s="957">
        <v>2385</v>
      </c>
      <c r="T138" s="958">
        <v>39783</v>
      </c>
      <c r="U138" s="957">
        <v>2922</v>
      </c>
      <c r="V138" s="959">
        <v>39783</v>
      </c>
      <c r="W138" s="533"/>
      <c r="X138" s="531"/>
      <c r="Y138" s="533"/>
      <c r="Z138" s="531"/>
      <c r="AA138" s="533"/>
      <c r="AB138" s="532"/>
      <c r="AC138" s="729">
        <f t="shared" si="7"/>
        <v>17741</v>
      </c>
      <c r="AD138" s="730" t="s">
        <v>3311</v>
      </c>
      <c r="AE138" s="731" t="s">
        <v>1408</v>
      </c>
      <c r="AF138" s="1250" t="s">
        <v>1392</v>
      </c>
      <c r="AG138" s="778" t="s">
        <v>3497</v>
      </c>
      <c r="AH138" s="538">
        <v>42325</v>
      </c>
      <c r="AI138" s="539">
        <v>1174378</v>
      </c>
      <c r="AJ138" s="540">
        <v>606</v>
      </c>
      <c r="AK138" s="897">
        <v>42248</v>
      </c>
      <c r="AL138" s="542">
        <v>646</v>
      </c>
      <c r="AM138" s="897">
        <v>42248</v>
      </c>
      <c r="AN138" s="543">
        <v>10628</v>
      </c>
      <c r="AO138" s="897">
        <v>42248</v>
      </c>
      <c r="AP138" s="543">
        <v>2698</v>
      </c>
      <c r="AQ138" s="897">
        <v>42248</v>
      </c>
      <c r="AR138" s="987"/>
      <c r="AS138" s="1002"/>
      <c r="AT138" s="987"/>
      <c r="AU138" s="1002"/>
      <c r="AV138" s="543"/>
      <c r="AW138" s="541"/>
      <c r="AX138" s="543"/>
      <c r="AY138" s="541"/>
      <c r="AZ138" s="543"/>
      <c r="BA138" s="544"/>
      <c r="BB138" s="545">
        <f t="shared" si="8"/>
        <v>14578</v>
      </c>
      <c r="BC138" s="755" t="s">
        <v>3479</v>
      </c>
      <c r="BD138" s="756">
        <f>SUM(BB137:BB138)</f>
        <v>16975</v>
      </c>
      <c r="BE138" s="757">
        <f>BD138-BF138</f>
        <v>16975</v>
      </c>
      <c r="BF138" s="757">
        <f>SUM(AR137:AR138)+SUM(AT137:AT138)</f>
        <v>0</v>
      </c>
    </row>
    <row r="139" spans="1:75" ht="56.25">
      <c r="A139" s="442" t="s">
        <v>1368</v>
      </c>
      <c r="B139" s="510" t="s">
        <v>1387</v>
      </c>
      <c r="C139" s="511" t="s">
        <v>3569</v>
      </c>
      <c r="D139" s="462" t="s">
        <v>233</v>
      </c>
      <c r="E139" s="461" t="s">
        <v>1362</v>
      </c>
      <c r="F139" s="406" t="s">
        <v>1382</v>
      </c>
      <c r="G139" s="461" t="s">
        <v>1381</v>
      </c>
      <c r="H139" s="406" t="s">
        <v>1001</v>
      </c>
      <c r="I139" s="461" t="s">
        <v>1257</v>
      </c>
      <c r="J139" s="407" t="s">
        <v>1373</v>
      </c>
      <c r="K139" s="396">
        <v>5423</v>
      </c>
      <c r="L139" s="397">
        <v>41426</v>
      </c>
      <c r="M139" s="392">
        <v>55573</v>
      </c>
      <c r="N139" s="393">
        <v>41426</v>
      </c>
      <c r="O139" s="396"/>
      <c r="P139" s="415"/>
      <c r="Q139" s="396"/>
      <c r="R139" s="406"/>
      <c r="S139" s="948">
        <v>74409</v>
      </c>
      <c r="T139" s="949">
        <v>41426</v>
      </c>
      <c r="U139" s="948">
        <v>64668</v>
      </c>
      <c r="V139" s="950">
        <v>41426</v>
      </c>
      <c r="W139" s="396"/>
      <c r="X139" s="406"/>
      <c r="Y139" s="396"/>
      <c r="Z139" s="406"/>
      <c r="AA139" s="396"/>
      <c r="AB139" s="407"/>
      <c r="AC139" s="512">
        <f t="shared" si="7"/>
        <v>200073</v>
      </c>
      <c r="AD139" s="513" t="s">
        <v>1376</v>
      </c>
      <c r="AE139" s="602" t="s">
        <v>1377</v>
      </c>
      <c r="AF139" s="629" t="s">
        <v>2306</v>
      </c>
      <c r="AG139" s="514" t="s">
        <v>1061</v>
      </c>
      <c r="AH139" s="515">
        <v>42340</v>
      </c>
      <c r="AI139" s="516">
        <v>1174836</v>
      </c>
      <c r="AJ139" s="439">
        <v>5719</v>
      </c>
      <c r="AK139" s="440">
        <v>42248</v>
      </c>
      <c r="AL139" s="445">
        <v>58609</v>
      </c>
      <c r="AM139" s="440">
        <v>42248</v>
      </c>
      <c r="AN139" s="441"/>
      <c r="AO139" s="466"/>
      <c r="AP139" s="441"/>
      <c r="AQ139" s="466"/>
      <c r="AR139" s="982"/>
      <c r="AS139" s="984"/>
      <c r="AT139" s="982"/>
      <c r="AU139" s="984"/>
      <c r="AV139" s="441"/>
      <c r="AW139" s="466"/>
      <c r="AX139" s="441"/>
      <c r="AY139" s="466"/>
      <c r="AZ139" s="441"/>
      <c r="BA139" s="467"/>
      <c r="BB139" s="517">
        <f t="shared" si="8"/>
        <v>64328</v>
      </c>
      <c r="BC139" s="216"/>
    </row>
    <row r="140" spans="1:75" ht="56.25">
      <c r="A140" s="442" t="s">
        <v>1368</v>
      </c>
      <c r="B140" s="510" t="s">
        <v>1388</v>
      </c>
      <c r="C140" s="511" t="s">
        <v>3570</v>
      </c>
      <c r="D140" s="462" t="s">
        <v>233</v>
      </c>
      <c r="E140" s="461" t="s">
        <v>1362</v>
      </c>
      <c r="F140" s="406" t="s">
        <v>1382</v>
      </c>
      <c r="G140" s="461" t="s">
        <v>1363</v>
      </c>
      <c r="H140" s="406" t="s">
        <v>1001</v>
      </c>
      <c r="I140" s="461" t="s">
        <v>1257</v>
      </c>
      <c r="J140" s="407" t="s">
        <v>1374</v>
      </c>
      <c r="K140" s="396">
        <v>2552</v>
      </c>
      <c r="L140" s="397">
        <v>41426</v>
      </c>
      <c r="M140" s="392">
        <v>26152</v>
      </c>
      <c r="N140" s="393">
        <v>41426</v>
      </c>
      <c r="O140" s="396"/>
      <c r="P140" s="415"/>
      <c r="Q140" s="396"/>
      <c r="R140" s="406"/>
      <c r="S140" s="948">
        <v>35016</v>
      </c>
      <c r="T140" s="949">
        <v>41426</v>
      </c>
      <c r="U140" s="948">
        <v>30432</v>
      </c>
      <c r="V140" s="950">
        <v>41426</v>
      </c>
      <c r="W140" s="396"/>
      <c r="X140" s="406"/>
      <c r="Y140" s="396"/>
      <c r="Z140" s="406"/>
      <c r="AA140" s="396"/>
      <c r="AB140" s="407"/>
      <c r="AC140" s="512">
        <f t="shared" si="7"/>
        <v>94152</v>
      </c>
      <c r="AD140" s="513" t="s">
        <v>1376</v>
      </c>
      <c r="AE140" s="602" t="s">
        <v>1377</v>
      </c>
      <c r="AF140" s="629" t="s">
        <v>2306</v>
      </c>
      <c r="AG140" s="514" t="s">
        <v>1061</v>
      </c>
      <c r="AH140" s="515">
        <v>42340</v>
      </c>
      <c r="AI140" s="516">
        <v>1174836</v>
      </c>
      <c r="AJ140" s="439">
        <v>2691</v>
      </c>
      <c r="AK140" s="440">
        <v>42248</v>
      </c>
      <c r="AL140" s="445">
        <v>27581</v>
      </c>
      <c r="AM140" s="440">
        <v>42248</v>
      </c>
      <c r="AN140" s="441"/>
      <c r="AO140" s="466"/>
      <c r="AP140" s="441"/>
      <c r="AQ140" s="466"/>
      <c r="AR140" s="982"/>
      <c r="AS140" s="984"/>
      <c r="AT140" s="982"/>
      <c r="AU140" s="984"/>
      <c r="AV140" s="441"/>
      <c r="AW140" s="466"/>
      <c r="AX140" s="441"/>
      <c r="AY140" s="466"/>
      <c r="AZ140" s="441"/>
      <c r="BA140" s="467"/>
      <c r="BB140" s="517">
        <f t="shared" si="8"/>
        <v>30272</v>
      </c>
      <c r="BC140" s="216"/>
    </row>
    <row r="141" spans="1:75" ht="56.25">
      <c r="A141" s="442" t="s">
        <v>1368</v>
      </c>
      <c r="B141" s="510" t="s">
        <v>1389</v>
      </c>
      <c r="C141" s="511" t="s">
        <v>3571</v>
      </c>
      <c r="D141" s="462" t="s">
        <v>233</v>
      </c>
      <c r="E141" s="461" t="s">
        <v>1362</v>
      </c>
      <c r="F141" s="406" t="s">
        <v>1382</v>
      </c>
      <c r="G141" s="461" t="s">
        <v>1363</v>
      </c>
      <c r="H141" s="406" t="s">
        <v>1001</v>
      </c>
      <c r="I141" s="461" t="s">
        <v>1257</v>
      </c>
      <c r="J141" s="407" t="s">
        <v>1375</v>
      </c>
      <c r="K141" s="396">
        <v>3190</v>
      </c>
      <c r="L141" s="397">
        <v>41426</v>
      </c>
      <c r="M141" s="392">
        <v>32690</v>
      </c>
      <c r="N141" s="393">
        <v>41426</v>
      </c>
      <c r="O141" s="396"/>
      <c r="P141" s="415"/>
      <c r="Q141" s="396"/>
      <c r="R141" s="406"/>
      <c r="S141" s="948">
        <v>43770</v>
      </c>
      <c r="T141" s="949">
        <v>41426</v>
      </c>
      <c r="U141" s="948">
        <v>38040</v>
      </c>
      <c r="V141" s="950">
        <v>41426</v>
      </c>
      <c r="W141" s="396"/>
      <c r="X141" s="406"/>
      <c r="Y141" s="396"/>
      <c r="Z141" s="406"/>
      <c r="AA141" s="396"/>
      <c r="AB141" s="407"/>
      <c r="AC141" s="512">
        <f t="shared" si="7"/>
        <v>117690</v>
      </c>
      <c r="AD141" s="513" t="s">
        <v>1384</v>
      </c>
      <c r="AE141" s="602" t="s">
        <v>1377</v>
      </c>
      <c r="AF141" s="629" t="s">
        <v>2306</v>
      </c>
      <c r="AG141" s="514" t="s">
        <v>1061</v>
      </c>
      <c r="AH141" s="515">
        <v>42340</v>
      </c>
      <c r="AI141" s="516">
        <v>1174836</v>
      </c>
      <c r="AJ141" s="439">
        <v>3364</v>
      </c>
      <c r="AK141" s="440">
        <v>42248</v>
      </c>
      <c r="AL141" s="445">
        <v>34476</v>
      </c>
      <c r="AM141" s="440">
        <v>42248</v>
      </c>
      <c r="AN141" s="441"/>
      <c r="AO141" s="466"/>
      <c r="AP141" s="441"/>
      <c r="AQ141" s="466"/>
      <c r="AR141" s="982"/>
      <c r="AS141" s="984"/>
      <c r="AT141" s="982"/>
      <c r="AU141" s="984"/>
      <c r="AV141" s="441"/>
      <c r="AW141" s="466"/>
      <c r="AX141" s="441"/>
      <c r="AY141" s="466"/>
      <c r="AZ141" s="441"/>
      <c r="BA141" s="467"/>
      <c r="BB141" s="517">
        <f t="shared" si="8"/>
        <v>37840</v>
      </c>
      <c r="BC141" s="4017"/>
    </row>
    <row r="142" spans="1:75" ht="45">
      <c r="A142" s="462"/>
      <c r="B142" s="510" t="s">
        <v>1307</v>
      </c>
      <c r="C142" s="511" t="s">
        <v>1263</v>
      </c>
      <c r="D142" s="462" t="s">
        <v>855</v>
      </c>
      <c r="E142" s="461" t="s">
        <v>886</v>
      </c>
      <c r="F142" s="406" t="s">
        <v>710</v>
      </c>
      <c r="G142" s="461" t="s">
        <v>845</v>
      </c>
      <c r="H142" s="406" t="s">
        <v>701</v>
      </c>
      <c r="I142" s="461" t="s">
        <v>702</v>
      </c>
      <c r="J142" s="407" t="s">
        <v>1264</v>
      </c>
      <c r="K142" s="518">
        <v>80</v>
      </c>
      <c r="L142" s="739">
        <v>40603</v>
      </c>
      <c r="M142" s="520">
        <v>22162</v>
      </c>
      <c r="N142" s="740">
        <v>40603</v>
      </c>
      <c r="O142" s="518"/>
      <c r="P142" s="522"/>
      <c r="Q142" s="518">
        <v>79</v>
      </c>
      <c r="R142" s="739">
        <v>40603</v>
      </c>
      <c r="S142" s="964"/>
      <c r="T142" s="1110"/>
      <c r="U142" s="964"/>
      <c r="V142" s="1110"/>
      <c r="W142" s="518"/>
      <c r="X142" s="519"/>
      <c r="Y142" s="518"/>
      <c r="Z142" s="739"/>
      <c r="AA142" s="518"/>
      <c r="AB142" s="523"/>
      <c r="AC142" s="512">
        <f t="shared" si="7"/>
        <v>22321</v>
      </c>
      <c r="AD142" s="513" t="s">
        <v>809</v>
      </c>
      <c r="AE142" s="464">
        <v>40893</v>
      </c>
      <c r="AF142" s="465">
        <v>42354</v>
      </c>
      <c r="AG142" s="514" t="s">
        <v>1061</v>
      </c>
      <c r="AH142" s="515">
        <v>42346</v>
      </c>
      <c r="AI142" s="516">
        <v>1174950</v>
      </c>
      <c r="AJ142" s="439">
        <v>88</v>
      </c>
      <c r="AK142" s="440">
        <v>42248</v>
      </c>
      <c r="AL142" s="445">
        <v>24297</v>
      </c>
      <c r="AM142" s="440">
        <v>42248</v>
      </c>
      <c r="AN142" s="441"/>
      <c r="AO142" s="466"/>
      <c r="AP142" s="441">
        <v>87</v>
      </c>
      <c r="AQ142" s="440">
        <v>42248</v>
      </c>
      <c r="AR142" s="982"/>
      <c r="AS142" s="984"/>
      <c r="AT142" s="982"/>
      <c r="AU142" s="984"/>
      <c r="AV142" s="441"/>
      <c r="AW142" s="466"/>
      <c r="AX142" s="441"/>
      <c r="AY142" s="466"/>
      <c r="AZ142" s="441"/>
      <c r="BA142" s="467"/>
      <c r="BB142" s="517">
        <f t="shared" si="8"/>
        <v>24472</v>
      </c>
      <c r="BC142" s="4017"/>
    </row>
    <row r="143" spans="1:75" ht="147" thickBot="1">
      <c r="A143" s="442" t="s">
        <v>3021</v>
      </c>
      <c r="B143" s="1600" t="s">
        <v>3447</v>
      </c>
      <c r="C143" s="511" t="s">
        <v>3449</v>
      </c>
      <c r="D143" s="462" t="s">
        <v>788</v>
      </c>
      <c r="E143" s="461" t="s">
        <v>3015</v>
      </c>
      <c r="F143" s="406" t="s">
        <v>685</v>
      </c>
      <c r="G143" s="461" t="s">
        <v>390</v>
      </c>
      <c r="H143" s="406" t="s">
        <v>588</v>
      </c>
      <c r="I143" s="1373" t="s">
        <v>8814</v>
      </c>
      <c r="J143" s="1374" t="s">
        <v>8815</v>
      </c>
      <c r="K143" s="396"/>
      <c r="L143" s="397"/>
      <c r="M143" s="392"/>
      <c r="N143" s="393"/>
      <c r="O143" s="396"/>
      <c r="P143" s="415"/>
      <c r="Q143" s="396"/>
      <c r="R143" s="406"/>
      <c r="S143" s="948"/>
      <c r="T143" s="951"/>
      <c r="U143" s="948"/>
      <c r="V143" s="952"/>
      <c r="W143" s="396"/>
      <c r="X143" s="406"/>
      <c r="Y143" s="396">
        <v>37500</v>
      </c>
      <c r="Z143" s="1601" t="s">
        <v>3017</v>
      </c>
      <c r="AA143" s="396"/>
      <c r="AB143" s="407"/>
      <c r="AC143" s="512">
        <f t="shared" si="7"/>
        <v>37500</v>
      </c>
      <c r="AD143" s="601" t="s">
        <v>2891</v>
      </c>
      <c r="AE143" s="602" t="s">
        <v>2890</v>
      </c>
      <c r="AF143" s="465" t="s">
        <v>175</v>
      </c>
      <c r="AG143" s="514" t="s">
        <v>1061</v>
      </c>
      <c r="AH143" s="515">
        <v>42347</v>
      </c>
      <c r="AI143" s="516">
        <v>11749998</v>
      </c>
      <c r="AJ143" s="439"/>
      <c r="AK143" s="466"/>
      <c r="AL143" s="445"/>
      <c r="AM143" s="466"/>
      <c r="AN143" s="441"/>
      <c r="AO143" s="466"/>
      <c r="AP143" s="441"/>
      <c r="AQ143" s="466"/>
      <c r="AR143" s="982"/>
      <c r="AS143" s="984"/>
      <c r="AT143" s="982"/>
      <c r="AU143" s="984"/>
      <c r="AV143" s="441"/>
      <c r="AW143" s="466"/>
      <c r="AX143" s="441">
        <v>37992</v>
      </c>
      <c r="AY143" s="440">
        <v>42248</v>
      </c>
      <c r="AZ143" s="441"/>
      <c r="BA143" s="467"/>
      <c r="BB143" s="517">
        <f t="shared" si="8"/>
        <v>37992</v>
      </c>
      <c r="BC143" s="4017"/>
    </row>
    <row r="144" spans="1:75" s="47" customFormat="1" ht="123.75">
      <c r="A144" s="637" t="s">
        <v>3521</v>
      </c>
      <c r="B144" s="510" t="s">
        <v>3515</v>
      </c>
      <c r="C144" s="511" t="s">
        <v>2629</v>
      </c>
      <c r="D144" s="462" t="s">
        <v>306</v>
      </c>
      <c r="E144" s="461" t="s">
        <v>664</v>
      </c>
      <c r="F144" s="406" t="s">
        <v>138</v>
      </c>
      <c r="G144" s="461" t="s">
        <v>1332</v>
      </c>
      <c r="H144" s="406" t="s">
        <v>981</v>
      </c>
      <c r="I144" s="461" t="s">
        <v>3527</v>
      </c>
      <c r="J144" s="407" t="s">
        <v>3522</v>
      </c>
      <c r="K144" s="396">
        <f>958*23</f>
        <v>22034</v>
      </c>
      <c r="L144" s="397" t="s">
        <v>3166</v>
      </c>
      <c r="M144" s="392"/>
      <c r="N144" s="393"/>
      <c r="O144" s="396"/>
      <c r="P144" s="415"/>
      <c r="Q144" s="396"/>
      <c r="R144" s="406" t="s">
        <v>1413</v>
      </c>
      <c r="S144" s="948">
        <f>3510*23</f>
        <v>80730</v>
      </c>
      <c r="T144" s="949" t="s">
        <v>3180</v>
      </c>
      <c r="U144" s="948">
        <f>3211*23</f>
        <v>73853</v>
      </c>
      <c r="V144" s="963" t="s">
        <v>3171</v>
      </c>
      <c r="W144" s="396"/>
      <c r="X144" s="406"/>
      <c r="Y144" s="396"/>
      <c r="Z144" s="406" t="s">
        <v>3593</v>
      </c>
      <c r="AA144" s="396"/>
      <c r="AB144" s="407"/>
      <c r="AC144" s="512">
        <f t="shared" si="7"/>
        <v>176617</v>
      </c>
      <c r="AD144" s="601" t="s">
        <v>556</v>
      </c>
      <c r="AE144" s="602" t="s">
        <v>557</v>
      </c>
      <c r="AF144" s="629" t="s">
        <v>2307</v>
      </c>
      <c r="AG144" s="524" t="s">
        <v>3595</v>
      </c>
      <c r="AH144" s="525" t="s">
        <v>3596</v>
      </c>
      <c r="AI144" s="526" t="s">
        <v>3597</v>
      </c>
      <c r="AJ144" s="403">
        <f>14467+14467</f>
        <v>28934</v>
      </c>
      <c r="AK144" s="404">
        <v>42248</v>
      </c>
      <c r="AL144" s="416"/>
      <c r="AM144" s="408"/>
      <c r="AN144" s="405"/>
      <c r="AO144" s="408"/>
      <c r="AP144" s="405"/>
      <c r="AQ144" s="408"/>
      <c r="AR144" s="935"/>
      <c r="AS144" s="936"/>
      <c r="AT144" s="935"/>
      <c r="AU144" s="936"/>
      <c r="AV144" s="405"/>
      <c r="AW144" s="408"/>
      <c r="AX144" s="405"/>
      <c r="AY144" s="408"/>
      <c r="AZ144" s="405"/>
      <c r="BA144" s="409"/>
      <c r="BB144" s="517">
        <f t="shared" si="8"/>
        <v>28934</v>
      </c>
      <c r="BC144" s="4020"/>
      <c r="BG144" s="4132"/>
      <c r="BH144" s="4127"/>
      <c r="BI144" s="4122"/>
    </row>
    <row r="145" spans="1:61" s="47" customFormat="1" ht="78.75">
      <c r="A145" s="1606" t="s">
        <v>3023</v>
      </c>
      <c r="B145" s="510" t="s">
        <v>3343</v>
      </c>
      <c r="C145" s="511" t="s">
        <v>3050</v>
      </c>
      <c r="D145" s="462" t="s">
        <v>788</v>
      </c>
      <c r="E145" s="461" t="s">
        <v>95</v>
      </c>
      <c r="F145" s="406" t="s">
        <v>3607</v>
      </c>
      <c r="G145" s="461" t="s">
        <v>773</v>
      </c>
      <c r="H145" s="406" t="s">
        <v>1105</v>
      </c>
      <c r="I145" s="461" t="s">
        <v>263</v>
      </c>
      <c r="J145" s="407" t="s">
        <v>8157</v>
      </c>
      <c r="K145" s="638"/>
      <c r="L145" s="1602" t="s">
        <v>2108</v>
      </c>
      <c r="M145" s="1603"/>
      <c r="N145" s="393" t="s">
        <v>3598</v>
      </c>
      <c r="O145" s="867"/>
      <c r="P145" s="1604" t="s">
        <v>3599</v>
      </c>
      <c r="Q145" s="1603"/>
      <c r="R145" s="397" t="s">
        <v>3600</v>
      </c>
      <c r="S145" s="1107"/>
      <c r="T145" s="963" t="s">
        <v>3601</v>
      </c>
      <c r="U145" s="1107"/>
      <c r="V145" s="963" t="s">
        <v>3602</v>
      </c>
      <c r="W145" s="392">
        <v>85520</v>
      </c>
      <c r="X145" s="1601" t="s">
        <v>8150</v>
      </c>
      <c r="Y145" s="638"/>
      <c r="Z145" s="1602" t="s">
        <v>2109</v>
      </c>
      <c r="AA145" s="396"/>
      <c r="AB145" s="407"/>
      <c r="AC145" s="512">
        <f t="shared" si="7"/>
        <v>85520</v>
      </c>
      <c r="AD145" s="601" t="s">
        <v>3051</v>
      </c>
      <c r="AE145" s="602" t="s">
        <v>3052</v>
      </c>
      <c r="AF145" s="629" t="s">
        <v>3053</v>
      </c>
      <c r="AG145" s="524" t="s">
        <v>1061</v>
      </c>
      <c r="AH145" s="525">
        <v>42355</v>
      </c>
      <c r="AI145" s="526">
        <v>1175224</v>
      </c>
      <c r="AJ145" s="403"/>
      <c r="AK145" s="408"/>
      <c r="AL145" s="416"/>
      <c r="AM145" s="408"/>
      <c r="AN145" s="405"/>
      <c r="AO145" s="408"/>
      <c r="AP145" s="405"/>
      <c r="AQ145" s="408"/>
      <c r="AR145" s="935"/>
      <c r="AS145" s="936"/>
      <c r="AT145" s="935"/>
      <c r="AU145" s="936"/>
      <c r="AV145" s="405">
        <v>86456</v>
      </c>
      <c r="AW145" s="404">
        <v>42248</v>
      </c>
      <c r="AX145" s="405"/>
      <c r="AY145" s="408"/>
      <c r="AZ145" s="405"/>
      <c r="BA145" s="409"/>
      <c r="BB145" s="517">
        <f t="shared" si="8"/>
        <v>86456</v>
      </c>
      <c r="BC145" s="4020"/>
      <c r="BG145" s="4132"/>
      <c r="BH145" s="4127"/>
      <c r="BI145" s="4122"/>
    </row>
    <row r="146" spans="1:61" ht="113.25" thickBot="1">
      <c r="A146" s="470" t="s">
        <v>3573</v>
      </c>
      <c r="B146" s="651" t="s">
        <v>3054</v>
      </c>
      <c r="C146" s="652" t="s">
        <v>3683</v>
      </c>
      <c r="D146" s="1610" t="s">
        <v>9</v>
      </c>
      <c r="E146" s="468" t="s">
        <v>61</v>
      </c>
      <c r="F146" s="1611" t="s">
        <v>591</v>
      </c>
      <c r="G146" s="468" t="s">
        <v>240</v>
      </c>
      <c r="H146" s="1611" t="s">
        <v>3679</v>
      </c>
      <c r="I146" s="468" t="s">
        <v>3685</v>
      </c>
      <c r="J146" s="471" t="s">
        <v>1879</v>
      </c>
      <c r="K146" s="473">
        <v>0</v>
      </c>
      <c r="L146" s="1612">
        <v>39326</v>
      </c>
      <c r="M146" s="1036">
        <v>31445</v>
      </c>
      <c r="N146" s="1613">
        <v>40603</v>
      </c>
      <c r="O146" s="1035"/>
      <c r="P146" s="1614"/>
      <c r="Q146" s="473">
        <v>33845</v>
      </c>
      <c r="R146" s="1612">
        <v>40603</v>
      </c>
      <c r="S146" s="957">
        <v>0</v>
      </c>
      <c r="T146" s="1615">
        <v>40603</v>
      </c>
      <c r="U146" s="957">
        <v>18131</v>
      </c>
      <c r="V146" s="1615">
        <v>40603</v>
      </c>
      <c r="W146" s="1035"/>
      <c r="X146" s="1616"/>
      <c r="Y146" s="1035"/>
      <c r="Z146" s="1616"/>
      <c r="AA146" s="1035"/>
      <c r="AB146" s="1037"/>
      <c r="AC146" s="655">
        <f t="shared" si="7"/>
        <v>83421</v>
      </c>
      <c r="AD146" s="475" t="s">
        <v>937</v>
      </c>
      <c r="AE146" s="1096" t="s">
        <v>3237</v>
      </c>
      <c r="AF146" s="1617" t="s">
        <v>3238</v>
      </c>
      <c r="AG146" s="1038" t="s">
        <v>909</v>
      </c>
      <c r="AH146" s="1039">
        <v>42355</v>
      </c>
      <c r="AI146" s="1618">
        <v>1175254</v>
      </c>
      <c r="AJ146" s="880"/>
      <c r="AK146" s="1619"/>
      <c r="AL146" s="881">
        <v>34475</v>
      </c>
      <c r="AM146" s="1620">
        <v>42248</v>
      </c>
      <c r="AN146" s="478"/>
      <c r="AO146" s="1619"/>
      <c r="AP146" s="478">
        <v>37106</v>
      </c>
      <c r="AQ146" s="1620">
        <v>42248</v>
      </c>
      <c r="AR146" s="987"/>
      <c r="AS146" s="1621"/>
      <c r="AT146" s="987"/>
      <c r="AU146" s="1621"/>
      <c r="AV146" s="478"/>
      <c r="AW146" s="1619"/>
      <c r="AX146" s="478"/>
      <c r="AY146" s="1619"/>
      <c r="AZ146" s="478"/>
      <c r="BA146" s="480"/>
      <c r="BB146" s="659">
        <f t="shared" si="8"/>
        <v>71581</v>
      </c>
      <c r="BC146" s="754" t="s">
        <v>3572</v>
      </c>
      <c r="BD146" s="741">
        <f>SUM(BB139:BB146)</f>
        <v>381875</v>
      </c>
      <c r="BE146" s="742">
        <f>BD146-BF146</f>
        <v>381875</v>
      </c>
      <c r="BF146" s="742">
        <f>SUM(AR139:AR146)+SUM(AT139:AT146)</f>
        <v>0</v>
      </c>
    </row>
    <row r="147" spans="1:61" ht="71.25" thickBot="1">
      <c r="A147" s="1609" t="s">
        <v>2743</v>
      </c>
      <c r="B147" s="699" t="s">
        <v>3450</v>
      </c>
      <c r="C147" s="700" t="s">
        <v>2737</v>
      </c>
      <c r="D147" s="698" t="s">
        <v>788</v>
      </c>
      <c r="E147" s="701" t="s">
        <v>2739</v>
      </c>
      <c r="F147" s="702" t="s">
        <v>1032</v>
      </c>
      <c r="G147" s="701" t="s">
        <v>2727</v>
      </c>
      <c r="H147" s="702" t="s">
        <v>2728</v>
      </c>
      <c r="I147" s="701" t="s">
        <v>394</v>
      </c>
      <c r="J147" s="703" t="s">
        <v>8155</v>
      </c>
      <c r="K147" s="704"/>
      <c r="L147" s="705"/>
      <c r="M147" s="706"/>
      <c r="N147" s="707"/>
      <c r="O147" s="704"/>
      <c r="P147" s="708"/>
      <c r="Q147" s="704"/>
      <c r="R147" s="702"/>
      <c r="S147" s="960"/>
      <c r="T147" s="961"/>
      <c r="U147" s="960"/>
      <c r="V147" s="1075"/>
      <c r="W147" s="704">
        <v>2605</v>
      </c>
      <c r="X147" s="705" t="s">
        <v>8148</v>
      </c>
      <c r="Y147" s="704">
        <v>1277</v>
      </c>
      <c r="Z147" s="705">
        <v>41883</v>
      </c>
      <c r="AA147" s="704"/>
      <c r="AB147" s="703"/>
      <c r="AC147" s="536">
        <f t="shared" si="7"/>
        <v>3882</v>
      </c>
      <c r="AD147" s="1226" t="s">
        <v>465</v>
      </c>
      <c r="AE147" s="710">
        <v>39835</v>
      </c>
      <c r="AF147" s="711">
        <v>41295</v>
      </c>
      <c r="AG147" s="1091" t="s">
        <v>1061</v>
      </c>
      <c r="AH147" s="1092">
        <v>42374</v>
      </c>
      <c r="AI147" s="1093">
        <v>1175518</v>
      </c>
      <c r="AJ147" s="772"/>
      <c r="AK147" s="775"/>
      <c r="AL147" s="773"/>
      <c r="AM147" s="775"/>
      <c r="AN147" s="774"/>
      <c r="AO147" s="775"/>
      <c r="AP147" s="774"/>
      <c r="AQ147" s="775"/>
      <c r="AR147" s="996"/>
      <c r="AS147" s="997"/>
      <c r="AT147" s="996"/>
      <c r="AU147" s="997"/>
      <c r="AV147" s="774">
        <v>2644</v>
      </c>
      <c r="AW147" s="1559">
        <v>42248</v>
      </c>
      <c r="AX147" s="774">
        <v>1296</v>
      </c>
      <c r="AY147" s="1559">
        <v>42248</v>
      </c>
      <c r="AZ147" s="774"/>
      <c r="BA147" s="776"/>
      <c r="BB147" s="721">
        <f t="shared" si="8"/>
        <v>3940</v>
      </c>
      <c r="BC147" s="755" t="s">
        <v>3630</v>
      </c>
      <c r="BD147" s="756">
        <f>SUM(BB147)</f>
        <v>3940</v>
      </c>
      <c r="BE147" s="757">
        <f>BD147-BF147</f>
        <v>3940</v>
      </c>
      <c r="BF147" s="757">
        <f>SUM(AR147)+SUM(AT147)</f>
        <v>0</v>
      </c>
    </row>
    <row r="148" spans="1:61" ht="56.25">
      <c r="A148" s="599" t="s">
        <v>2150</v>
      </c>
      <c r="B148" s="510" t="s">
        <v>3734</v>
      </c>
      <c r="C148" s="511" t="s">
        <v>2889</v>
      </c>
      <c r="D148" s="462" t="s">
        <v>788</v>
      </c>
      <c r="E148" s="461" t="s">
        <v>436</v>
      </c>
      <c r="F148" s="406" t="s">
        <v>697</v>
      </c>
      <c r="G148" s="461" t="s">
        <v>1152</v>
      </c>
      <c r="H148" s="406" t="s">
        <v>180</v>
      </c>
      <c r="I148" s="461" t="s">
        <v>891</v>
      </c>
      <c r="J148" s="407" t="s">
        <v>736</v>
      </c>
      <c r="K148" s="396">
        <v>1425</v>
      </c>
      <c r="L148" s="397">
        <v>39692</v>
      </c>
      <c r="M148" s="392">
        <v>4051</v>
      </c>
      <c r="N148" s="393">
        <v>39692</v>
      </c>
      <c r="O148" s="867"/>
      <c r="P148" s="1718" t="s">
        <v>3735</v>
      </c>
      <c r="Q148" s="396">
        <v>3171</v>
      </c>
      <c r="R148" s="397">
        <v>39692</v>
      </c>
      <c r="S148" s="948">
        <v>4492</v>
      </c>
      <c r="T148" s="949">
        <v>39692</v>
      </c>
      <c r="U148" s="948">
        <v>1907</v>
      </c>
      <c r="V148" s="950">
        <v>39692</v>
      </c>
      <c r="W148" s="396"/>
      <c r="X148" s="406"/>
      <c r="Y148" s="396"/>
      <c r="Z148" s="406"/>
      <c r="AA148" s="867"/>
      <c r="AB148" s="1718" t="s">
        <v>3736</v>
      </c>
      <c r="AC148" s="512">
        <f t="shared" si="7"/>
        <v>15046</v>
      </c>
      <c r="AD148" s="513" t="s">
        <v>3200</v>
      </c>
      <c r="AE148" s="464">
        <v>39799</v>
      </c>
      <c r="AF148" s="465" t="s">
        <v>3201</v>
      </c>
      <c r="AG148" s="514" t="s">
        <v>1061</v>
      </c>
      <c r="AH148" s="515">
        <v>42474</v>
      </c>
      <c r="AI148" s="516">
        <v>1179926</v>
      </c>
      <c r="AJ148" s="439">
        <v>1673</v>
      </c>
      <c r="AK148" s="440">
        <v>42339</v>
      </c>
      <c r="AL148" s="445">
        <v>4757</v>
      </c>
      <c r="AM148" s="440">
        <v>42339</v>
      </c>
      <c r="AN148" s="441"/>
      <c r="AO148" s="408" t="s">
        <v>3737</v>
      </c>
      <c r="AP148" s="441">
        <v>3724</v>
      </c>
      <c r="AQ148" s="440">
        <v>42339</v>
      </c>
      <c r="AR148" s="982"/>
      <c r="AS148" s="984"/>
      <c r="AT148" s="982"/>
      <c r="AU148" s="984"/>
      <c r="AV148" s="441"/>
      <c r="AW148" s="466"/>
      <c r="AX148" s="441"/>
      <c r="AY148" s="466"/>
      <c r="AZ148" s="441"/>
      <c r="BA148" s="1708" t="s">
        <v>3738</v>
      </c>
      <c r="BB148" s="517">
        <f t="shared" si="8"/>
        <v>10154</v>
      </c>
      <c r="BC148" s="3021"/>
      <c r="BD148" s="3022"/>
      <c r="BE148" s="3023"/>
      <c r="BF148" s="3023"/>
    </row>
    <row r="149" spans="1:61" s="47" customFormat="1" ht="124.5" thickBot="1">
      <c r="A149" s="470" t="s">
        <v>3574</v>
      </c>
      <c r="B149" s="651" t="s">
        <v>810</v>
      </c>
      <c r="C149" s="652" t="s">
        <v>3688</v>
      </c>
      <c r="D149" s="470" t="s">
        <v>9</v>
      </c>
      <c r="E149" s="468" t="s">
        <v>61</v>
      </c>
      <c r="F149" s="1764" t="s">
        <v>591</v>
      </c>
      <c r="G149" s="468" t="s">
        <v>240</v>
      </c>
      <c r="H149" s="1764" t="s">
        <v>3679</v>
      </c>
      <c r="I149" s="468" t="s">
        <v>3689</v>
      </c>
      <c r="J149" s="471" t="s">
        <v>1880</v>
      </c>
      <c r="K149" s="473">
        <v>0</v>
      </c>
      <c r="L149" s="1765">
        <v>39326</v>
      </c>
      <c r="M149" s="653">
        <v>22011</v>
      </c>
      <c r="N149" s="1766" t="s">
        <v>811</v>
      </c>
      <c r="O149" s="473"/>
      <c r="P149" s="1767"/>
      <c r="Q149" s="473">
        <v>23691</v>
      </c>
      <c r="R149" s="1765">
        <v>40603</v>
      </c>
      <c r="S149" s="957">
        <v>0</v>
      </c>
      <c r="T149" s="1768">
        <v>40603</v>
      </c>
      <c r="U149" s="957">
        <v>12692</v>
      </c>
      <c r="V149" s="1768">
        <v>40603</v>
      </c>
      <c r="W149" s="473"/>
      <c r="X149" s="1764"/>
      <c r="Y149" s="473"/>
      <c r="Z149" s="1764"/>
      <c r="AA149" s="473"/>
      <c r="AB149" s="471"/>
      <c r="AC149" s="655">
        <f t="shared" si="7"/>
        <v>58394</v>
      </c>
      <c r="AD149" s="475" t="s">
        <v>937</v>
      </c>
      <c r="AE149" s="1096" t="s">
        <v>3237</v>
      </c>
      <c r="AF149" s="1826" t="s">
        <v>3238</v>
      </c>
      <c r="AG149" s="656" t="s">
        <v>1061</v>
      </c>
      <c r="AH149" s="657">
        <v>42479</v>
      </c>
      <c r="AI149" s="1769">
        <v>1180033</v>
      </c>
      <c r="AJ149" s="750"/>
      <c r="AK149" s="1770"/>
      <c r="AL149" s="751">
        <v>24221</v>
      </c>
      <c r="AM149" s="1771">
        <v>42339</v>
      </c>
      <c r="AN149" s="723"/>
      <c r="AO149" s="1770"/>
      <c r="AP149" s="723">
        <v>26070</v>
      </c>
      <c r="AQ149" s="1771">
        <v>42339</v>
      </c>
      <c r="AR149" s="972"/>
      <c r="AS149" s="1772"/>
      <c r="AT149" s="972"/>
      <c r="AU149" s="1772"/>
      <c r="AV149" s="723"/>
      <c r="AW149" s="1770"/>
      <c r="AX149" s="723"/>
      <c r="AY149" s="1770"/>
      <c r="AZ149" s="723"/>
      <c r="BA149" s="753"/>
      <c r="BB149" s="659">
        <f t="shared" si="8"/>
        <v>50291</v>
      </c>
      <c r="BC149" s="754" t="s">
        <v>3725</v>
      </c>
      <c r="BD149" s="741">
        <f>SUM(BB148:BB149)</f>
        <v>60445</v>
      </c>
      <c r="BE149" s="742">
        <f>BD149-BF149</f>
        <v>60445</v>
      </c>
      <c r="BF149" s="742">
        <f>SUM(AR148:AR149)+SUM(AT148:AT149)</f>
        <v>0</v>
      </c>
      <c r="BG149" s="4132"/>
      <c r="BH149" s="4127"/>
      <c r="BI149" s="4122"/>
    </row>
    <row r="150" spans="1:61" s="47" customFormat="1" ht="123.75">
      <c r="A150" s="1609" t="s">
        <v>3787</v>
      </c>
      <c r="B150" s="699" t="s">
        <v>27</v>
      </c>
      <c r="C150" s="700" t="s">
        <v>3784</v>
      </c>
      <c r="D150" s="698" t="s">
        <v>788</v>
      </c>
      <c r="E150" s="701" t="s">
        <v>158</v>
      </c>
      <c r="F150" s="702" t="s">
        <v>159</v>
      </c>
      <c r="G150" s="701" t="s">
        <v>1259</v>
      </c>
      <c r="H150" s="702" t="s">
        <v>1331</v>
      </c>
      <c r="I150" s="701" t="s">
        <v>1257</v>
      </c>
      <c r="J150" s="703" t="s">
        <v>23</v>
      </c>
      <c r="K150" s="704">
        <v>1314</v>
      </c>
      <c r="L150" s="705">
        <v>38869</v>
      </c>
      <c r="M150" s="706">
        <v>3735</v>
      </c>
      <c r="N150" s="707">
        <v>38869</v>
      </c>
      <c r="O150" s="704"/>
      <c r="P150" s="708"/>
      <c r="Q150" s="704">
        <v>2924</v>
      </c>
      <c r="R150" s="705">
        <v>38869</v>
      </c>
      <c r="S150" s="960">
        <v>2976</v>
      </c>
      <c r="T150" s="961">
        <v>38869</v>
      </c>
      <c r="U150" s="960">
        <v>2533</v>
      </c>
      <c r="V150" s="962">
        <v>38869</v>
      </c>
      <c r="W150" s="704"/>
      <c r="X150" s="702"/>
      <c r="Y150" s="704"/>
      <c r="Z150" s="702"/>
      <c r="AA150" s="704"/>
      <c r="AB150" s="703"/>
      <c r="AC150" s="536">
        <f t="shared" si="7"/>
        <v>13482</v>
      </c>
      <c r="AD150" s="1560" t="s">
        <v>1122</v>
      </c>
      <c r="AE150" s="1561" t="s">
        <v>2827</v>
      </c>
      <c r="AF150" s="1824" t="s">
        <v>2826</v>
      </c>
      <c r="AG150" s="712" t="s">
        <v>3786</v>
      </c>
      <c r="AH150" s="713">
        <v>42501</v>
      </c>
      <c r="AI150" s="714">
        <v>1180578</v>
      </c>
      <c r="AJ150" s="715">
        <v>1687</v>
      </c>
      <c r="AK150" s="718">
        <v>42430</v>
      </c>
      <c r="AL150" s="717"/>
      <c r="AM150" s="716"/>
      <c r="AN150" s="719"/>
      <c r="AO150" s="716"/>
      <c r="AP150" s="719">
        <v>3754</v>
      </c>
      <c r="AQ150" s="718">
        <v>42430</v>
      </c>
      <c r="AR150" s="990"/>
      <c r="AS150" s="991" t="s">
        <v>3797</v>
      </c>
      <c r="AT150" s="990"/>
      <c r="AU150" s="991" t="s">
        <v>3797</v>
      </c>
      <c r="AV150" s="719"/>
      <c r="AW150" s="716"/>
      <c r="AX150" s="719"/>
      <c r="AY150" s="716"/>
      <c r="AZ150" s="719"/>
      <c r="BA150" s="720"/>
      <c r="BB150" s="721">
        <f t="shared" si="8"/>
        <v>5441</v>
      </c>
      <c r="BC150" s="3024"/>
      <c r="BD150" s="3025"/>
      <c r="BE150" s="3026"/>
      <c r="BF150" s="3026"/>
      <c r="BG150" s="4132"/>
      <c r="BH150" s="4127"/>
      <c r="BI150" s="4122"/>
    </row>
    <row r="151" spans="1:61" s="47" customFormat="1" ht="45">
      <c r="A151" s="395" t="s">
        <v>3472</v>
      </c>
      <c r="B151" s="368" t="s">
        <v>175</v>
      </c>
      <c r="C151" s="215" t="s">
        <v>1011</v>
      </c>
      <c r="D151" s="350" t="s">
        <v>788</v>
      </c>
      <c r="E151" s="354" t="s">
        <v>1287</v>
      </c>
      <c r="F151" s="353" t="s">
        <v>1288</v>
      </c>
      <c r="G151" s="354" t="s">
        <v>336</v>
      </c>
      <c r="H151" s="353" t="s">
        <v>1285</v>
      </c>
      <c r="I151" s="354" t="s">
        <v>745</v>
      </c>
      <c r="J151" s="355" t="s">
        <v>946</v>
      </c>
      <c r="K151" s="370"/>
      <c r="L151" s="357"/>
      <c r="M151" s="371"/>
      <c r="N151" s="372"/>
      <c r="O151" s="370"/>
      <c r="P151" s="373"/>
      <c r="Q151" s="370">
        <v>557</v>
      </c>
      <c r="R151" s="357">
        <v>39052</v>
      </c>
      <c r="S151" s="948"/>
      <c r="T151" s="951"/>
      <c r="U151" s="948"/>
      <c r="V151" s="952"/>
      <c r="W151" s="370"/>
      <c r="X151" s="353"/>
      <c r="Y151" s="370"/>
      <c r="Z151" s="353"/>
      <c r="AA151" s="370"/>
      <c r="AB151" s="355"/>
      <c r="AC151" s="358">
        <f t="shared" si="7"/>
        <v>557</v>
      </c>
      <c r="AD151" s="768" t="s">
        <v>465</v>
      </c>
      <c r="AE151" s="457">
        <v>39204</v>
      </c>
      <c r="AF151" s="458">
        <v>40665</v>
      </c>
      <c r="AG151" s="359" t="s">
        <v>1061</v>
      </c>
      <c r="AH151" s="360">
        <v>42520</v>
      </c>
      <c r="AI151" s="361">
        <v>1181028</v>
      </c>
      <c r="AJ151" s="362"/>
      <c r="AK151" s="363"/>
      <c r="AL151" s="364"/>
      <c r="AM151" s="363"/>
      <c r="AN151" s="365"/>
      <c r="AO151" s="363"/>
      <c r="AP151" s="365">
        <v>710</v>
      </c>
      <c r="AQ151" s="394">
        <v>42430</v>
      </c>
      <c r="AR151" s="935"/>
      <c r="AS151" s="936"/>
      <c r="AT151" s="935"/>
      <c r="AU151" s="936"/>
      <c r="AV151" s="365"/>
      <c r="AW151" s="363"/>
      <c r="AX151" s="365"/>
      <c r="AY151" s="363"/>
      <c r="AZ151" s="365"/>
      <c r="BA151" s="366"/>
      <c r="BB151" s="367">
        <f t="shared" si="8"/>
        <v>710</v>
      </c>
      <c r="BC151" s="4020"/>
      <c r="BG151" s="4132"/>
      <c r="BH151" s="4127"/>
      <c r="BI151" s="4122"/>
    </row>
    <row r="152" spans="1:61" s="47" customFormat="1" ht="102" thickBot="1">
      <c r="A152" s="779" t="s">
        <v>3843</v>
      </c>
      <c r="B152" s="527" t="s">
        <v>3340</v>
      </c>
      <c r="C152" s="528" t="s">
        <v>3428</v>
      </c>
      <c r="D152" s="529" t="s">
        <v>788</v>
      </c>
      <c r="E152" s="1793" t="s">
        <v>428</v>
      </c>
      <c r="F152" s="1794" t="s">
        <v>837</v>
      </c>
      <c r="G152" s="530" t="s">
        <v>66</v>
      </c>
      <c r="H152" s="1795" t="s">
        <v>67</v>
      </c>
      <c r="I152" s="530" t="s">
        <v>1257</v>
      </c>
      <c r="J152" s="532" t="s">
        <v>23</v>
      </c>
      <c r="K152" s="533">
        <v>1260</v>
      </c>
      <c r="L152" s="1796">
        <v>38596</v>
      </c>
      <c r="M152" s="535"/>
      <c r="N152" s="1797" t="s">
        <v>3829</v>
      </c>
      <c r="O152" s="1072"/>
      <c r="P152" s="1798" t="s">
        <v>3828</v>
      </c>
      <c r="Q152" s="533">
        <v>2802</v>
      </c>
      <c r="R152" s="1796">
        <v>38596</v>
      </c>
      <c r="S152" s="957">
        <v>2852</v>
      </c>
      <c r="T152" s="1799">
        <v>38596</v>
      </c>
      <c r="U152" s="957">
        <v>2427</v>
      </c>
      <c r="V152" s="1800">
        <v>38596</v>
      </c>
      <c r="W152" s="533"/>
      <c r="X152" s="1795"/>
      <c r="Y152" s="533"/>
      <c r="Z152" s="1795"/>
      <c r="AA152" s="1072"/>
      <c r="AB152" s="736" t="s">
        <v>3830</v>
      </c>
      <c r="AC152" s="729">
        <f t="shared" ref="AC152:AC183" si="9">K152+M152+O152+Q152+S152+U152+W152+Y152+AA152</f>
        <v>9341</v>
      </c>
      <c r="AD152" s="730" t="s">
        <v>1145</v>
      </c>
      <c r="AE152" s="731" t="s">
        <v>3429</v>
      </c>
      <c r="AF152" s="1825" t="s">
        <v>3430</v>
      </c>
      <c r="AG152" s="778" t="s">
        <v>3831</v>
      </c>
      <c r="AH152" s="663">
        <v>42521</v>
      </c>
      <c r="AI152" s="1801">
        <v>1181080</v>
      </c>
      <c r="AJ152" s="733">
        <v>1675</v>
      </c>
      <c r="AK152" s="1802">
        <v>42430</v>
      </c>
      <c r="AL152" s="735"/>
      <c r="AM152" s="1798"/>
      <c r="AN152" s="662"/>
      <c r="AO152" s="1798" t="s">
        <v>3832</v>
      </c>
      <c r="AP152" s="662">
        <v>3726</v>
      </c>
      <c r="AQ152" s="1802">
        <v>42430</v>
      </c>
      <c r="AR152" s="972"/>
      <c r="AS152" s="1803"/>
      <c r="AT152" s="972"/>
      <c r="AU152" s="1803"/>
      <c r="AV152" s="662"/>
      <c r="AW152" s="1798"/>
      <c r="AX152" s="662"/>
      <c r="AY152" s="1798"/>
      <c r="AZ152" s="662"/>
      <c r="BA152" s="736" t="s">
        <v>3833</v>
      </c>
      <c r="BB152" s="545">
        <f t="shared" si="8"/>
        <v>5401</v>
      </c>
      <c r="BC152" s="755" t="s">
        <v>3785</v>
      </c>
      <c r="BD152" s="756">
        <f>SUM(BB150:BB152)</f>
        <v>11552</v>
      </c>
      <c r="BE152" s="757">
        <f>BD152-BF152</f>
        <v>11552</v>
      </c>
      <c r="BF152" s="757">
        <f>SUM(AR150:AR152)+SUM(AT150:AT152)</f>
        <v>0</v>
      </c>
      <c r="BG152" s="4132"/>
      <c r="BH152" s="4127"/>
      <c r="BI152" s="4122"/>
    </row>
    <row r="153" spans="1:61" ht="147" thickBot="1">
      <c r="A153" s="1074" t="s">
        <v>3866</v>
      </c>
      <c r="B153" s="1807" t="s">
        <v>3447</v>
      </c>
      <c r="C153" s="793" t="s">
        <v>3446</v>
      </c>
      <c r="D153" s="791" t="s">
        <v>788</v>
      </c>
      <c r="E153" s="794" t="s">
        <v>3015</v>
      </c>
      <c r="F153" s="795" t="s">
        <v>685</v>
      </c>
      <c r="G153" s="794" t="s">
        <v>390</v>
      </c>
      <c r="H153" s="795" t="s">
        <v>588</v>
      </c>
      <c r="I153" s="1373" t="s">
        <v>8814</v>
      </c>
      <c r="J153" s="1374" t="s">
        <v>8815</v>
      </c>
      <c r="K153" s="797"/>
      <c r="L153" s="798"/>
      <c r="M153" s="799"/>
      <c r="N153" s="800"/>
      <c r="O153" s="797"/>
      <c r="P153" s="801"/>
      <c r="Q153" s="797"/>
      <c r="R153" s="795"/>
      <c r="S153" s="960"/>
      <c r="T153" s="970"/>
      <c r="U153" s="960"/>
      <c r="V153" s="971"/>
      <c r="W153" s="797"/>
      <c r="X153" s="795"/>
      <c r="Y153" s="797">
        <v>37500</v>
      </c>
      <c r="Z153" s="1806" t="s">
        <v>3018</v>
      </c>
      <c r="AA153" s="797"/>
      <c r="AB153" s="796"/>
      <c r="AC153" s="802">
        <f t="shared" si="9"/>
        <v>37500</v>
      </c>
      <c r="AD153" s="1804" t="s">
        <v>2891</v>
      </c>
      <c r="AE153" s="1805" t="s">
        <v>2890</v>
      </c>
      <c r="AF153" s="805" t="s">
        <v>175</v>
      </c>
      <c r="AG153" s="1054" t="s">
        <v>3865</v>
      </c>
      <c r="AH153" s="1055">
        <v>42537</v>
      </c>
      <c r="AI153" s="1056">
        <v>1181433</v>
      </c>
      <c r="AJ153" s="1057"/>
      <c r="AK153" s="1041"/>
      <c r="AL153" s="1058"/>
      <c r="AM153" s="1041"/>
      <c r="AN153" s="1042"/>
      <c r="AO153" s="1041"/>
      <c r="AP153" s="1042"/>
      <c r="AQ153" s="1041"/>
      <c r="AR153" s="996"/>
      <c r="AS153" s="997"/>
      <c r="AT153" s="996"/>
      <c r="AU153" s="997"/>
      <c r="AV153" s="1042"/>
      <c r="AW153" s="1041"/>
      <c r="AX153" s="1042">
        <v>38133</v>
      </c>
      <c r="AY153" s="1076">
        <v>42430</v>
      </c>
      <c r="AZ153" s="1042"/>
      <c r="BA153" s="1043"/>
      <c r="BB153" s="815">
        <f t="shared" si="8"/>
        <v>38133</v>
      </c>
      <c r="BC153" s="4017"/>
    </row>
    <row r="154" spans="1:61" ht="70.5">
      <c r="A154" s="3981" t="s">
        <v>2744</v>
      </c>
      <c r="B154" s="3982" t="s">
        <v>3451</v>
      </c>
      <c r="C154" s="3983" t="s">
        <v>2737</v>
      </c>
      <c r="D154" s="3984" t="s">
        <v>788</v>
      </c>
      <c r="E154" s="3985" t="s">
        <v>2739</v>
      </c>
      <c r="F154" s="3986" t="s">
        <v>1252</v>
      </c>
      <c r="G154" s="3985" t="s">
        <v>2729</v>
      </c>
      <c r="H154" s="3986" t="s">
        <v>2730</v>
      </c>
      <c r="I154" s="3985" t="s">
        <v>394</v>
      </c>
      <c r="J154" s="3987" t="s">
        <v>8155</v>
      </c>
      <c r="K154" s="3988"/>
      <c r="L154" s="3989"/>
      <c r="M154" s="3990"/>
      <c r="N154" s="3991"/>
      <c r="O154" s="3988"/>
      <c r="P154" s="3992"/>
      <c r="Q154" s="3988"/>
      <c r="R154" s="3986"/>
      <c r="S154" s="2776"/>
      <c r="T154" s="3993"/>
      <c r="U154" s="2776"/>
      <c r="V154" s="3994"/>
      <c r="W154" s="3988">
        <v>2605</v>
      </c>
      <c r="X154" s="3989" t="s">
        <v>8148</v>
      </c>
      <c r="Y154" s="3988">
        <v>1277</v>
      </c>
      <c r="Z154" s="3989">
        <v>41883</v>
      </c>
      <c r="AA154" s="3988"/>
      <c r="AB154" s="3987"/>
      <c r="AC154" s="3995">
        <f t="shared" si="9"/>
        <v>3882</v>
      </c>
      <c r="AD154" s="3996" t="s">
        <v>465</v>
      </c>
      <c r="AE154" s="3997">
        <v>39836</v>
      </c>
      <c r="AF154" s="3998">
        <v>41296</v>
      </c>
      <c r="AG154" s="3999" t="s">
        <v>1061</v>
      </c>
      <c r="AH154" s="4000">
        <v>42550</v>
      </c>
      <c r="AI154" s="4001">
        <v>1181761</v>
      </c>
      <c r="AJ154" s="4002"/>
      <c r="AK154" s="4003"/>
      <c r="AL154" s="4004"/>
      <c r="AM154" s="4003"/>
      <c r="AN154" s="4005"/>
      <c r="AO154" s="4003"/>
      <c r="AP154" s="4005"/>
      <c r="AQ154" s="4003"/>
      <c r="AR154" s="4006"/>
      <c r="AS154" s="4007"/>
      <c r="AT154" s="4006"/>
      <c r="AU154" s="4007"/>
      <c r="AV154" s="4005">
        <v>2654</v>
      </c>
      <c r="AW154" s="4008">
        <v>42430</v>
      </c>
      <c r="AX154" s="4005">
        <v>1301</v>
      </c>
      <c r="AY154" s="4008">
        <v>42430</v>
      </c>
      <c r="AZ154" s="4005"/>
      <c r="BA154" s="4009"/>
      <c r="BB154" s="4010">
        <f t="shared" si="8"/>
        <v>3955</v>
      </c>
    </row>
    <row r="155" spans="1:61" ht="169.5" thickBot="1">
      <c r="A155" s="1398" t="s">
        <v>5443</v>
      </c>
      <c r="B155" s="1396" t="s">
        <v>5496</v>
      </c>
      <c r="C155" s="1397" t="s">
        <v>5469</v>
      </c>
      <c r="D155" s="1398" t="s">
        <v>5473</v>
      </c>
      <c r="E155" s="1399" t="s">
        <v>5470</v>
      </c>
      <c r="F155" s="1172" t="s">
        <v>5472</v>
      </c>
      <c r="G155" s="1399" t="s">
        <v>5441</v>
      </c>
      <c r="H155" s="1172" t="s">
        <v>5442</v>
      </c>
      <c r="I155" s="1399"/>
      <c r="J155" s="1400" t="s">
        <v>5471</v>
      </c>
      <c r="K155" s="3972"/>
      <c r="L155" s="3973"/>
      <c r="M155" s="3974"/>
      <c r="N155" s="3975"/>
      <c r="O155" s="3972"/>
      <c r="P155" s="3976"/>
      <c r="Q155" s="3972"/>
      <c r="R155" s="3973"/>
      <c r="S155" s="990"/>
      <c r="T155" s="1228"/>
      <c r="U155" s="990"/>
      <c r="V155" s="1228"/>
      <c r="W155" s="3972"/>
      <c r="X155" s="3973"/>
      <c r="Y155" s="3972"/>
      <c r="Z155" s="3973"/>
      <c r="AA155" s="3972"/>
      <c r="AB155" s="1400" t="s">
        <v>5498</v>
      </c>
      <c r="AC155" s="2262">
        <f t="shared" si="9"/>
        <v>0</v>
      </c>
      <c r="AD155" s="3977" t="s">
        <v>4274</v>
      </c>
      <c r="AE155" s="1445">
        <v>42534</v>
      </c>
      <c r="AF155" s="3978" t="s">
        <v>290</v>
      </c>
      <c r="AG155" s="2263" t="s">
        <v>1061</v>
      </c>
      <c r="AH155" s="2264">
        <v>42545</v>
      </c>
      <c r="AI155" s="3979" t="s">
        <v>5497</v>
      </c>
      <c r="AJ155" s="2266"/>
      <c r="AK155" s="2269"/>
      <c r="AL155" s="2268"/>
      <c r="AM155" s="2269"/>
      <c r="AN155" s="2270"/>
      <c r="AO155" s="2269"/>
      <c r="AP155" s="2270"/>
      <c r="AQ155" s="2269"/>
      <c r="AR155" s="990"/>
      <c r="AS155" s="991"/>
      <c r="AT155" s="990"/>
      <c r="AU155" s="991"/>
      <c r="AV155" s="2270"/>
      <c r="AW155" s="2269"/>
      <c r="AX155" s="2270"/>
      <c r="AY155" s="2269"/>
      <c r="AZ155" s="3972">
        <f>30000+23256.75+3677</f>
        <v>56933.75</v>
      </c>
      <c r="BA155" s="3980" t="s">
        <v>5499</v>
      </c>
      <c r="BB155" s="2272">
        <f t="shared" si="8"/>
        <v>56933.75</v>
      </c>
      <c r="BC155" s="754" t="s">
        <v>3867</v>
      </c>
      <c r="BD155" s="741">
        <f>SUM(BB153:BB155)</f>
        <v>99021.75</v>
      </c>
      <c r="BE155" s="742">
        <f>BD155-BF155</f>
        <v>99021.75</v>
      </c>
      <c r="BF155" s="742">
        <f>SUM(AR153:AR155)+SUM(AT153:AT155)</f>
        <v>0</v>
      </c>
      <c r="BG155" s="4566">
        <f>SUM(BE131:BE155)</f>
        <v>1297176.75</v>
      </c>
      <c r="BH155" s="4567">
        <f>SUM(BH131:BH154)</f>
        <v>0</v>
      </c>
      <c r="BI155" s="4567">
        <f>SUM(BI131:BI154)</f>
        <v>0</v>
      </c>
    </row>
    <row r="156" spans="1:61" s="47" customFormat="1" ht="138.75" thickBot="1">
      <c r="A156" s="1829" t="s">
        <v>3721</v>
      </c>
      <c r="B156" s="604" t="s">
        <v>3342</v>
      </c>
      <c r="C156" s="605" t="s">
        <v>2629</v>
      </c>
      <c r="D156" s="606" t="s">
        <v>3641</v>
      </c>
      <c r="E156" s="607" t="s">
        <v>664</v>
      </c>
      <c r="F156" s="608" t="s">
        <v>138</v>
      </c>
      <c r="G156" s="607" t="s">
        <v>1332</v>
      </c>
      <c r="H156" s="608" t="s">
        <v>981</v>
      </c>
      <c r="I156" s="607" t="s">
        <v>3527</v>
      </c>
      <c r="J156" s="609" t="s">
        <v>3523</v>
      </c>
      <c r="K156" s="610">
        <f>958*22</f>
        <v>21076</v>
      </c>
      <c r="L156" s="611" t="s">
        <v>3167</v>
      </c>
      <c r="M156" s="612"/>
      <c r="N156" s="613"/>
      <c r="O156" s="610"/>
      <c r="P156" s="1830"/>
      <c r="Q156" s="1831"/>
      <c r="R156" s="1832" t="s">
        <v>1413</v>
      </c>
      <c r="S156" s="945">
        <f>3510*22</f>
        <v>77220</v>
      </c>
      <c r="T156" s="946" t="s">
        <v>3178</v>
      </c>
      <c r="U156" s="945">
        <f>3211*22</f>
        <v>70642</v>
      </c>
      <c r="V156" s="1833" t="s">
        <v>3179</v>
      </c>
      <c r="W156" s="610"/>
      <c r="X156" s="608"/>
      <c r="Y156" s="610">
        <f>1000*22</f>
        <v>22000</v>
      </c>
      <c r="Z156" s="608" t="s">
        <v>3594</v>
      </c>
      <c r="AA156" s="610"/>
      <c r="AB156" s="609"/>
      <c r="AC156" s="615">
        <f t="shared" si="9"/>
        <v>190938</v>
      </c>
      <c r="AD156" s="616" t="s">
        <v>556</v>
      </c>
      <c r="AE156" s="617" t="s">
        <v>557</v>
      </c>
      <c r="AF156" s="618" t="s">
        <v>2307</v>
      </c>
      <c r="AG156" s="1834" t="s">
        <v>1061</v>
      </c>
      <c r="AH156" s="1835" t="s">
        <v>3904</v>
      </c>
      <c r="AI156" s="1836">
        <v>1182371</v>
      </c>
      <c r="AJ156" s="1837">
        <v>27786</v>
      </c>
      <c r="AK156" s="1838">
        <v>42430</v>
      </c>
      <c r="AL156" s="1839"/>
      <c r="AM156" s="1840"/>
      <c r="AN156" s="614"/>
      <c r="AO156" s="1840"/>
      <c r="AP156" s="614"/>
      <c r="AQ156" s="1840"/>
      <c r="AR156" s="1841"/>
      <c r="AS156" s="1842"/>
      <c r="AT156" s="1841"/>
      <c r="AU156" s="1842"/>
      <c r="AV156" s="614"/>
      <c r="AW156" s="1840"/>
      <c r="AX156" s="614">
        <v>2384</v>
      </c>
      <c r="AY156" s="1840" t="s">
        <v>3905</v>
      </c>
      <c r="AZ156" s="614"/>
      <c r="BA156" s="1843"/>
      <c r="BB156" s="628">
        <f t="shared" si="8"/>
        <v>30170</v>
      </c>
      <c r="BC156" s="755" t="s">
        <v>3906</v>
      </c>
      <c r="BD156" s="756">
        <f>SUM(BB156)</f>
        <v>30170</v>
      </c>
      <c r="BE156" s="757">
        <f>BD156-BF156</f>
        <v>30170</v>
      </c>
      <c r="BF156" s="757">
        <f>SUM(AR156)+SUM(AT156)</f>
        <v>0</v>
      </c>
      <c r="BG156" s="4132"/>
      <c r="BH156" s="4127">
        <v>26370</v>
      </c>
      <c r="BI156" s="4122"/>
    </row>
    <row r="157" spans="1:61" ht="101.25">
      <c r="A157" s="1851" t="s">
        <v>2151</v>
      </c>
      <c r="B157" s="1852" t="s">
        <v>3750</v>
      </c>
      <c r="C157" s="1853" t="s">
        <v>3751</v>
      </c>
      <c r="D157" s="791" t="s">
        <v>1347</v>
      </c>
      <c r="E157" s="794" t="s">
        <v>475</v>
      </c>
      <c r="F157" s="795" t="s">
        <v>1345</v>
      </c>
      <c r="G157" s="794" t="s">
        <v>1346</v>
      </c>
      <c r="H157" s="795" t="s">
        <v>1348</v>
      </c>
      <c r="I157" s="1854" t="s">
        <v>3752</v>
      </c>
      <c r="J157" s="1855" t="s">
        <v>3753</v>
      </c>
      <c r="K157" s="1856"/>
      <c r="L157" s="1857" t="s">
        <v>1774</v>
      </c>
      <c r="M157" s="1858"/>
      <c r="N157" s="1859" t="s">
        <v>3754</v>
      </c>
      <c r="O157" s="1846"/>
      <c r="P157" s="1860" t="s">
        <v>3965</v>
      </c>
      <c r="Q157" s="1861"/>
      <c r="R157" s="1862" t="s">
        <v>3748</v>
      </c>
      <c r="S157" s="1741"/>
      <c r="T157" s="1742" t="s">
        <v>633</v>
      </c>
      <c r="U157" s="1741"/>
      <c r="V157" s="1743" t="s">
        <v>633</v>
      </c>
      <c r="W157" s="1844"/>
      <c r="X157" s="1845"/>
      <c r="Y157" s="1844"/>
      <c r="Z157" s="1845"/>
      <c r="AA157" s="1846"/>
      <c r="AB157" s="1847" t="s">
        <v>3966</v>
      </c>
      <c r="AC157" s="802">
        <f t="shared" si="9"/>
        <v>0</v>
      </c>
      <c r="AD157" s="1848" t="s">
        <v>3755</v>
      </c>
      <c r="AE157" s="1849" t="s">
        <v>3756</v>
      </c>
      <c r="AF157" s="1850" t="s">
        <v>3757</v>
      </c>
      <c r="AG157" s="1054"/>
      <c r="AH157" s="1055"/>
      <c r="AI157" s="1056"/>
      <c r="AJ157" s="1057"/>
      <c r="AK157" s="1041"/>
      <c r="AL157" s="1058"/>
      <c r="AM157" s="1041"/>
      <c r="AN157" s="1042"/>
      <c r="AO157" s="810" t="s">
        <v>3967</v>
      </c>
      <c r="AP157" s="1042"/>
      <c r="AQ157" s="1041"/>
      <c r="AR157" s="996"/>
      <c r="AS157" s="997"/>
      <c r="AT157" s="996"/>
      <c r="AU157" s="997"/>
      <c r="AV157" s="1042"/>
      <c r="AW157" s="1041"/>
      <c r="AX157" s="1042"/>
      <c r="AY157" s="1041"/>
      <c r="AZ157" s="1042"/>
      <c r="BA157" s="814" t="s">
        <v>4636</v>
      </c>
      <c r="BB157" s="815">
        <f t="shared" si="8"/>
        <v>0</v>
      </c>
      <c r="BC157" s="4017"/>
    </row>
    <row r="158" spans="1:61" s="47" customFormat="1" ht="101.25">
      <c r="A158" s="737" t="s">
        <v>3611</v>
      </c>
      <c r="B158" s="510" t="s">
        <v>3610</v>
      </c>
      <c r="C158" s="511" t="s">
        <v>2628</v>
      </c>
      <c r="D158" s="462" t="s">
        <v>1190</v>
      </c>
      <c r="E158" s="461" t="s">
        <v>53</v>
      </c>
      <c r="F158" s="406" t="s">
        <v>497</v>
      </c>
      <c r="G158" s="461" t="s">
        <v>1024</v>
      </c>
      <c r="H158" s="406" t="s">
        <v>305</v>
      </c>
      <c r="I158" s="461" t="s">
        <v>187</v>
      </c>
      <c r="J158" s="407" t="s">
        <v>3986</v>
      </c>
      <c r="K158" s="396">
        <v>29197</v>
      </c>
      <c r="L158" s="397">
        <v>38687</v>
      </c>
      <c r="M158" s="392">
        <v>120684</v>
      </c>
      <c r="N158" s="393">
        <v>38687</v>
      </c>
      <c r="O158" s="867"/>
      <c r="P158" s="1604" t="s">
        <v>3979</v>
      </c>
      <c r="Q158" s="396"/>
      <c r="R158" s="406" t="s">
        <v>1413</v>
      </c>
      <c r="S158" s="948">
        <v>158093</v>
      </c>
      <c r="T158" s="949">
        <v>38687</v>
      </c>
      <c r="U158" s="948">
        <v>148984</v>
      </c>
      <c r="V158" s="950">
        <v>38687</v>
      </c>
      <c r="W158" s="396"/>
      <c r="X158" s="406"/>
      <c r="Y158" s="396"/>
      <c r="Z158" s="406"/>
      <c r="AA158" s="396"/>
      <c r="AB158" s="407"/>
      <c r="AC158" s="512">
        <f t="shared" si="9"/>
        <v>456958</v>
      </c>
      <c r="AD158" s="513" t="s">
        <v>1076</v>
      </c>
      <c r="AE158" s="602" t="s">
        <v>1427</v>
      </c>
      <c r="AF158" s="629" t="s">
        <v>1428</v>
      </c>
      <c r="AG158" s="524" t="s">
        <v>1061</v>
      </c>
      <c r="AH158" s="525">
        <v>42594</v>
      </c>
      <c r="AI158" s="526">
        <v>183792</v>
      </c>
      <c r="AJ158" s="403">
        <v>38669</v>
      </c>
      <c r="AK158" s="404">
        <v>42522</v>
      </c>
      <c r="AL158" s="416">
        <v>159837</v>
      </c>
      <c r="AM158" s="404">
        <v>42522</v>
      </c>
      <c r="AN158" s="405"/>
      <c r="AO158" s="1604" t="s">
        <v>3980</v>
      </c>
      <c r="AP158" s="405"/>
      <c r="AQ158" s="408"/>
      <c r="AR158" s="935"/>
      <c r="AS158" s="936"/>
      <c r="AT158" s="935"/>
      <c r="AU158" s="936"/>
      <c r="AV158" s="405"/>
      <c r="AW158" s="408"/>
      <c r="AX158" s="405"/>
      <c r="AY158" s="408"/>
      <c r="AZ158" s="405"/>
      <c r="BA158" s="409"/>
      <c r="BB158" s="517">
        <f t="shared" si="8"/>
        <v>198506</v>
      </c>
      <c r="BC158" s="4020"/>
      <c r="BG158" s="4132"/>
      <c r="BH158" s="4127"/>
      <c r="BI158" s="4122"/>
    </row>
    <row r="159" spans="1:61" s="47" customFormat="1" ht="68.25" thickBot="1">
      <c r="A159" s="1921" t="s">
        <v>3484</v>
      </c>
      <c r="B159" s="651" t="s">
        <v>3344</v>
      </c>
      <c r="C159" s="652" t="s">
        <v>2630</v>
      </c>
      <c r="D159" s="470" t="s">
        <v>788</v>
      </c>
      <c r="E159" s="468" t="s">
        <v>399</v>
      </c>
      <c r="F159" s="1922" t="s">
        <v>237</v>
      </c>
      <c r="G159" s="468" t="s">
        <v>1109</v>
      </c>
      <c r="H159" s="1922" t="s">
        <v>1108</v>
      </c>
      <c r="I159" s="468" t="s">
        <v>62</v>
      </c>
      <c r="J159" s="471" t="s">
        <v>8158</v>
      </c>
      <c r="K159" s="473">
        <v>368</v>
      </c>
      <c r="L159" s="1923">
        <v>38869</v>
      </c>
      <c r="M159" s="653">
        <v>17728</v>
      </c>
      <c r="N159" s="1924">
        <v>38869</v>
      </c>
      <c r="O159" s="473"/>
      <c r="P159" s="1925"/>
      <c r="Q159" s="473">
        <v>364</v>
      </c>
      <c r="R159" s="1923">
        <v>38869</v>
      </c>
      <c r="S159" s="957">
        <v>1035</v>
      </c>
      <c r="T159" s="1926">
        <v>38869</v>
      </c>
      <c r="U159" s="957">
        <v>2807</v>
      </c>
      <c r="V159" s="1927">
        <v>38869</v>
      </c>
      <c r="W159" s="879">
        <v>17529</v>
      </c>
      <c r="X159" s="1931" t="s">
        <v>8151</v>
      </c>
      <c r="Y159" s="473">
        <v>70</v>
      </c>
      <c r="Z159" s="1923">
        <v>38869</v>
      </c>
      <c r="AA159" s="473"/>
      <c r="AB159" s="471"/>
      <c r="AC159" s="655">
        <f t="shared" si="9"/>
        <v>39901</v>
      </c>
      <c r="AD159" s="1095" t="s">
        <v>587</v>
      </c>
      <c r="AE159" s="1096" t="s">
        <v>2617</v>
      </c>
      <c r="AF159" s="1928" t="s">
        <v>2618</v>
      </c>
      <c r="AG159" s="656" t="s">
        <v>1061</v>
      </c>
      <c r="AH159" s="657">
        <v>42611</v>
      </c>
      <c r="AI159" s="1929">
        <v>1185102</v>
      </c>
      <c r="AJ159" s="750">
        <v>475</v>
      </c>
      <c r="AK159" s="1930">
        <v>42522</v>
      </c>
      <c r="AL159" s="751">
        <v>22868</v>
      </c>
      <c r="AM159" s="1930">
        <v>42522</v>
      </c>
      <c r="AN159" s="723"/>
      <c r="AO159" s="1931"/>
      <c r="AP159" s="723">
        <v>470</v>
      </c>
      <c r="AQ159" s="1930">
        <v>42522</v>
      </c>
      <c r="AR159" s="972"/>
      <c r="AS159" s="1932"/>
      <c r="AT159" s="972"/>
      <c r="AU159" s="1932"/>
      <c r="AV159" s="723">
        <v>18059</v>
      </c>
      <c r="AW159" s="1931" t="s">
        <v>4024</v>
      </c>
      <c r="AX159" s="723">
        <v>90</v>
      </c>
      <c r="AY159" s="1930">
        <v>42522</v>
      </c>
      <c r="AZ159" s="723"/>
      <c r="BA159" s="753"/>
      <c r="BB159" s="659">
        <f t="shared" si="8"/>
        <v>41962</v>
      </c>
      <c r="BC159" s="754" t="s">
        <v>3968</v>
      </c>
      <c r="BD159" s="741">
        <f>SUM(BB157:BB159)</f>
        <v>240468</v>
      </c>
      <c r="BE159" s="742">
        <f>BD159-BF159</f>
        <v>240468</v>
      </c>
      <c r="BF159" s="742">
        <f>SUM(AR157:AR159)+SUM(AT157:AT159)</f>
        <v>0</v>
      </c>
      <c r="BG159" s="4132"/>
      <c r="BH159" s="4127"/>
      <c r="BI159" s="4122"/>
    </row>
    <row r="160" spans="1:61" ht="79.5" thickBot="1">
      <c r="A160" s="1933" t="s">
        <v>4028</v>
      </c>
      <c r="B160" s="604" t="s">
        <v>3350</v>
      </c>
      <c r="C160" s="605" t="s">
        <v>4092</v>
      </c>
      <c r="D160" s="1934" t="s">
        <v>788</v>
      </c>
      <c r="E160" s="607" t="s">
        <v>2111</v>
      </c>
      <c r="F160" s="608" t="s">
        <v>2112</v>
      </c>
      <c r="G160" s="607" t="s">
        <v>2114</v>
      </c>
      <c r="H160" s="608" t="s">
        <v>2113</v>
      </c>
      <c r="I160" s="607" t="s">
        <v>2115</v>
      </c>
      <c r="J160" s="609" t="s">
        <v>8159</v>
      </c>
      <c r="K160" s="1935"/>
      <c r="L160" s="1936"/>
      <c r="M160" s="1937"/>
      <c r="N160" s="1938"/>
      <c r="O160" s="1935"/>
      <c r="P160" s="1939"/>
      <c r="Q160" s="1935"/>
      <c r="R160" s="1936"/>
      <c r="S160" s="1940"/>
      <c r="T160" s="1941"/>
      <c r="U160" s="1940"/>
      <c r="V160" s="1942"/>
      <c r="W160" s="1943">
        <v>9000</v>
      </c>
      <c r="X160" s="1840" t="s">
        <v>8140</v>
      </c>
      <c r="Y160" s="1935"/>
      <c r="Z160" s="1936"/>
      <c r="AA160" s="1935"/>
      <c r="AB160" s="1944"/>
      <c r="AC160" s="615">
        <f t="shared" si="9"/>
        <v>9000</v>
      </c>
      <c r="AD160" s="1985" t="s">
        <v>465</v>
      </c>
      <c r="AE160" s="1986">
        <v>41464</v>
      </c>
      <c r="AF160" s="1987">
        <v>42925</v>
      </c>
      <c r="AG160" s="619" t="s">
        <v>4088</v>
      </c>
      <c r="AH160" s="620">
        <v>42629</v>
      </c>
      <c r="AI160" s="621">
        <v>1185692</v>
      </c>
      <c r="AJ160" s="622"/>
      <c r="AK160" s="626"/>
      <c r="AL160" s="624"/>
      <c r="AM160" s="626"/>
      <c r="AN160" s="625"/>
      <c r="AO160" s="626"/>
      <c r="AP160" s="625"/>
      <c r="AQ160" s="626"/>
      <c r="AR160" s="980"/>
      <c r="AS160" s="1945"/>
      <c r="AT160" s="980"/>
      <c r="AU160" s="1945"/>
      <c r="AV160" s="625">
        <v>9000</v>
      </c>
      <c r="AW160" s="623">
        <v>42522</v>
      </c>
      <c r="AX160" s="625"/>
      <c r="AY160" s="626"/>
      <c r="AZ160" s="625"/>
      <c r="BA160" s="627"/>
      <c r="BB160" s="628">
        <f t="shared" si="8"/>
        <v>9000</v>
      </c>
      <c r="BC160" s="755" t="s">
        <v>4089</v>
      </c>
      <c r="BD160" s="756">
        <f>SUM(BB160)</f>
        <v>9000</v>
      </c>
      <c r="BE160" s="757">
        <f>BD160-BF160</f>
        <v>9000</v>
      </c>
      <c r="BF160" s="757">
        <f>SUM(AR160)+SUM(AT160)</f>
        <v>0</v>
      </c>
    </row>
    <row r="161" spans="1:61" ht="78.75">
      <c r="A161" s="599" t="s">
        <v>4028</v>
      </c>
      <c r="B161" s="792" t="s">
        <v>3350</v>
      </c>
      <c r="C161" s="511" t="s">
        <v>4090</v>
      </c>
      <c r="D161" s="672" t="s">
        <v>788</v>
      </c>
      <c r="E161" s="461" t="s">
        <v>2111</v>
      </c>
      <c r="F161" s="406" t="s">
        <v>2112</v>
      </c>
      <c r="G161" s="461" t="s">
        <v>2114</v>
      </c>
      <c r="H161" s="406" t="s">
        <v>2113</v>
      </c>
      <c r="I161" s="461" t="s">
        <v>2115</v>
      </c>
      <c r="J161" s="407" t="s">
        <v>8159</v>
      </c>
      <c r="K161" s="518"/>
      <c r="L161" s="519"/>
      <c r="M161" s="520"/>
      <c r="N161" s="521"/>
      <c r="O161" s="518"/>
      <c r="P161" s="522"/>
      <c r="Q161" s="518"/>
      <c r="R161" s="519"/>
      <c r="S161" s="964"/>
      <c r="T161" s="1109"/>
      <c r="U161" s="964"/>
      <c r="V161" s="967"/>
      <c r="W161" s="1962">
        <v>9000</v>
      </c>
      <c r="X161" s="408" t="s">
        <v>8140</v>
      </c>
      <c r="Y161" s="518"/>
      <c r="Z161" s="519"/>
      <c r="AA161" s="518"/>
      <c r="AB161" s="523"/>
      <c r="AC161" s="512">
        <f t="shared" si="9"/>
        <v>9000</v>
      </c>
      <c r="AD161" s="673" t="s">
        <v>465</v>
      </c>
      <c r="AE161" s="674">
        <v>41464</v>
      </c>
      <c r="AF161" s="675">
        <v>42925</v>
      </c>
      <c r="AG161" s="514" t="s">
        <v>4094</v>
      </c>
      <c r="AH161" s="515">
        <v>42661</v>
      </c>
      <c r="AI161" s="516">
        <v>1186949</v>
      </c>
      <c r="AJ161" s="439"/>
      <c r="AK161" s="466"/>
      <c r="AL161" s="445"/>
      <c r="AM161" s="466"/>
      <c r="AN161" s="441"/>
      <c r="AO161" s="466"/>
      <c r="AP161" s="441"/>
      <c r="AQ161" s="466"/>
      <c r="AR161" s="982"/>
      <c r="AS161" s="984"/>
      <c r="AT161" s="982"/>
      <c r="AU161" s="984"/>
      <c r="AV161" s="441">
        <v>9000</v>
      </c>
      <c r="AW161" s="440">
        <v>42522</v>
      </c>
      <c r="AX161" s="441"/>
      <c r="AY161" s="466"/>
      <c r="AZ161" s="441"/>
      <c r="BA161" s="467"/>
      <c r="BB161" s="815">
        <f t="shared" si="8"/>
        <v>9000</v>
      </c>
      <c r="BC161" s="3027"/>
      <c r="BD161" s="3028"/>
      <c r="BE161" s="3029"/>
      <c r="BF161" s="3029"/>
    </row>
    <row r="162" spans="1:61" ht="113.25" thickBot="1">
      <c r="A162" s="470" t="s">
        <v>4033</v>
      </c>
      <c r="B162" s="651" t="s">
        <v>963</v>
      </c>
      <c r="C162" s="1963" t="s">
        <v>3741</v>
      </c>
      <c r="D162" s="470" t="s">
        <v>788</v>
      </c>
      <c r="E162" s="1964" t="s">
        <v>3739</v>
      </c>
      <c r="F162" s="1965" t="s">
        <v>3740</v>
      </c>
      <c r="G162" s="468" t="s">
        <v>904</v>
      </c>
      <c r="H162" s="1965" t="s">
        <v>2412</v>
      </c>
      <c r="I162" s="1964" t="s">
        <v>627</v>
      </c>
      <c r="J162" s="1965" t="s">
        <v>912</v>
      </c>
      <c r="K162" s="473">
        <v>1794</v>
      </c>
      <c r="L162" s="1966">
        <v>40422</v>
      </c>
      <c r="M162" s="653">
        <v>30016</v>
      </c>
      <c r="N162" s="1967">
        <v>40422</v>
      </c>
      <c r="O162" s="473"/>
      <c r="P162" s="1968"/>
      <c r="Q162" s="473"/>
      <c r="R162" s="1965" t="s">
        <v>1337</v>
      </c>
      <c r="S162" s="957"/>
      <c r="T162" s="2026" t="s">
        <v>1338</v>
      </c>
      <c r="U162" s="957">
        <v>2031</v>
      </c>
      <c r="V162" s="2027">
        <v>40422</v>
      </c>
      <c r="W162" s="473"/>
      <c r="X162" s="1965"/>
      <c r="Y162" s="473"/>
      <c r="Z162" s="1965"/>
      <c r="AA162" s="473"/>
      <c r="AB162" s="471"/>
      <c r="AC162" s="655">
        <f t="shared" si="9"/>
        <v>33841</v>
      </c>
      <c r="AD162" s="2029" t="s">
        <v>3742</v>
      </c>
      <c r="AE162" s="2030" t="s">
        <v>3743</v>
      </c>
      <c r="AF162" s="2031">
        <v>42620</v>
      </c>
      <c r="AG162" s="1038" t="s">
        <v>1061</v>
      </c>
      <c r="AH162" s="1039">
        <v>42670</v>
      </c>
      <c r="AI162" s="1969">
        <v>1187212</v>
      </c>
      <c r="AJ162" s="880">
        <v>2018</v>
      </c>
      <c r="AK162" s="1970">
        <v>42522</v>
      </c>
      <c r="AL162" s="881">
        <v>33764</v>
      </c>
      <c r="AM162" s="1970">
        <v>42522</v>
      </c>
      <c r="AN162" s="478"/>
      <c r="AO162" s="1971"/>
      <c r="AP162" s="478"/>
      <c r="AQ162" s="1971"/>
      <c r="AR162" s="987"/>
      <c r="AS162" s="2028"/>
      <c r="AT162" s="987"/>
      <c r="AU162" s="2028"/>
      <c r="AV162" s="478"/>
      <c r="AW162" s="1971"/>
      <c r="AX162" s="478"/>
      <c r="AY162" s="1971"/>
      <c r="AZ162" s="478"/>
      <c r="BA162" s="480"/>
      <c r="BB162" s="659">
        <f t="shared" si="8"/>
        <v>35782</v>
      </c>
      <c r="BC162" s="3030" t="s">
        <v>4095</v>
      </c>
      <c r="BD162" s="3031">
        <f>SUM(BB161:BB162)</f>
        <v>44782</v>
      </c>
      <c r="BE162" s="881">
        <f>BD162-BF162</f>
        <v>44782</v>
      </c>
      <c r="BF162" s="881">
        <f>SUM(AR162)+SUM(AT162)</f>
        <v>0</v>
      </c>
    </row>
    <row r="163" spans="1:61" ht="78.75">
      <c r="A163" s="418" t="s">
        <v>4028</v>
      </c>
      <c r="B163" s="699" t="s">
        <v>3350</v>
      </c>
      <c r="C163" s="215" t="s">
        <v>4091</v>
      </c>
      <c r="D163" s="447" t="s">
        <v>788</v>
      </c>
      <c r="E163" s="354" t="s">
        <v>2111</v>
      </c>
      <c r="F163" s="353" t="s">
        <v>2112</v>
      </c>
      <c r="G163" s="354" t="s">
        <v>2114</v>
      </c>
      <c r="H163" s="353" t="s">
        <v>2113</v>
      </c>
      <c r="I163" s="354" t="s">
        <v>2115</v>
      </c>
      <c r="J163" s="355" t="s">
        <v>8159</v>
      </c>
      <c r="K163" s="430"/>
      <c r="L163" s="434"/>
      <c r="M163" s="432"/>
      <c r="N163" s="448"/>
      <c r="O163" s="430"/>
      <c r="P163" s="435"/>
      <c r="Q163" s="430"/>
      <c r="R163" s="434"/>
      <c r="S163" s="964"/>
      <c r="T163" s="1109"/>
      <c r="U163" s="964"/>
      <c r="V163" s="967"/>
      <c r="W163" s="460">
        <v>9000</v>
      </c>
      <c r="X163" s="363" t="s">
        <v>8140</v>
      </c>
      <c r="Y163" s="430"/>
      <c r="Z163" s="434"/>
      <c r="AA163" s="430"/>
      <c r="AB163" s="436"/>
      <c r="AC163" s="358">
        <f t="shared" si="9"/>
        <v>9000</v>
      </c>
      <c r="AD163" s="1988" t="s">
        <v>465</v>
      </c>
      <c r="AE163" s="1205">
        <v>41464</v>
      </c>
      <c r="AF163" s="1206">
        <v>42925</v>
      </c>
      <c r="AG163" s="377" t="s">
        <v>1061</v>
      </c>
      <c r="AH163" s="378">
        <v>42690</v>
      </c>
      <c r="AI163" s="379">
        <v>1187713</v>
      </c>
      <c r="AJ163" s="380"/>
      <c r="AK163" s="381"/>
      <c r="AL163" s="382"/>
      <c r="AM163" s="381"/>
      <c r="AN163" s="383"/>
      <c r="AO163" s="381"/>
      <c r="AP163" s="383"/>
      <c r="AQ163" s="381"/>
      <c r="AR163" s="982"/>
      <c r="AS163" s="984"/>
      <c r="AT163" s="982"/>
      <c r="AU163" s="984"/>
      <c r="AV163" s="383">
        <v>9000</v>
      </c>
      <c r="AW163" s="893">
        <v>42522</v>
      </c>
      <c r="AX163" s="383"/>
      <c r="AY163" s="381"/>
      <c r="AZ163" s="383"/>
      <c r="BA163" s="384"/>
      <c r="BB163" s="721">
        <f t="shared" si="8"/>
        <v>9000</v>
      </c>
      <c r="BC163" s="4017"/>
    </row>
    <row r="164" spans="1:61" s="47" customFormat="1" ht="67.5">
      <c r="A164" s="418" t="s">
        <v>4143</v>
      </c>
      <c r="B164" s="368" t="s">
        <v>4145</v>
      </c>
      <c r="C164" s="215" t="s">
        <v>3707</v>
      </c>
      <c r="D164" s="350" t="s">
        <v>233</v>
      </c>
      <c r="E164" s="354" t="s">
        <v>757</v>
      </c>
      <c r="F164" s="353" t="s">
        <v>1196</v>
      </c>
      <c r="G164" s="354" t="s">
        <v>1177</v>
      </c>
      <c r="H164" s="353" t="s">
        <v>905</v>
      </c>
      <c r="I164" s="354" t="s">
        <v>536</v>
      </c>
      <c r="J164" s="355" t="s">
        <v>990</v>
      </c>
      <c r="K164" s="370"/>
      <c r="L164" s="1984" t="s">
        <v>3088</v>
      </c>
      <c r="M164" s="371">
        <v>977</v>
      </c>
      <c r="N164" s="372">
        <v>38596</v>
      </c>
      <c r="O164" s="419"/>
      <c r="P164" s="363" t="s">
        <v>4160</v>
      </c>
      <c r="Q164" s="370"/>
      <c r="R164" s="1984" t="s">
        <v>3089</v>
      </c>
      <c r="S164" s="948">
        <v>2852</v>
      </c>
      <c r="T164" s="949">
        <v>38596</v>
      </c>
      <c r="U164" s="948">
        <v>2982</v>
      </c>
      <c r="V164" s="950">
        <v>38596</v>
      </c>
      <c r="W164" s="370"/>
      <c r="X164" s="353"/>
      <c r="Y164" s="370"/>
      <c r="Z164" s="353"/>
      <c r="AA164" s="419"/>
      <c r="AB164" s="366" t="s">
        <v>4162</v>
      </c>
      <c r="AC164" s="358">
        <f t="shared" si="9"/>
        <v>6811</v>
      </c>
      <c r="AD164" s="427" t="s">
        <v>506</v>
      </c>
      <c r="AE164" s="428" t="s">
        <v>3708</v>
      </c>
      <c r="AF164" s="892" t="s">
        <v>3709</v>
      </c>
      <c r="AG164" s="359" t="s">
        <v>4138</v>
      </c>
      <c r="AH164" s="713" t="s">
        <v>4140</v>
      </c>
      <c r="AI164" s="361" t="s">
        <v>4141</v>
      </c>
      <c r="AJ164" s="362"/>
      <c r="AK164" s="363" t="s">
        <v>3076</v>
      </c>
      <c r="AL164" s="364">
        <v>1313</v>
      </c>
      <c r="AM164" s="394">
        <v>42614</v>
      </c>
      <c r="AN164" s="365"/>
      <c r="AO164" s="363"/>
      <c r="AP164" s="365"/>
      <c r="AQ164" s="363" t="s">
        <v>3077</v>
      </c>
      <c r="AR164" s="935"/>
      <c r="AS164" s="936"/>
      <c r="AT164" s="935"/>
      <c r="AU164" s="936"/>
      <c r="AV164" s="365"/>
      <c r="AW164" s="363"/>
      <c r="AX164" s="365"/>
      <c r="AY164" s="363"/>
      <c r="AZ164" s="365"/>
      <c r="BA164" s="366"/>
      <c r="BB164" s="367">
        <f t="shared" si="8"/>
        <v>1313</v>
      </c>
      <c r="BC164" s="238"/>
      <c r="BG164" s="4132"/>
      <c r="BH164" s="4127"/>
      <c r="BI164" s="4122"/>
    </row>
    <row r="165" spans="1:61" s="47" customFormat="1" ht="67.5">
      <c r="A165" s="418" t="s">
        <v>4143</v>
      </c>
      <c r="B165" s="368" t="s">
        <v>4144</v>
      </c>
      <c r="C165" s="1889" t="s">
        <v>3710</v>
      </c>
      <c r="D165" s="350" t="s">
        <v>233</v>
      </c>
      <c r="E165" s="1890" t="s">
        <v>854</v>
      </c>
      <c r="F165" s="1720" t="s">
        <v>1196</v>
      </c>
      <c r="G165" s="1890" t="s">
        <v>406</v>
      </c>
      <c r="H165" s="1720" t="s">
        <v>953</v>
      </c>
      <c r="I165" s="1890" t="s">
        <v>536</v>
      </c>
      <c r="J165" s="1721" t="s">
        <v>990</v>
      </c>
      <c r="K165" s="1891"/>
      <c r="L165" s="1989" t="s">
        <v>3088</v>
      </c>
      <c r="M165" s="1893">
        <v>977</v>
      </c>
      <c r="N165" s="1894">
        <v>38596</v>
      </c>
      <c r="O165" s="1895"/>
      <c r="P165" s="363" t="s">
        <v>4161</v>
      </c>
      <c r="Q165" s="1891"/>
      <c r="R165" s="1989" t="s">
        <v>3089</v>
      </c>
      <c r="S165" s="1897">
        <v>2852</v>
      </c>
      <c r="T165" s="1899">
        <v>38596</v>
      </c>
      <c r="U165" s="1897">
        <v>2982</v>
      </c>
      <c r="V165" s="1899" t="s">
        <v>2197</v>
      </c>
      <c r="W165" s="1891"/>
      <c r="X165" s="1720"/>
      <c r="Y165" s="1891"/>
      <c r="Z165" s="1720"/>
      <c r="AA165" s="1895"/>
      <c r="AB165" s="366" t="s">
        <v>4162</v>
      </c>
      <c r="AC165" s="358">
        <f t="shared" si="9"/>
        <v>6811</v>
      </c>
      <c r="AD165" s="1990" t="s">
        <v>2196</v>
      </c>
      <c r="AE165" s="1991" t="s">
        <v>3711</v>
      </c>
      <c r="AF165" s="1992" t="s">
        <v>3712</v>
      </c>
      <c r="AG165" s="1993" t="s">
        <v>4138</v>
      </c>
      <c r="AH165" s="1994" t="s">
        <v>4139</v>
      </c>
      <c r="AI165" s="1995" t="s">
        <v>4142</v>
      </c>
      <c r="AJ165" s="1996"/>
      <c r="AK165" s="1997" t="s">
        <v>3076</v>
      </c>
      <c r="AL165" s="364">
        <v>1313</v>
      </c>
      <c r="AM165" s="394">
        <v>42614</v>
      </c>
      <c r="AN165" s="1998"/>
      <c r="AO165" s="1997"/>
      <c r="AP165" s="1998"/>
      <c r="AQ165" s="1997" t="s">
        <v>3077</v>
      </c>
      <c r="AR165" s="1999"/>
      <c r="AS165" s="2000"/>
      <c r="AT165" s="1999"/>
      <c r="AU165" s="2000"/>
      <c r="AV165" s="1998"/>
      <c r="AW165" s="1997"/>
      <c r="AX165" s="1998"/>
      <c r="AY165" s="1997"/>
      <c r="AZ165" s="1998"/>
      <c r="BA165" s="2001"/>
      <c r="BB165" s="367">
        <f t="shared" si="8"/>
        <v>1313</v>
      </c>
      <c r="BC165" s="4020"/>
      <c r="BG165" s="4132"/>
      <c r="BH165" s="4127"/>
      <c r="BI165" s="4122"/>
    </row>
    <row r="166" spans="1:61" s="47" customFormat="1" ht="102" thickBot="1">
      <c r="A166" s="779" t="s">
        <v>3518</v>
      </c>
      <c r="B166" s="527" t="s">
        <v>3517</v>
      </c>
      <c r="C166" s="528" t="s">
        <v>2629</v>
      </c>
      <c r="D166" s="529" t="s">
        <v>3642</v>
      </c>
      <c r="E166" s="530" t="s">
        <v>664</v>
      </c>
      <c r="F166" s="2014" t="s">
        <v>138</v>
      </c>
      <c r="G166" s="530" t="s">
        <v>1332</v>
      </c>
      <c r="H166" s="2014" t="s">
        <v>981</v>
      </c>
      <c r="I166" s="530" t="s">
        <v>3527</v>
      </c>
      <c r="J166" s="532" t="s">
        <v>3524</v>
      </c>
      <c r="K166" s="533">
        <f>958*28</f>
        <v>26824</v>
      </c>
      <c r="L166" s="2015" t="s">
        <v>3169</v>
      </c>
      <c r="M166" s="535"/>
      <c r="N166" s="2016"/>
      <c r="O166" s="533"/>
      <c r="P166" s="2017"/>
      <c r="Q166" s="473"/>
      <c r="R166" s="1965" t="s">
        <v>1413</v>
      </c>
      <c r="S166" s="957">
        <f>3510*28</f>
        <v>98280</v>
      </c>
      <c r="T166" s="2018" t="s">
        <v>3176</v>
      </c>
      <c r="U166" s="957">
        <f>3211*28</f>
        <v>89908</v>
      </c>
      <c r="V166" s="2019" t="s">
        <v>3177</v>
      </c>
      <c r="W166" s="533"/>
      <c r="X166" s="2014"/>
      <c r="Y166" s="533">
        <f>1000*28</f>
        <v>28000</v>
      </c>
      <c r="Z166" s="2014" t="s">
        <v>3530</v>
      </c>
      <c r="AA166" s="533"/>
      <c r="AB166" s="532"/>
      <c r="AC166" s="729">
        <f t="shared" si="9"/>
        <v>243012</v>
      </c>
      <c r="AD166" s="730" t="s">
        <v>556</v>
      </c>
      <c r="AE166" s="731" t="s">
        <v>557</v>
      </c>
      <c r="AF166" s="2032" t="s">
        <v>2307</v>
      </c>
      <c r="AG166" s="778" t="s">
        <v>4194</v>
      </c>
      <c r="AH166" s="663">
        <v>42703</v>
      </c>
      <c r="AI166" s="2020">
        <v>1188096</v>
      </c>
      <c r="AJ166" s="733">
        <v>35756</v>
      </c>
      <c r="AK166" s="2021">
        <v>42614</v>
      </c>
      <c r="AL166" s="735"/>
      <c r="AM166" s="2022"/>
      <c r="AN166" s="662"/>
      <c r="AO166" s="2022"/>
      <c r="AP166" s="723"/>
      <c r="AQ166" s="2023"/>
      <c r="AR166" s="972"/>
      <c r="AS166" s="2024"/>
      <c r="AT166" s="972"/>
      <c r="AU166" s="2024"/>
      <c r="AV166" s="662"/>
      <c r="AW166" s="2022"/>
      <c r="AX166" s="662">
        <v>37016</v>
      </c>
      <c r="AY166" s="2021">
        <v>42614</v>
      </c>
      <c r="AZ166" s="662"/>
      <c r="BA166" s="736"/>
      <c r="BB166" s="545">
        <f t="shared" si="8"/>
        <v>72772</v>
      </c>
      <c r="BC166" s="3032" t="s">
        <v>4135</v>
      </c>
      <c r="BD166" s="3033">
        <f>SUM(BB163:BB166)</f>
        <v>84398</v>
      </c>
      <c r="BE166" s="3034">
        <f>BD166-BF166</f>
        <v>84398</v>
      </c>
      <c r="BF166" s="3034">
        <f>SUM(AR163:AR166)+SUM(AT163:AT166)</f>
        <v>0</v>
      </c>
      <c r="BG166" s="4132"/>
      <c r="BH166" s="4127"/>
      <c r="BI166" s="4122"/>
    </row>
    <row r="167" spans="1:61" ht="146.25">
      <c r="A167" s="671" t="s">
        <v>4196</v>
      </c>
      <c r="B167" s="2025" t="s">
        <v>4195</v>
      </c>
      <c r="C167" s="511" t="s">
        <v>2903</v>
      </c>
      <c r="D167" s="462" t="s">
        <v>788</v>
      </c>
      <c r="E167" s="461" t="s">
        <v>575</v>
      </c>
      <c r="F167" s="406" t="s">
        <v>825</v>
      </c>
      <c r="G167" s="461" t="s">
        <v>541</v>
      </c>
      <c r="H167" s="406" t="s">
        <v>2931</v>
      </c>
      <c r="I167" s="461" t="s">
        <v>562</v>
      </c>
      <c r="J167" s="407" t="s">
        <v>417</v>
      </c>
      <c r="K167" s="396">
        <v>41</v>
      </c>
      <c r="L167" s="397">
        <v>39965</v>
      </c>
      <c r="M167" s="600"/>
      <c r="N167" s="399" t="s">
        <v>2932</v>
      </c>
      <c r="O167" s="396"/>
      <c r="P167" s="415"/>
      <c r="Q167" s="396">
        <v>41</v>
      </c>
      <c r="R167" s="397">
        <v>39965</v>
      </c>
      <c r="S167" s="935">
        <v>728</v>
      </c>
      <c r="T167" s="1219" t="s">
        <v>2938</v>
      </c>
      <c r="U167" s="935">
        <v>539</v>
      </c>
      <c r="V167" s="1219" t="s">
        <v>2938</v>
      </c>
      <c r="W167" s="396"/>
      <c r="X167" s="406"/>
      <c r="Y167" s="396"/>
      <c r="Z167" s="406"/>
      <c r="AA167" s="396"/>
      <c r="AB167" s="407"/>
      <c r="AC167" s="512">
        <f t="shared" si="9"/>
        <v>1349</v>
      </c>
      <c r="AD167" s="513" t="s">
        <v>937</v>
      </c>
      <c r="AE167" s="464">
        <v>40091</v>
      </c>
      <c r="AF167" s="465">
        <v>41552</v>
      </c>
      <c r="AG167" s="524" t="s">
        <v>4197</v>
      </c>
      <c r="AH167" s="525" t="s">
        <v>4198</v>
      </c>
      <c r="AI167" s="516">
        <v>1187201</v>
      </c>
      <c r="AJ167" s="439">
        <v>48</v>
      </c>
      <c r="AK167" s="440">
        <v>42614</v>
      </c>
      <c r="AL167" s="445"/>
      <c r="AM167" s="466"/>
      <c r="AN167" s="441"/>
      <c r="AO167" s="466"/>
      <c r="AP167" s="441">
        <v>48</v>
      </c>
      <c r="AQ167" s="440">
        <v>42614</v>
      </c>
      <c r="AR167" s="982"/>
      <c r="AS167" s="984"/>
      <c r="AT167" s="982"/>
      <c r="AU167" s="984"/>
      <c r="AV167" s="441"/>
      <c r="AW167" s="466"/>
      <c r="AX167" s="441"/>
      <c r="AY167" s="466"/>
      <c r="AZ167" s="441"/>
      <c r="BA167" s="467"/>
      <c r="BB167" s="517">
        <f t="shared" si="8"/>
        <v>96</v>
      </c>
      <c r="BC167" s="3016"/>
      <c r="BD167" s="697"/>
      <c r="BE167" s="217"/>
      <c r="BF167" s="217"/>
    </row>
    <row r="168" spans="1:61" ht="78.75">
      <c r="A168" s="599" t="s">
        <v>4028</v>
      </c>
      <c r="B168" s="792" t="s">
        <v>3350</v>
      </c>
      <c r="C168" s="511" t="s">
        <v>4137</v>
      </c>
      <c r="D168" s="672" t="s">
        <v>788</v>
      </c>
      <c r="E168" s="461" t="s">
        <v>2111</v>
      </c>
      <c r="F168" s="406" t="s">
        <v>2112</v>
      </c>
      <c r="G168" s="461" t="s">
        <v>2114</v>
      </c>
      <c r="H168" s="406" t="s">
        <v>2113</v>
      </c>
      <c r="I168" s="461" t="s">
        <v>2115</v>
      </c>
      <c r="J168" s="407" t="s">
        <v>8159</v>
      </c>
      <c r="K168" s="518"/>
      <c r="L168" s="519"/>
      <c r="M168" s="520"/>
      <c r="N168" s="521"/>
      <c r="O168" s="518"/>
      <c r="P168" s="522"/>
      <c r="Q168" s="518"/>
      <c r="R168" s="519"/>
      <c r="S168" s="964"/>
      <c r="T168" s="1109"/>
      <c r="U168" s="964"/>
      <c r="V168" s="967"/>
      <c r="W168" s="1962">
        <v>9000</v>
      </c>
      <c r="X168" s="408" t="s">
        <v>8139</v>
      </c>
      <c r="Y168" s="518"/>
      <c r="Z168" s="519"/>
      <c r="AA168" s="518"/>
      <c r="AB168" s="523"/>
      <c r="AC168" s="512">
        <f t="shared" si="9"/>
        <v>9000</v>
      </c>
      <c r="AD168" s="673" t="s">
        <v>465</v>
      </c>
      <c r="AE168" s="674">
        <v>41464</v>
      </c>
      <c r="AF168" s="675">
        <v>42925</v>
      </c>
      <c r="AG168" s="514" t="s">
        <v>4247</v>
      </c>
      <c r="AH168" s="515">
        <v>42723</v>
      </c>
      <c r="AI168" s="516">
        <v>1188630</v>
      </c>
      <c r="AJ168" s="439"/>
      <c r="AK168" s="466"/>
      <c r="AL168" s="445"/>
      <c r="AM168" s="466"/>
      <c r="AN168" s="441"/>
      <c r="AO168" s="466"/>
      <c r="AP168" s="441"/>
      <c r="AQ168" s="466"/>
      <c r="AR168" s="982"/>
      <c r="AS168" s="984"/>
      <c r="AT168" s="982"/>
      <c r="AU168" s="984"/>
      <c r="AV168" s="439">
        <v>9000</v>
      </c>
      <c r="AW168" s="404">
        <v>42522</v>
      </c>
      <c r="AX168" s="441"/>
      <c r="AY168" s="466"/>
      <c r="AZ168" s="441"/>
      <c r="BA168" s="467"/>
      <c r="BB168" s="517">
        <f t="shared" ref="BB168:BB196" si="10">AJ168+AL168+AN168+AP168+AR168+AT168+AV168+AX168+AZ168</f>
        <v>9000</v>
      </c>
      <c r="BC168" s="3016"/>
      <c r="BD168" s="697"/>
      <c r="BE168" s="217"/>
      <c r="BF168" s="217"/>
    </row>
    <row r="169" spans="1:61" ht="83.25">
      <c r="A169" s="442" t="s">
        <v>3885</v>
      </c>
      <c r="B169" s="510" t="s">
        <v>3452</v>
      </c>
      <c r="C169" s="511" t="s">
        <v>2737</v>
      </c>
      <c r="D169" s="462" t="s">
        <v>788</v>
      </c>
      <c r="E169" s="461" t="s">
        <v>2739</v>
      </c>
      <c r="F169" s="406" t="s">
        <v>2731</v>
      </c>
      <c r="G169" s="461" t="s">
        <v>2732</v>
      </c>
      <c r="H169" s="406" t="s">
        <v>2733</v>
      </c>
      <c r="I169" s="461" t="s">
        <v>394</v>
      </c>
      <c r="J169" s="407" t="s">
        <v>493</v>
      </c>
      <c r="K169" s="396"/>
      <c r="L169" s="397"/>
      <c r="M169" s="392"/>
      <c r="N169" s="393"/>
      <c r="O169" s="396"/>
      <c r="P169" s="415"/>
      <c r="Q169" s="396"/>
      <c r="R169" s="406"/>
      <c r="S169" s="948"/>
      <c r="T169" s="949"/>
      <c r="U169" s="948"/>
      <c r="V169" s="963"/>
      <c r="W169" s="396">
        <v>2605</v>
      </c>
      <c r="X169" s="397">
        <v>41883</v>
      </c>
      <c r="Y169" s="396">
        <v>1277</v>
      </c>
      <c r="Z169" s="397">
        <v>41883</v>
      </c>
      <c r="AA169" s="396"/>
      <c r="AB169" s="407"/>
      <c r="AC169" s="512">
        <f t="shared" si="9"/>
        <v>3882</v>
      </c>
      <c r="AD169" s="513" t="s">
        <v>465</v>
      </c>
      <c r="AE169" s="464">
        <v>39837</v>
      </c>
      <c r="AF169" s="465">
        <v>41297</v>
      </c>
      <c r="AG169" s="514" t="s">
        <v>4248</v>
      </c>
      <c r="AH169" s="515">
        <v>42725</v>
      </c>
      <c r="AI169" s="516">
        <v>1188712</v>
      </c>
      <c r="AJ169" s="439"/>
      <c r="AK169" s="466"/>
      <c r="AL169" s="445"/>
      <c r="AM169" s="466"/>
      <c r="AN169" s="441"/>
      <c r="AO169" s="466"/>
      <c r="AP169" s="441"/>
      <c r="AQ169" s="466"/>
      <c r="AR169" s="982"/>
      <c r="AS169" s="984"/>
      <c r="AT169" s="982"/>
      <c r="AU169" s="984"/>
      <c r="AV169" s="441">
        <v>2683</v>
      </c>
      <c r="AW169" s="440">
        <v>42614</v>
      </c>
      <c r="AX169" s="441">
        <v>1315</v>
      </c>
      <c r="AY169" s="440">
        <v>42614</v>
      </c>
      <c r="AZ169" s="441"/>
      <c r="BA169" s="467"/>
      <c r="BB169" s="517">
        <f t="shared" si="10"/>
        <v>3998</v>
      </c>
      <c r="BC169" s="3016"/>
      <c r="BD169" s="697"/>
      <c r="BE169" s="217"/>
      <c r="BF169" s="217"/>
    </row>
    <row r="170" spans="1:61" ht="147" thickBot="1">
      <c r="A170" s="1814" t="s">
        <v>3886</v>
      </c>
      <c r="B170" s="2120" t="s">
        <v>3447</v>
      </c>
      <c r="C170" s="652" t="s">
        <v>3446</v>
      </c>
      <c r="D170" s="470" t="s">
        <v>788</v>
      </c>
      <c r="E170" s="468" t="s">
        <v>3015</v>
      </c>
      <c r="F170" s="2121" t="s">
        <v>685</v>
      </c>
      <c r="G170" s="468" t="s">
        <v>390</v>
      </c>
      <c r="H170" s="2121" t="s">
        <v>588</v>
      </c>
      <c r="I170" s="1373" t="s">
        <v>8814</v>
      </c>
      <c r="J170" s="1374" t="s">
        <v>8815</v>
      </c>
      <c r="K170" s="473"/>
      <c r="L170" s="2122"/>
      <c r="M170" s="653"/>
      <c r="N170" s="2123"/>
      <c r="O170" s="473"/>
      <c r="P170" s="2124"/>
      <c r="Q170" s="473"/>
      <c r="R170" s="2121"/>
      <c r="S170" s="957"/>
      <c r="T170" s="2125"/>
      <c r="U170" s="957"/>
      <c r="V170" s="2126"/>
      <c r="W170" s="473"/>
      <c r="X170" s="2121"/>
      <c r="Y170" s="473">
        <v>37500</v>
      </c>
      <c r="Z170" s="2127" t="s">
        <v>3019</v>
      </c>
      <c r="AA170" s="473"/>
      <c r="AB170" s="471"/>
      <c r="AC170" s="655">
        <f t="shared" si="9"/>
        <v>37500</v>
      </c>
      <c r="AD170" s="1095" t="s">
        <v>2891</v>
      </c>
      <c r="AE170" s="1096" t="s">
        <v>2890</v>
      </c>
      <c r="AF170" s="2128" t="s">
        <v>175</v>
      </c>
      <c r="AG170" s="1038" t="s">
        <v>4247</v>
      </c>
      <c r="AH170" s="1039">
        <v>42726</v>
      </c>
      <c r="AI170" s="2129">
        <v>1188730</v>
      </c>
      <c r="AJ170" s="880"/>
      <c r="AK170" s="2130"/>
      <c r="AL170" s="881"/>
      <c r="AM170" s="2130"/>
      <c r="AN170" s="478"/>
      <c r="AO170" s="2130"/>
      <c r="AP170" s="478"/>
      <c r="AQ170" s="2130"/>
      <c r="AR170" s="987"/>
      <c r="AS170" s="2131"/>
      <c r="AT170" s="987"/>
      <c r="AU170" s="2131"/>
      <c r="AV170" s="478"/>
      <c r="AW170" s="2130"/>
      <c r="AX170" s="478">
        <v>38554</v>
      </c>
      <c r="AY170" s="2132">
        <v>42614</v>
      </c>
      <c r="AZ170" s="478"/>
      <c r="BA170" s="480"/>
      <c r="BB170" s="659">
        <f t="shared" si="10"/>
        <v>38554</v>
      </c>
      <c r="BC170" s="754" t="s">
        <v>4216</v>
      </c>
      <c r="BD170" s="741">
        <f>SUM(BB167:BB170)</f>
        <v>51648</v>
      </c>
      <c r="BE170" s="742">
        <f>BD170-BF170</f>
        <v>51648</v>
      </c>
      <c r="BF170" s="742">
        <f>SUM(AR167:AR170)+SUM(AT167:AT170)</f>
        <v>0</v>
      </c>
    </row>
    <row r="171" spans="1:61" ht="69.75" thickBot="1">
      <c r="A171" s="1068" t="s">
        <v>4441</v>
      </c>
      <c r="B171" s="368" t="s">
        <v>4440</v>
      </c>
      <c r="C171" s="215" t="s">
        <v>4437</v>
      </c>
      <c r="D171" s="350" t="s">
        <v>2513</v>
      </c>
      <c r="E171" s="863" t="s">
        <v>2509</v>
      </c>
      <c r="F171" s="864" t="s">
        <v>2510</v>
      </c>
      <c r="G171" s="863" t="s">
        <v>4438</v>
      </c>
      <c r="H171" s="864" t="s">
        <v>4439</v>
      </c>
      <c r="I171" s="863" t="s">
        <v>1257</v>
      </c>
      <c r="J171" s="355" t="s">
        <v>8160</v>
      </c>
      <c r="K171" s="855"/>
      <c r="L171" s="856"/>
      <c r="M171" s="857"/>
      <c r="N171" s="858"/>
      <c r="O171" s="855"/>
      <c r="P171" s="859"/>
      <c r="Q171" s="855"/>
      <c r="R171" s="890"/>
      <c r="S171" s="1027"/>
      <c r="T171" s="1046"/>
      <c r="U171" s="1027"/>
      <c r="V171" s="1047"/>
      <c r="W171" s="1592">
        <v>12000</v>
      </c>
      <c r="X171" s="864" t="s">
        <v>8152</v>
      </c>
      <c r="Y171" s="855"/>
      <c r="Z171" s="890"/>
      <c r="AA171" s="855"/>
      <c r="AB171" s="436"/>
      <c r="AC171" s="358">
        <f t="shared" si="9"/>
        <v>12000</v>
      </c>
      <c r="AD171" s="1098" t="s">
        <v>4436</v>
      </c>
      <c r="AE171" s="457">
        <v>41879</v>
      </c>
      <c r="AF171" s="1099" t="s">
        <v>175</v>
      </c>
      <c r="AG171" s="1066" t="s">
        <v>1061</v>
      </c>
      <c r="AH171" s="360">
        <v>42811</v>
      </c>
      <c r="AI171" s="1067">
        <v>1192518</v>
      </c>
      <c r="AJ171" s="860"/>
      <c r="AK171" s="861"/>
      <c r="AL171" s="382"/>
      <c r="AM171" s="861"/>
      <c r="AN171" s="862"/>
      <c r="AO171" s="861"/>
      <c r="AP171" s="862"/>
      <c r="AQ171" s="861"/>
      <c r="AR171" s="998"/>
      <c r="AS171" s="999"/>
      <c r="AT171" s="998"/>
      <c r="AU171" s="999"/>
      <c r="AV171" s="862">
        <v>12000</v>
      </c>
      <c r="AW171" s="1065">
        <v>42705</v>
      </c>
      <c r="AX171" s="862"/>
      <c r="AY171" s="861"/>
      <c r="AZ171" s="862"/>
      <c r="BA171" s="384"/>
      <c r="BB171" s="721">
        <f t="shared" si="10"/>
        <v>12000</v>
      </c>
      <c r="BC171" s="755" t="s">
        <v>4452</v>
      </c>
      <c r="BD171" s="756">
        <f>SUM(BB171)</f>
        <v>12000</v>
      </c>
      <c r="BE171" s="757">
        <f>BD171-BF171</f>
        <v>12000</v>
      </c>
      <c r="BF171" s="757">
        <f>SUM(AR171)+SUM(AT171)</f>
        <v>0</v>
      </c>
    </row>
    <row r="172" spans="1:61" s="47" customFormat="1" ht="124.5" thickBot="1">
      <c r="A172" s="2239" t="s">
        <v>3794</v>
      </c>
      <c r="B172" s="1370" t="s">
        <v>3795</v>
      </c>
      <c r="C172" s="1371" t="s">
        <v>3784</v>
      </c>
      <c r="D172" s="1372" t="s">
        <v>788</v>
      </c>
      <c r="E172" s="1373" t="s">
        <v>158</v>
      </c>
      <c r="F172" s="2240" t="s">
        <v>159</v>
      </c>
      <c r="G172" s="1373" t="s">
        <v>1259</v>
      </c>
      <c r="H172" s="2240" t="s">
        <v>1331</v>
      </c>
      <c r="I172" s="1373" t="s">
        <v>1257</v>
      </c>
      <c r="J172" s="1374" t="s">
        <v>23</v>
      </c>
      <c r="K172" s="1377"/>
      <c r="L172" s="2241" t="s">
        <v>3789</v>
      </c>
      <c r="M172" s="1379">
        <v>3735</v>
      </c>
      <c r="N172" s="2242">
        <v>38869</v>
      </c>
      <c r="O172" s="1377"/>
      <c r="P172" s="2243"/>
      <c r="Q172" s="1377"/>
      <c r="R172" s="2241" t="s">
        <v>3788</v>
      </c>
      <c r="S172" s="957"/>
      <c r="T172" s="2244" t="s">
        <v>3792</v>
      </c>
      <c r="U172" s="957"/>
      <c r="V172" s="2244" t="s">
        <v>3793</v>
      </c>
      <c r="W172" s="1377"/>
      <c r="X172" s="2240"/>
      <c r="Y172" s="1377"/>
      <c r="Z172" s="2240"/>
      <c r="AA172" s="1377"/>
      <c r="AB172" s="1374"/>
      <c r="AC172" s="1382">
        <f t="shared" si="9"/>
        <v>3735</v>
      </c>
      <c r="AD172" s="1383" t="s">
        <v>1122</v>
      </c>
      <c r="AE172" s="1384" t="s">
        <v>2827</v>
      </c>
      <c r="AF172" s="2261" t="s">
        <v>2826</v>
      </c>
      <c r="AG172" s="1555" t="s">
        <v>4503</v>
      </c>
      <c r="AH172" s="1556" t="s">
        <v>4504</v>
      </c>
      <c r="AI172" s="2245" t="s">
        <v>4505</v>
      </c>
      <c r="AJ172" s="2246"/>
      <c r="AK172" s="2241" t="s">
        <v>3790</v>
      </c>
      <c r="AL172" s="2247">
        <v>4871</v>
      </c>
      <c r="AM172" s="2248">
        <v>42705</v>
      </c>
      <c r="AN172" s="1551"/>
      <c r="AO172" s="2249"/>
      <c r="AP172" s="1551"/>
      <c r="AQ172" s="2241" t="s">
        <v>3791</v>
      </c>
      <c r="AR172" s="972"/>
      <c r="AS172" s="2250"/>
      <c r="AT172" s="972"/>
      <c r="AU172" s="2250"/>
      <c r="AV172" s="1551"/>
      <c r="AW172" s="2249"/>
      <c r="AX172" s="1551"/>
      <c r="AY172" s="2249"/>
      <c r="AZ172" s="1551"/>
      <c r="BA172" s="2251"/>
      <c r="BB172" s="1394">
        <f t="shared" si="10"/>
        <v>4871</v>
      </c>
      <c r="BC172" s="3017" t="s">
        <v>4506</v>
      </c>
      <c r="BD172" s="3018">
        <f>SUM(BB172)</f>
        <v>4871</v>
      </c>
      <c r="BE172" s="2838">
        <f>BD172-BF172</f>
        <v>4871</v>
      </c>
      <c r="BF172" s="2838">
        <f>SUM(AR172)+SUM(AT172)</f>
        <v>0</v>
      </c>
      <c r="BG172" s="4132"/>
      <c r="BH172" s="4127"/>
      <c r="BI172" s="4122"/>
    </row>
    <row r="173" spans="1:61" ht="69.75" thickBot="1">
      <c r="A173" s="1933" t="s">
        <v>4442</v>
      </c>
      <c r="B173" s="604" t="s">
        <v>4443</v>
      </c>
      <c r="C173" s="605" t="s">
        <v>4437</v>
      </c>
      <c r="D173" s="606" t="s">
        <v>2513</v>
      </c>
      <c r="E173" s="607" t="s">
        <v>2509</v>
      </c>
      <c r="F173" s="608" t="s">
        <v>2510</v>
      </c>
      <c r="G173" s="607" t="s">
        <v>4438</v>
      </c>
      <c r="H173" s="608" t="s">
        <v>4439</v>
      </c>
      <c r="I173" s="607" t="s">
        <v>1257</v>
      </c>
      <c r="J173" s="609" t="s">
        <v>8160</v>
      </c>
      <c r="K173" s="1935"/>
      <c r="L173" s="1936"/>
      <c r="M173" s="1937"/>
      <c r="N173" s="1938"/>
      <c r="O173" s="1935"/>
      <c r="P173" s="1939"/>
      <c r="Q173" s="1935"/>
      <c r="R173" s="2252"/>
      <c r="S173" s="1940"/>
      <c r="T173" s="1941"/>
      <c r="U173" s="1940"/>
      <c r="V173" s="1942"/>
      <c r="W173" s="2253">
        <v>12000</v>
      </c>
      <c r="X173" s="608" t="s">
        <v>8153</v>
      </c>
      <c r="Y173" s="1935"/>
      <c r="Z173" s="2252"/>
      <c r="AA173" s="1935"/>
      <c r="AB173" s="1944"/>
      <c r="AC173" s="615">
        <f t="shared" si="9"/>
        <v>12000</v>
      </c>
      <c r="AD173" s="2395" t="s">
        <v>4436</v>
      </c>
      <c r="AE173" s="2396">
        <v>41879</v>
      </c>
      <c r="AF173" s="2397" t="s">
        <v>175</v>
      </c>
      <c r="AG173" s="2254" t="s">
        <v>1061</v>
      </c>
      <c r="AH173" s="1835">
        <v>42885</v>
      </c>
      <c r="AI173" s="1836">
        <v>1194189</v>
      </c>
      <c r="AJ173" s="622"/>
      <c r="AK173" s="626"/>
      <c r="AL173" s="624"/>
      <c r="AM173" s="626"/>
      <c r="AN173" s="625"/>
      <c r="AO173" s="626"/>
      <c r="AP173" s="625"/>
      <c r="AQ173" s="626"/>
      <c r="AR173" s="980"/>
      <c r="AS173" s="1945"/>
      <c r="AT173" s="980"/>
      <c r="AU173" s="1945"/>
      <c r="AV173" s="625">
        <v>12000</v>
      </c>
      <c r="AW173" s="1838">
        <v>42705</v>
      </c>
      <c r="AX173" s="625"/>
      <c r="AY173" s="626"/>
      <c r="AZ173" s="625"/>
      <c r="BA173" s="627"/>
      <c r="BB173" s="628">
        <f t="shared" si="10"/>
        <v>12000</v>
      </c>
      <c r="BC173" s="3035" t="s">
        <v>4606</v>
      </c>
      <c r="BD173" s="3036">
        <f>SUM(BB173)</f>
        <v>12000</v>
      </c>
      <c r="BE173" s="3037">
        <f>BD173-BF173</f>
        <v>12000</v>
      </c>
      <c r="BF173" s="3037">
        <f>SUM(AR173)+SUM(AT173)</f>
        <v>0</v>
      </c>
    </row>
    <row r="174" spans="1:61" ht="112.5">
      <c r="A174" s="2255" t="s">
        <v>374</v>
      </c>
      <c r="B174" s="1396" t="s">
        <v>175</v>
      </c>
      <c r="C174" s="1397" t="s">
        <v>2762</v>
      </c>
      <c r="D174" s="1398" t="s">
        <v>2766</v>
      </c>
      <c r="E174" s="1399" t="s">
        <v>2763</v>
      </c>
      <c r="F174" s="1172" t="s">
        <v>2764</v>
      </c>
      <c r="G174" s="1399" t="s">
        <v>487</v>
      </c>
      <c r="H174" s="1172" t="s">
        <v>986</v>
      </c>
      <c r="I174" s="1399" t="s">
        <v>987</v>
      </c>
      <c r="J174" s="1400" t="s">
        <v>2769</v>
      </c>
      <c r="K174" s="2256">
        <v>13179</v>
      </c>
      <c r="L174" s="2257">
        <v>41883</v>
      </c>
      <c r="M174" s="2258"/>
      <c r="N174" s="2259"/>
      <c r="O174" s="2256"/>
      <c r="P174" s="2260"/>
      <c r="Q174" s="2256">
        <v>8630</v>
      </c>
      <c r="R174" s="2257">
        <v>41883</v>
      </c>
      <c r="S174" s="960">
        <v>25135</v>
      </c>
      <c r="T174" s="961">
        <v>41883</v>
      </c>
      <c r="U174" s="960">
        <v>11253</v>
      </c>
      <c r="V174" s="1075">
        <v>41883</v>
      </c>
      <c r="W174" s="2256"/>
      <c r="X174" s="1172"/>
      <c r="Y174" s="2256">
        <v>28000</v>
      </c>
      <c r="Z174" s="2257">
        <v>41883</v>
      </c>
      <c r="AA174" s="2256"/>
      <c r="AB174" s="1400"/>
      <c r="AC174" s="2262">
        <f t="shared" si="9"/>
        <v>86197</v>
      </c>
      <c r="AD174" s="1453" t="s">
        <v>1426</v>
      </c>
      <c r="AE174" s="1454" t="s">
        <v>2765</v>
      </c>
      <c r="AF174" s="1455" t="s">
        <v>1416</v>
      </c>
      <c r="AG174" s="2263" t="s">
        <v>1061</v>
      </c>
      <c r="AH174" s="2264">
        <v>42906</v>
      </c>
      <c r="AI174" s="2265" t="s">
        <v>4702</v>
      </c>
      <c r="AJ174" s="2266">
        <v>13674</v>
      </c>
      <c r="AK174" s="2267">
        <v>42795</v>
      </c>
      <c r="AL174" s="2268"/>
      <c r="AM174" s="2269"/>
      <c r="AN174" s="2270"/>
      <c r="AO174" s="2269"/>
      <c r="AP174" s="2270">
        <v>8954</v>
      </c>
      <c r="AQ174" s="2267">
        <v>42795</v>
      </c>
      <c r="AR174" s="996"/>
      <c r="AS174" s="997"/>
      <c r="AT174" s="996"/>
      <c r="AU174" s="997"/>
      <c r="AV174" s="2270"/>
      <c r="AW174" s="2269"/>
      <c r="AX174" s="2270">
        <v>29052</v>
      </c>
      <c r="AY174" s="2267">
        <v>42795</v>
      </c>
      <c r="AZ174" s="2270"/>
      <c r="BA174" s="2271"/>
      <c r="BB174" s="2272">
        <f t="shared" si="10"/>
        <v>51680</v>
      </c>
      <c r="BC174" s="3024"/>
      <c r="BD174" s="3025"/>
      <c r="BE174" s="3026"/>
      <c r="BF174" s="3026"/>
    </row>
    <row r="175" spans="1:61" ht="147" thickBot="1">
      <c r="A175" s="2239" t="s">
        <v>3887</v>
      </c>
      <c r="B175" s="2291" t="s">
        <v>3447</v>
      </c>
      <c r="C175" s="1371" t="s">
        <v>3448</v>
      </c>
      <c r="D175" s="1372" t="s">
        <v>788</v>
      </c>
      <c r="E175" s="1373" t="s">
        <v>3015</v>
      </c>
      <c r="F175" s="2240" t="s">
        <v>685</v>
      </c>
      <c r="G175" s="1373" t="s">
        <v>390</v>
      </c>
      <c r="H175" s="2240" t="s">
        <v>588</v>
      </c>
      <c r="I175" s="1373" t="s">
        <v>8814</v>
      </c>
      <c r="J175" s="1374" t="s">
        <v>8815</v>
      </c>
      <c r="K175" s="1377"/>
      <c r="L175" s="2241"/>
      <c r="M175" s="1379"/>
      <c r="N175" s="2242"/>
      <c r="O175" s="1377"/>
      <c r="P175" s="2243"/>
      <c r="Q175" s="1377"/>
      <c r="R175" s="2240"/>
      <c r="S175" s="957"/>
      <c r="T175" s="2292"/>
      <c r="U175" s="957"/>
      <c r="V175" s="2293"/>
      <c r="W175" s="1377"/>
      <c r="X175" s="2240"/>
      <c r="Y175" s="1377">
        <v>37500</v>
      </c>
      <c r="Z175" s="2294" t="s">
        <v>3020</v>
      </c>
      <c r="AA175" s="1377"/>
      <c r="AB175" s="1374"/>
      <c r="AC175" s="1382">
        <f t="shared" si="9"/>
        <v>37500</v>
      </c>
      <c r="AD175" s="1383" t="s">
        <v>2891</v>
      </c>
      <c r="AE175" s="1384" t="s">
        <v>2890</v>
      </c>
      <c r="AF175" s="2530" t="s">
        <v>175</v>
      </c>
      <c r="AG175" s="1386" t="s">
        <v>1061</v>
      </c>
      <c r="AH175" s="1387">
        <v>42908</v>
      </c>
      <c r="AI175" s="2295">
        <v>1194721</v>
      </c>
      <c r="AJ175" s="1389"/>
      <c r="AK175" s="2296"/>
      <c r="AL175" s="1558"/>
      <c r="AM175" s="2296"/>
      <c r="AN175" s="1391"/>
      <c r="AO175" s="2296"/>
      <c r="AP175" s="1391"/>
      <c r="AQ175" s="2296"/>
      <c r="AR175" s="987"/>
      <c r="AS175" s="2297"/>
      <c r="AT175" s="987"/>
      <c r="AU175" s="2297"/>
      <c r="AV175" s="1391"/>
      <c r="AW175" s="2296"/>
      <c r="AX175" s="1391">
        <v>38836</v>
      </c>
      <c r="AY175" s="2296"/>
      <c r="AZ175" s="1391"/>
      <c r="BA175" s="1393"/>
      <c r="BB175" s="1394">
        <f t="shared" si="10"/>
        <v>38836</v>
      </c>
      <c r="BC175" s="3017" t="s">
        <v>4703</v>
      </c>
      <c r="BD175" s="3018">
        <f>SUM(BB174:BB175)</f>
        <v>90516</v>
      </c>
      <c r="BE175" s="2838">
        <f>BD175-BF175</f>
        <v>90516</v>
      </c>
      <c r="BF175" s="2838">
        <f>SUM(AR174:AR175)+SUM(AT174:AT175)</f>
        <v>0</v>
      </c>
      <c r="BG175" s="4568">
        <f>SUM(BE156:BE175)</f>
        <v>579853</v>
      </c>
      <c r="BH175" s="4567">
        <f>SUM(BH156:BH174)</f>
        <v>26370</v>
      </c>
      <c r="BI175" s="4567">
        <f>SUM(BI156:BI174)</f>
        <v>0</v>
      </c>
    </row>
    <row r="176" spans="1:61" ht="113.25" thickBot="1">
      <c r="A176" s="350" t="s">
        <v>731</v>
      </c>
      <c r="B176" s="368" t="s">
        <v>962</v>
      </c>
      <c r="C176" s="1728" t="s">
        <v>3741</v>
      </c>
      <c r="D176" s="350" t="s">
        <v>788</v>
      </c>
      <c r="E176" s="421" t="s">
        <v>3739</v>
      </c>
      <c r="F176" s="353" t="s">
        <v>3740</v>
      </c>
      <c r="G176" s="354" t="s">
        <v>534</v>
      </c>
      <c r="H176" s="353" t="s">
        <v>2413</v>
      </c>
      <c r="I176" s="421" t="s">
        <v>627</v>
      </c>
      <c r="J176" s="353" t="s">
        <v>913</v>
      </c>
      <c r="K176" s="370">
        <v>2130</v>
      </c>
      <c r="L176" s="357">
        <v>40422</v>
      </c>
      <c r="M176" s="371">
        <v>35631</v>
      </c>
      <c r="N176" s="372">
        <v>40422</v>
      </c>
      <c r="O176" s="370"/>
      <c r="P176" s="373"/>
      <c r="Q176" s="370"/>
      <c r="R176" s="353" t="s">
        <v>1337</v>
      </c>
      <c r="S176" s="948"/>
      <c r="T176" s="951" t="s">
        <v>1338</v>
      </c>
      <c r="U176" s="948">
        <v>2411</v>
      </c>
      <c r="V176" s="950">
        <v>40422</v>
      </c>
      <c r="W176" s="370"/>
      <c r="X176" s="353"/>
      <c r="Y176" s="370"/>
      <c r="Z176" s="353"/>
      <c r="AA176" s="370"/>
      <c r="AB176" s="355"/>
      <c r="AC176" s="358">
        <f t="shared" si="9"/>
        <v>40172</v>
      </c>
      <c r="AD176" s="2532" t="s">
        <v>3742</v>
      </c>
      <c r="AE176" s="2533" t="s">
        <v>3743</v>
      </c>
      <c r="AF176" s="458">
        <v>42620</v>
      </c>
      <c r="AG176" s="359" t="s">
        <v>4782</v>
      </c>
      <c r="AH176" s="378">
        <v>42944</v>
      </c>
      <c r="AI176" s="379">
        <v>1195950</v>
      </c>
      <c r="AJ176" s="380">
        <v>2429</v>
      </c>
      <c r="AK176" s="893">
        <v>42795</v>
      </c>
      <c r="AL176" s="382">
        <v>40632</v>
      </c>
      <c r="AM176" s="893">
        <v>42795</v>
      </c>
      <c r="AN176" s="383"/>
      <c r="AO176" s="381"/>
      <c r="AP176" s="383"/>
      <c r="AQ176" s="381"/>
      <c r="AR176" s="982"/>
      <c r="AS176" s="984"/>
      <c r="AT176" s="982"/>
      <c r="AU176" s="984"/>
      <c r="AV176" s="383"/>
      <c r="AW176" s="381"/>
      <c r="AX176" s="383"/>
      <c r="AY176" s="381"/>
      <c r="AZ176" s="383"/>
      <c r="BA176" s="384"/>
      <c r="BB176" s="367">
        <f t="shared" si="10"/>
        <v>43061</v>
      </c>
      <c r="BC176" s="755" t="s">
        <v>4783</v>
      </c>
      <c r="BD176" s="756">
        <f>SUM(BB176)</f>
        <v>43061</v>
      </c>
      <c r="BE176" s="217">
        <f>BD176</f>
        <v>43061</v>
      </c>
    </row>
    <row r="177" spans="1:61" ht="159.75" customHeight="1">
      <c r="A177" s="2325" t="s">
        <v>3817</v>
      </c>
      <c r="B177" s="1363" t="s">
        <v>3346</v>
      </c>
      <c r="C177" s="1481" t="s">
        <v>3818</v>
      </c>
      <c r="D177" s="1362" t="s">
        <v>788</v>
      </c>
      <c r="E177" s="1482" t="s">
        <v>644</v>
      </c>
      <c r="F177" s="781" t="s">
        <v>685</v>
      </c>
      <c r="G177" s="1482" t="s">
        <v>468</v>
      </c>
      <c r="H177" s="781" t="s">
        <v>1328</v>
      </c>
      <c r="I177" s="1482" t="s">
        <v>63</v>
      </c>
      <c r="J177" s="1367" t="s">
        <v>31</v>
      </c>
      <c r="K177" s="1483">
        <v>1827</v>
      </c>
      <c r="L177" s="1484">
        <v>39873</v>
      </c>
      <c r="M177" s="1485"/>
      <c r="N177" s="2326"/>
      <c r="O177" s="2327"/>
      <c r="P177" s="2328" t="s">
        <v>4819</v>
      </c>
      <c r="Q177" s="1483">
        <v>1199</v>
      </c>
      <c r="R177" s="1484">
        <v>39873</v>
      </c>
      <c r="S177" s="948">
        <v>979</v>
      </c>
      <c r="T177" s="949">
        <v>39873</v>
      </c>
      <c r="U177" s="948">
        <v>1428</v>
      </c>
      <c r="V177" s="950">
        <v>39873</v>
      </c>
      <c r="W177" s="1483"/>
      <c r="X177" s="781"/>
      <c r="Y177" s="1483">
        <v>4675</v>
      </c>
      <c r="Z177" s="1484">
        <v>39873</v>
      </c>
      <c r="AA177" s="2323">
        <f>2163+830</f>
        <v>2993</v>
      </c>
      <c r="AB177" s="2324" t="s">
        <v>470</v>
      </c>
      <c r="AC177" s="1488">
        <f t="shared" si="9"/>
        <v>13101</v>
      </c>
      <c r="AD177" s="2393" t="s">
        <v>2120</v>
      </c>
      <c r="AE177" s="1447" t="s">
        <v>2119</v>
      </c>
      <c r="AF177" s="2394" t="s">
        <v>2118</v>
      </c>
      <c r="AG177" s="1492" t="s">
        <v>1061</v>
      </c>
      <c r="AH177" s="1493">
        <v>42954</v>
      </c>
      <c r="AI177" s="1494">
        <v>1196565</v>
      </c>
      <c r="AJ177" s="1495">
        <v>2185</v>
      </c>
      <c r="AK177" s="1496">
        <v>42795</v>
      </c>
      <c r="AL177" s="1497"/>
      <c r="AM177" s="1496"/>
      <c r="AN177" s="1476"/>
      <c r="AO177" s="1478" t="s">
        <v>4820</v>
      </c>
      <c r="AP177" s="1476">
        <v>1434</v>
      </c>
      <c r="AQ177" s="1496">
        <v>42795</v>
      </c>
      <c r="AR177" s="982"/>
      <c r="AS177" s="984"/>
      <c r="AT177" s="982"/>
      <c r="AU177" s="984"/>
      <c r="AV177" s="1476"/>
      <c r="AW177" s="1477"/>
      <c r="AX177" s="1476">
        <v>5591</v>
      </c>
      <c r="AY177" s="2322">
        <v>42795</v>
      </c>
      <c r="AZ177" s="1476">
        <v>3579</v>
      </c>
      <c r="BA177" s="2322">
        <v>42795</v>
      </c>
      <c r="BB177" s="1480">
        <f t="shared" si="10"/>
        <v>12789</v>
      </c>
      <c r="BC177" s="4017"/>
      <c r="BE177" s="55" t="s">
        <v>7237</v>
      </c>
    </row>
    <row r="178" spans="1:61" s="47" customFormat="1" ht="102" thickBot="1">
      <c r="A178" s="1546" t="s">
        <v>3838</v>
      </c>
      <c r="B178" s="1370" t="s">
        <v>4854</v>
      </c>
      <c r="C178" s="2361" t="s">
        <v>4853</v>
      </c>
      <c r="D178" s="1372" t="s">
        <v>788</v>
      </c>
      <c r="E178" s="2362" t="s">
        <v>428</v>
      </c>
      <c r="F178" s="2363" t="s">
        <v>837</v>
      </c>
      <c r="G178" s="1373" t="s">
        <v>66</v>
      </c>
      <c r="H178" s="2364" t="s">
        <v>67</v>
      </c>
      <c r="I178" s="1373" t="s">
        <v>1257</v>
      </c>
      <c r="J178" s="2365" t="s">
        <v>23</v>
      </c>
      <c r="K178" s="1377"/>
      <c r="L178" s="2366" t="s">
        <v>3834</v>
      </c>
      <c r="M178" s="1379">
        <v>3579</v>
      </c>
      <c r="N178" s="2367">
        <v>38596</v>
      </c>
      <c r="O178" s="1549"/>
      <c r="P178" s="2368" t="s">
        <v>3828</v>
      </c>
      <c r="Q178" s="1377"/>
      <c r="R178" s="2366" t="s">
        <v>3835</v>
      </c>
      <c r="S178" s="957">
        <v>2852</v>
      </c>
      <c r="T178" s="2369">
        <v>38596</v>
      </c>
      <c r="U178" s="957">
        <v>2427</v>
      </c>
      <c r="V178" s="2370">
        <v>38596</v>
      </c>
      <c r="W178" s="1377"/>
      <c r="X178" s="2364"/>
      <c r="Y178" s="1377"/>
      <c r="Z178" s="2364"/>
      <c r="AA178" s="1549"/>
      <c r="AB178" s="2371" t="s">
        <v>3830</v>
      </c>
      <c r="AC178" s="1382">
        <f t="shared" si="9"/>
        <v>8858</v>
      </c>
      <c r="AD178" s="2372" t="s">
        <v>1145</v>
      </c>
      <c r="AE178" s="2373" t="s">
        <v>3429</v>
      </c>
      <c r="AF178" s="2374" t="s">
        <v>3430</v>
      </c>
      <c r="AG178" s="2375" t="s">
        <v>4855</v>
      </c>
      <c r="AH178" s="2376">
        <v>42975</v>
      </c>
      <c r="AI178" s="2377">
        <v>1198242</v>
      </c>
      <c r="AJ178" s="2246"/>
      <c r="AK178" s="2378" t="s">
        <v>3836</v>
      </c>
      <c r="AL178" s="2379">
        <v>4868</v>
      </c>
      <c r="AM178" s="2378">
        <v>42887</v>
      </c>
      <c r="AN178" s="1551"/>
      <c r="AO178" s="2368" t="s">
        <v>3832</v>
      </c>
      <c r="AP178" s="2246"/>
      <c r="AQ178" s="2378" t="s">
        <v>3837</v>
      </c>
      <c r="AR178" s="972"/>
      <c r="AS178" s="2380"/>
      <c r="AT178" s="972"/>
      <c r="AU178" s="2380"/>
      <c r="AV178" s="1551"/>
      <c r="AW178" s="2368"/>
      <c r="AX178" s="1551"/>
      <c r="AY178" s="2368"/>
      <c r="AZ178" s="1551"/>
      <c r="BA178" s="2371" t="s">
        <v>3833</v>
      </c>
      <c r="BB178" s="1394">
        <f t="shared" si="10"/>
        <v>4868</v>
      </c>
      <c r="BC178" s="3017" t="s">
        <v>4811</v>
      </c>
      <c r="BD178" s="3018">
        <f>SUM(BB177:BB178)</f>
        <v>17657</v>
      </c>
      <c r="BE178" s="217">
        <f>BD178</f>
        <v>17657</v>
      </c>
      <c r="BG178" s="4132"/>
      <c r="BH178" s="4127"/>
      <c r="BI178" s="4122"/>
    </row>
    <row r="179" spans="1:61" s="47" customFormat="1" ht="90">
      <c r="A179" s="1068" t="s">
        <v>4888</v>
      </c>
      <c r="B179" s="2381" t="s">
        <v>3339</v>
      </c>
      <c r="C179" s="2382" t="s">
        <v>2625</v>
      </c>
      <c r="D179" s="698" t="s">
        <v>788</v>
      </c>
      <c r="E179" s="2383" t="s">
        <v>625</v>
      </c>
      <c r="F179" s="2384" t="s">
        <v>4884</v>
      </c>
      <c r="G179" s="701" t="s">
        <v>110</v>
      </c>
      <c r="H179" s="702" t="s">
        <v>558</v>
      </c>
      <c r="I179" s="701" t="s">
        <v>1062</v>
      </c>
      <c r="J179" s="703" t="s">
        <v>28</v>
      </c>
      <c r="K179" s="2385">
        <v>246</v>
      </c>
      <c r="L179" s="705">
        <v>38139</v>
      </c>
      <c r="M179" s="2386">
        <v>1061</v>
      </c>
      <c r="N179" s="2387">
        <v>38139</v>
      </c>
      <c r="O179" s="2388"/>
      <c r="P179" s="2389" t="s">
        <v>4879</v>
      </c>
      <c r="Q179" s="2388"/>
      <c r="R179" s="2389" t="s">
        <v>4880</v>
      </c>
      <c r="S179" s="2360">
        <v>4255</v>
      </c>
      <c r="T179" s="961">
        <v>38139</v>
      </c>
      <c r="U179" s="2360">
        <v>2905</v>
      </c>
      <c r="V179" s="1075">
        <v>38139</v>
      </c>
      <c r="W179" s="701"/>
      <c r="X179" s="702"/>
      <c r="Y179" s="701"/>
      <c r="Z179" s="702"/>
      <c r="AA179" s="2388"/>
      <c r="AB179" s="2389" t="s">
        <v>4881</v>
      </c>
      <c r="AC179" s="536">
        <f t="shared" si="9"/>
        <v>8467</v>
      </c>
      <c r="AD179" s="2390" t="s">
        <v>1339</v>
      </c>
      <c r="AE179" s="2391" t="s">
        <v>2612</v>
      </c>
      <c r="AF179" s="2392" t="s">
        <v>2613</v>
      </c>
      <c r="AG179" s="712" t="s">
        <v>4882</v>
      </c>
      <c r="AH179" s="713">
        <v>42982</v>
      </c>
      <c r="AI179" s="714">
        <v>1198382</v>
      </c>
      <c r="AJ179" s="715">
        <v>345</v>
      </c>
      <c r="AK179" s="718">
        <v>42887</v>
      </c>
      <c r="AL179" s="717">
        <v>1489</v>
      </c>
      <c r="AM179" s="718">
        <v>42887</v>
      </c>
      <c r="AN179" s="719"/>
      <c r="AO179" s="716"/>
      <c r="AP179" s="719"/>
      <c r="AQ179" s="716"/>
      <c r="AR179" s="990"/>
      <c r="AS179" s="991"/>
      <c r="AT179" s="990"/>
      <c r="AU179" s="991"/>
      <c r="AV179" s="719"/>
      <c r="AW179" s="716"/>
      <c r="AX179" s="719"/>
      <c r="AY179" s="716"/>
      <c r="AZ179" s="719"/>
      <c r="BA179" s="720"/>
      <c r="BB179" s="721">
        <f t="shared" si="10"/>
        <v>1834</v>
      </c>
      <c r="BC179" s="4020"/>
      <c r="BG179" s="4132"/>
      <c r="BH179" s="4127"/>
      <c r="BI179" s="4122"/>
    </row>
    <row r="180" spans="1:61" s="47" customFormat="1" ht="101.25">
      <c r="A180" s="418" t="s">
        <v>3519</v>
      </c>
      <c r="B180" s="368" t="s">
        <v>3516</v>
      </c>
      <c r="C180" s="215" t="s">
        <v>2629</v>
      </c>
      <c r="D180" s="350" t="s">
        <v>3643</v>
      </c>
      <c r="E180" s="354" t="s">
        <v>664</v>
      </c>
      <c r="F180" s="353" t="s">
        <v>138</v>
      </c>
      <c r="G180" s="354" t="s">
        <v>1332</v>
      </c>
      <c r="H180" s="353" t="s">
        <v>981</v>
      </c>
      <c r="I180" s="354" t="s">
        <v>3527</v>
      </c>
      <c r="J180" s="355" t="s">
        <v>3525</v>
      </c>
      <c r="K180" s="370">
        <f>958*21</f>
        <v>20118</v>
      </c>
      <c r="L180" s="357" t="s">
        <v>3168</v>
      </c>
      <c r="M180" s="371"/>
      <c r="N180" s="372"/>
      <c r="O180" s="370"/>
      <c r="P180" s="373"/>
      <c r="Q180" s="370"/>
      <c r="R180" s="353" t="s">
        <v>1413</v>
      </c>
      <c r="S180" s="948">
        <f>3510*21</f>
        <v>73710</v>
      </c>
      <c r="T180" s="949" t="s">
        <v>3174</v>
      </c>
      <c r="U180" s="948">
        <f>3211*21</f>
        <v>67431</v>
      </c>
      <c r="V180" s="963" t="s">
        <v>3175</v>
      </c>
      <c r="W180" s="370"/>
      <c r="X180" s="353"/>
      <c r="Y180" s="370">
        <f>1000*21</f>
        <v>21000</v>
      </c>
      <c r="Z180" s="353" t="s">
        <v>3529</v>
      </c>
      <c r="AA180" s="370"/>
      <c r="AB180" s="355"/>
      <c r="AC180" s="358">
        <f t="shared" si="9"/>
        <v>182259</v>
      </c>
      <c r="AD180" s="427" t="s">
        <v>556</v>
      </c>
      <c r="AE180" s="428" t="s">
        <v>557</v>
      </c>
      <c r="AF180" s="892" t="s">
        <v>2307</v>
      </c>
      <c r="AG180" s="359" t="s">
        <v>1061</v>
      </c>
      <c r="AH180" s="360">
        <v>42989</v>
      </c>
      <c r="AI180" s="361">
        <v>1198582</v>
      </c>
      <c r="AJ180" s="362">
        <v>27132</v>
      </c>
      <c r="AK180" s="394">
        <v>42887</v>
      </c>
      <c r="AL180" s="364"/>
      <c r="AM180" s="363"/>
      <c r="AN180" s="365"/>
      <c r="AO180" s="363"/>
      <c r="AP180" s="405"/>
      <c r="AQ180" s="408"/>
      <c r="AR180" s="935"/>
      <c r="AS180" s="936"/>
      <c r="AT180" s="935"/>
      <c r="AU180" s="936"/>
      <c r="AV180" s="365"/>
      <c r="AW180" s="363"/>
      <c r="AX180" s="365">
        <v>28077</v>
      </c>
      <c r="AY180" s="394">
        <v>42887</v>
      </c>
      <c r="AZ180" s="365"/>
      <c r="BA180" s="366"/>
      <c r="BB180" s="367">
        <f t="shared" si="10"/>
        <v>55209</v>
      </c>
      <c r="BC180" s="238"/>
      <c r="BG180" s="4132"/>
      <c r="BH180" s="4127"/>
      <c r="BI180" s="4122"/>
    </row>
    <row r="181" spans="1:61" s="47" customFormat="1" ht="102" thickBot="1">
      <c r="A181" s="779" t="s">
        <v>3520</v>
      </c>
      <c r="B181" s="527" t="s">
        <v>3516</v>
      </c>
      <c r="C181" s="2423" t="s">
        <v>2629</v>
      </c>
      <c r="D181" s="529" t="s">
        <v>3644</v>
      </c>
      <c r="E181" s="530" t="s">
        <v>664</v>
      </c>
      <c r="F181" s="2424" t="s">
        <v>138</v>
      </c>
      <c r="G181" s="530" t="s">
        <v>1332</v>
      </c>
      <c r="H181" s="2424" t="s">
        <v>981</v>
      </c>
      <c r="I181" s="530" t="s">
        <v>3527</v>
      </c>
      <c r="J181" s="2425" t="s">
        <v>3526</v>
      </c>
      <c r="K181" s="533">
        <f>958*14</f>
        <v>13412</v>
      </c>
      <c r="L181" s="2426" t="s">
        <v>3170</v>
      </c>
      <c r="M181" s="535"/>
      <c r="N181" s="2427"/>
      <c r="O181" s="533"/>
      <c r="P181" s="2428"/>
      <c r="Q181" s="533"/>
      <c r="R181" s="2424" t="s">
        <v>1413</v>
      </c>
      <c r="S181" s="957">
        <f>3510*14</f>
        <v>49140</v>
      </c>
      <c r="T181" s="2369" t="s">
        <v>3172</v>
      </c>
      <c r="U181" s="957">
        <f>3211*14</f>
        <v>44954</v>
      </c>
      <c r="V181" s="2429" t="s">
        <v>3173</v>
      </c>
      <c r="W181" s="533"/>
      <c r="X181" s="2424"/>
      <c r="Y181" s="533">
        <f>1000*14</f>
        <v>14000</v>
      </c>
      <c r="Z181" s="2424" t="s">
        <v>3528</v>
      </c>
      <c r="AA181" s="533"/>
      <c r="AB181" s="2425"/>
      <c r="AC181" s="729">
        <f t="shared" si="9"/>
        <v>121506</v>
      </c>
      <c r="AD181" s="2430" t="s">
        <v>556</v>
      </c>
      <c r="AE181" s="2431" t="s">
        <v>557</v>
      </c>
      <c r="AF181" s="2432" t="s">
        <v>2307</v>
      </c>
      <c r="AG181" s="2433" t="s">
        <v>1061</v>
      </c>
      <c r="AH181" s="2434">
        <v>42989</v>
      </c>
      <c r="AI181" s="2435">
        <v>1198582</v>
      </c>
      <c r="AJ181" s="733">
        <v>18088</v>
      </c>
      <c r="AK181" s="2436">
        <v>42887</v>
      </c>
      <c r="AL181" s="2437"/>
      <c r="AM181" s="2438"/>
      <c r="AN181" s="662"/>
      <c r="AO181" s="2438"/>
      <c r="AP181" s="723"/>
      <c r="AQ181" s="2439"/>
      <c r="AR181" s="972"/>
      <c r="AS181" s="2380"/>
      <c r="AT181" s="972"/>
      <c r="AU181" s="2380"/>
      <c r="AV181" s="662"/>
      <c r="AW181" s="2438"/>
      <c r="AX181" s="662">
        <v>18718</v>
      </c>
      <c r="AY181" s="2436">
        <v>42887</v>
      </c>
      <c r="AZ181" s="662"/>
      <c r="BA181" s="2440"/>
      <c r="BB181" s="545">
        <f t="shared" si="10"/>
        <v>36806</v>
      </c>
      <c r="BC181" s="755" t="s">
        <v>4883</v>
      </c>
      <c r="BD181" s="756">
        <f>SUM(BB179:BB181)</f>
        <v>93849</v>
      </c>
      <c r="BE181" s="217">
        <f>BD181</f>
        <v>93849</v>
      </c>
      <c r="BG181" s="4132"/>
      <c r="BH181" s="4127"/>
      <c r="BI181" s="4122"/>
    </row>
    <row r="182" spans="1:61" ht="69.75" thickBot="1">
      <c r="A182" s="2463" t="s">
        <v>4449</v>
      </c>
      <c r="B182" s="2464" t="s">
        <v>4444</v>
      </c>
      <c r="C182" s="2465" t="s">
        <v>4437</v>
      </c>
      <c r="D182" s="2466" t="s">
        <v>2513</v>
      </c>
      <c r="E182" s="2467" t="s">
        <v>2509</v>
      </c>
      <c r="F182" s="2468" t="s">
        <v>2510</v>
      </c>
      <c r="G182" s="2467" t="s">
        <v>4438</v>
      </c>
      <c r="H182" s="2468" t="s">
        <v>4439</v>
      </c>
      <c r="I182" s="2467" t="s">
        <v>1257</v>
      </c>
      <c r="J182" s="2469" t="s">
        <v>8160</v>
      </c>
      <c r="K182" s="2470"/>
      <c r="L182" s="2471"/>
      <c r="M182" s="2472"/>
      <c r="N182" s="2473"/>
      <c r="O182" s="2470"/>
      <c r="P182" s="2474"/>
      <c r="Q182" s="2470"/>
      <c r="R182" s="2475"/>
      <c r="S182" s="1940"/>
      <c r="T182" s="1941"/>
      <c r="U182" s="1940"/>
      <c r="V182" s="1942"/>
      <c r="W182" s="2476">
        <v>24000</v>
      </c>
      <c r="X182" s="2468" t="s">
        <v>8153</v>
      </c>
      <c r="Y182" s="2470"/>
      <c r="Z182" s="2475"/>
      <c r="AA182" s="2470"/>
      <c r="AB182" s="2477"/>
      <c r="AC182" s="2478">
        <f t="shared" si="9"/>
        <v>24000</v>
      </c>
      <c r="AD182" s="2479" t="s">
        <v>4436</v>
      </c>
      <c r="AE182" s="2480">
        <v>41879</v>
      </c>
      <c r="AF182" s="2481" t="s">
        <v>175</v>
      </c>
      <c r="AG182" s="2482" t="s">
        <v>1061</v>
      </c>
      <c r="AH182" s="2483">
        <v>43019</v>
      </c>
      <c r="AI182" s="2484">
        <v>1199674</v>
      </c>
      <c r="AJ182" s="2485"/>
      <c r="AK182" s="2486"/>
      <c r="AL182" s="2487"/>
      <c r="AM182" s="2486"/>
      <c r="AN182" s="2488"/>
      <c r="AO182" s="2486"/>
      <c r="AP182" s="2488"/>
      <c r="AQ182" s="2486"/>
      <c r="AR182" s="980"/>
      <c r="AS182" s="1945"/>
      <c r="AT182" s="980"/>
      <c r="AU182" s="1945"/>
      <c r="AV182" s="2488">
        <v>24000</v>
      </c>
      <c r="AW182" s="2489">
        <v>42705</v>
      </c>
      <c r="AX182" s="2488"/>
      <c r="AY182" s="2486"/>
      <c r="AZ182" s="2488"/>
      <c r="BA182" s="2490"/>
      <c r="BB182" s="2491">
        <f t="shared" si="10"/>
        <v>24000</v>
      </c>
      <c r="BC182" s="3038" t="s">
        <v>5148</v>
      </c>
      <c r="BD182" s="3039">
        <f>SUM(BB182)</f>
        <v>24000</v>
      </c>
      <c r="BE182" s="217">
        <f>BD182</f>
        <v>24000</v>
      </c>
    </row>
    <row r="183" spans="1:61" s="47" customFormat="1" ht="90.75" thickBot="1">
      <c r="A183" s="1933" t="s">
        <v>4931</v>
      </c>
      <c r="B183" s="604" t="s">
        <v>3214</v>
      </c>
      <c r="C183" s="605" t="s">
        <v>294</v>
      </c>
      <c r="D183" s="606" t="s">
        <v>788</v>
      </c>
      <c r="E183" s="607" t="s">
        <v>519</v>
      </c>
      <c r="F183" s="608" t="s">
        <v>161</v>
      </c>
      <c r="G183" s="607" t="s">
        <v>504</v>
      </c>
      <c r="H183" s="608" t="s">
        <v>503</v>
      </c>
      <c r="I183" s="607" t="s">
        <v>479</v>
      </c>
      <c r="J183" s="609" t="s">
        <v>392</v>
      </c>
      <c r="K183" s="610">
        <v>956</v>
      </c>
      <c r="L183" s="611">
        <v>38961</v>
      </c>
      <c r="M183" s="612">
        <v>2717</v>
      </c>
      <c r="N183" s="613">
        <v>38961</v>
      </c>
      <c r="O183" s="610"/>
      <c r="P183" s="1830"/>
      <c r="Q183" s="610">
        <v>1329</v>
      </c>
      <c r="R183" s="611">
        <v>38961</v>
      </c>
      <c r="S183" s="945">
        <v>1803</v>
      </c>
      <c r="T183" s="946">
        <v>38961</v>
      </c>
      <c r="U183" s="945">
        <v>1213</v>
      </c>
      <c r="V183" s="947">
        <v>38961</v>
      </c>
      <c r="W183" s="610"/>
      <c r="X183" s="608"/>
      <c r="Y183" s="610"/>
      <c r="Z183" s="608"/>
      <c r="AA183" s="610">
        <v>1010</v>
      </c>
      <c r="AB183" s="611" t="s">
        <v>594</v>
      </c>
      <c r="AC183" s="615">
        <f t="shared" si="9"/>
        <v>9028</v>
      </c>
      <c r="AD183" s="2531" t="s">
        <v>3026</v>
      </c>
      <c r="AE183" s="2396" t="s">
        <v>3215</v>
      </c>
      <c r="AF183" s="618" t="s">
        <v>3216</v>
      </c>
      <c r="AG183" s="1834" t="s">
        <v>1061</v>
      </c>
      <c r="AH183" s="1835">
        <v>43075</v>
      </c>
      <c r="AI183" s="1836">
        <v>1201086</v>
      </c>
      <c r="AJ183" s="1837">
        <v>1251</v>
      </c>
      <c r="AK183" s="1840" t="s">
        <v>5160</v>
      </c>
      <c r="AL183" s="1839">
        <v>3556</v>
      </c>
      <c r="AM183" s="1840" t="s">
        <v>5160</v>
      </c>
      <c r="AN183" s="614"/>
      <c r="AO183" s="1840"/>
      <c r="AP183" s="614">
        <v>1739</v>
      </c>
      <c r="AQ183" s="1840" t="s">
        <v>5160</v>
      </c>
      <c r="AR183" s="1841"/>
      <c r="AS183" s="1842"/>
      <c r="AT183" s="1841"/>
      <c r="AU183" s="1842"/>
      <c r="AV183" s="614"/>
      <c r="AW183" s="1840"/>
      <c r="AX183" s="614"/>
      <c r="AY183" s="1840"/>
      <c r="AZ183" s="614">
        <v>1322</v>
      </c>
      <c r="BA183" s="1840" t="s">
        <v>5160</v>
      </c>
      <c r="BB183" s="628">
        <f t="shared" si="10"/>
        <v>7868</v>
      </c>
      <c r="BC183" s="3035" t="s">
        <v>5162</v>
      </c>
      <c r="BD183" s="3036">
        <f>SUM(BB183)</f>
        <v>7868</v>
      </c>
      <c r="BE183" s="217">
        <f>BD183</f>
        <v>7868</v>
      </c>
      <c r="BG183" s="4132"/>
      <c r="BH183" s="4127"/>
      <c r="BI183" s="4122"/>
    </row>
    <row r="184" spans="1:61" ht="71.25" thickBot="1">
      <c r="A184" s="2463" t="s">
        <v>4448</v>
      </c>
      <c r="B184" s="2464" t="s">
        <v>4445</v>
      </c>
      <c r="C184" s="2465" t="s">
        <v>4437</v>
      </c>
      <c r="D184" s="2466" t="s">
        <v>2513</v>
      </c>
      <c r="E184" s="2467" t="s">
        <v>2509</v>
      </c>
      <c r="F184" s="2468" t="s">
        <v>2510</v>
      </c>
      <c r="G184" s="2467" t="s">
        <v>4438</v>
      </c>
      <c r="H184" s="2468" t="s">
        <v>4439</v>
      </c>
      <c r="I184" s="2467" t="s">
        <v>1257</v>
      </c>
      <c r="J184" s="2469" t="s">
        <v>8160</v>
      </c>
      <c r="K184" s="2470"/>
      <c r="L184" s="2471"/>
      <c r="M184" s="2472"/>
      <c r="N184" s="2473"/>
      <c r="O184" s="2470"/>
      <c r="P184" s="2474"/>
      <c r="Q184" s="2470"/>
      <c r="R184" s="2475"/>
      <c r="S184" s="1940"/>
      <c r="T184" s="1941"/>
      <c r="U184" s="1940"/>
      <c r="V184" s="1942"/>
      <c r="W184" s="2476">
        <v>24000</v>
      </c>
      <c r="X184" s="2468" t="s">
        <v>8153</v>
      </c>
      <c r="Y184" s="2470"/>
      <c r="Z184" s="2475"/>
      <c r="AA184" s="2470"/>
      <c r="AB184" s="2477"/>
      <c r="AC184" s="2478">
        <f t="shared" ref="AC184:AC196" si="11">K184+M184+O184+Q184+S184+U184+W184+Y184+AA184</f>
        <v>24000</v>
      </c>
      <c r="AD184" s="2479" t="s">
        <v>4436</v>
      </c>
      <c r="AE184" s="2480">
        <v>41879</v>
      </c>
      <c r="AF184" s="2481" t="s">
        <v>175</v>
      </c>
      <c r="AG184" s="2544" t="s">
        <v>909</v>
      </c>
      <c r="AH184" s="2483">
        <v>43171</v>
      </c>
      <c r="AI184" s="2484">
        <v>1204876</v>
      </c>
      <c r="AJ184" s="2485"/>
      <c r="AK184" s="2486"/>
      <c r="AL184" s="2487"/>
      <c r="AM184" s="2486"/>
      <c r="AN184" s="2488"/>
      <c r="AO184" s="2486"/>
      <c r="AP184" s="2488"/>
      <c r="AQ184" s="2486"/>
      <c r="AR184" s="980"/>
      <c r="AS184" s="1945"/>
      <c r="AT184" s="980"/>
      <c r="AU184" s="1945"/>
      <c r="AV184" s="2488">
        <v>24000</v>
      </c>
      <c r="AW184" s="2489">
        <v>42705</v>
      </c>
      <c r="AX184" s="2488"/>
      <c r="AY184" s="2486"/>
      <c r="AZ184" s="2488"/>
      <c r="BA184" s="2490"/>
      <c r="BB184" s="2491">
        <f t="shared" si="10"/>
        <v>24000</v>
      </c>
      <c r="BC184" s="3038" t="s">
        <v>5342</v>
      </c>
      <c r="BD184" s="3039">
        <f>SUM(BB184)</f>
        <v>24000</v>
      </c>
      <c r="BE184" s="217">
        <f>BD184</f>
        <v>24000</v>
      </c>
    </row>
    <row r="185" spans="1:61" ht="113.25" thickBot="1">
      <c r="A185" s="606" t="s">
        <v>5426</v>
      </c>
      <c r="B185" s="604" t="s">
        <v>5406</v>
      </c>
      <c r="C185" s="2567" t="s">
        <v>3741</v>
      </c>
      <c r="D185" s="606" t="s">
        <v>788</v>
      </c>
      <c r="E185" s="2568" t="s">
        <v>3739</v>
      </c>
      <c r="F185" s="608" t="s">
        <v>3740</v>
      </c>
      <c r="G185" s="607" t="s">
        <v>41</v>
      </c>
      <c r="H185" s="608" t="s">
        <v>2405</v>
      </c>
      <c r="I185" s="2568" t="s">
        <v>627</v>
      </c>
      <c r="J185" s="608" t="s">
        <v>69</v>
      </c>
      <c r="K185" s="610">
        <v>2130</v>
      </c>
      <c r="L185" s="611">
        <v>40422</v>
      </c>
      <c r="M185" s="612">
        <v>35631</v>
      </c>
      <c r="N185" s="613">
        <v>40422</v>
      </c>
      <c r="O185" s="610"/>
      <c r="P185" s="1830"/>
      <c r="Q185" s="610"/>
      <c r="R185" s="608" t="s">
        <v>1337</v>
      </c>
      <c r="S185" s="945"/>
      <c r="T185" s="2569" t="s">
        <v>1338</v>
      </c>
      <c r="U185" s="945">
        <v>2411</v>
      </c>
      <c r="V185" s="947">
        <v>40422</v>
      </c>
      <c r="W185" s="610"/>
      <c r="X185" s="608"/>
      <c r="Y185" s="610"/>
      <c r="Z185" s="608"/>
      <c r="AA185" s="610"/>
      <c r="AB185" s="609"/>
      <c r="AC185" s="615">
        <f t="shared" si="11"/>
        <v>40172</v>
      </c>
      <c r="AD185" s="2570" t="s">
        <v>3742</v>
      </c>
      <c r="AE185" s="2571" t="s">
        <v>3743</v>
      </c>
      <c r="AF185" s="2397" t="s">
        <v>4925</v>
      </c>
      <c r="AG185" s="619" t="s">
        <v>1061</v>
      </c>
      <c r="AH185" s="620">
        <v>43203</v>
      </c>
      <c r="AI185" s="621">
        <v>1205803</v>
      </c>
      <c r="AJ185" s="622">
        <v>2469</v>
      </c>
      <c r="AK185" s="623">
        <v>43070</v>
      </c>
      <c r="AL185" s="624">
        <v>41294</v>
      </c>
      <c r="AM185" s="623">
        <v>43070</v>
      </c>
      <c r="AN185" s="625"/>
      <c r="AO185" s="626"/>
      <c r="AP185" s="625"/>
      <c r="AQ185" s="626"/>
      <c r="AR185" s="980"/>
      <c r="AS185" s="1945"/>
      <c r="AT185" s="980"/>
      <c r="AU185" s="1945"/>
      <c r="AV185" s="625"/>
      <c r="AW185" s="626"/>
      <c r="AX185" s="625"/>
      <c r="AY185" s="626"/>
      <c r="AZ185" s="625"/>
      <c r="BA185" s="627"/>
      <c r="BB185" s="628">
        <f t="shared" si="10"/>
        <v>43763</v>
      </c>
      <c r="BC185" s="3035" t="s">
        <v>5434</v>
      </c>
      <c r="BD185" s="3036">
        <f>SUM(BB185)</f>
        <v>43763</v>
      </c>
      <c r="BE185" s="217">
        <f>BD185</f>
        <v>43763</v>
      </c>
    </row>
    <row r="186" spans="1:61" ht="112.5">
      <c r="A186" s="1362" t="s">
        <v>5425</v>
      </c>
      <c r="B186" s="1363" t="s">
        <v>961</v>
      </c>
      <c r="C186" s="2574" t="s">
        <v>3741</v>
      </c>
      <c r="D186" s="1362" t="s">
        <v>788</v>
      </c>
      <c r="E186" s="780" t="s">
        <v>3739</v>
      </c>
      <c r="F186" s="781" t="s">
        <v>3740</v>
      </c>
      <c r="G186" s="1482" t="s">
        <v>970</v>
      </c>
      <c r="H186" s="781" t="s">
        <v>2406</v>
      </c>
      <c r="I186" s="780" t="s">
        <v>627</v>
      </c>
      <c r="J186" s="781" t="s">
        <v>68</v>
      </c>
      <c r="K186" s="1483">
        <v>1794</v>
      </c>
      <c r="L186" s="1484">
        <v>40422</v>
      </c>
      <c r="M186" s="1485">
        <v>30016</v>
      </c>
      <c r="N186" s="2326">
        <v>40422</v>
      </c>
      <c r="O186" s="1483"/>
      <c r="P186" s="2575"/>
      <c r="Q186" s="1483"/>
      <c r="R186" s="781" t="s">
        <v>1337</v>
      </c>
      <c r="S186" s="948"/>
      <c r="T186" s="951" t="s">
        <v>1338</v>
      </c>
      <c r="U186" s="948">
        <v>2031</v>
      </c>
      <c r="V186" s="950">
        <v>40422</v>
      </c>
      <c r="W186" s="1483"/>
      <c r="X186" s="781"/>
      <c r="Y186" s="1483"/>
      <c r="Z186" s="781"/>
      <c r="AA186" s="1483"/>
      <c r="AB186" s="1367"/>
      <c r="AC186" s="1488">
        <f t="shared" si="11"/>
        <v>33841</v>
      </c>
      <c r="AD186" s="2572" t="s">
        <v>3742</v>
      </c>
      <c r="AE186" s="2573" t="s">
        <v>3743</v>
      </c>
      <c r="AF186" s="2394" t="s">
        <v>4925</v>
      </c>
      <c r="AG186" s="1492" t="s">
        <v>2977</v>
      </c>
      <c r="AH186" s="1493">
        <v>43249</v>
      </c>
      <c r="AI186" s="1494">
        <v>1206840</v>
      </c>
      <c r="AJ186" s="1495">
        <v>2081</v>
      </c>
      <c r="AK186" s="1496">
        <v>43160</v>
      </c>
      <c r="AL186" s="1497">
        <v>34817</v>
      </c>
      <c r="AM186" s="1496">
        <v>43160</v>
      </c>
      <c r="AN186" s="1476"/>
      <c r="AO186" s="1477"/>
      <c r="AP186" s="1476"/>
      <c r="AQ186" s="1477"/>
      <c r="AR186" s="982"/>
      <c r="AS186" s="984"/>
      <c r="AT186" s="982"/>
      <c r="AU186" s="984"/>
      <c r="AV186" s="1476"/>
      <c r="AW186" s="1477"/>
      <c r="AX186" s="1476"/>
      <c r="AY186" s="1477"/>
      <c r="AZ186" s="1476"/>
      <c r="BA186" s="1479"/>
      <c r="BB186" s="1480">
        <f t="shared" si="10"/>
        <v>36898</v>
      </c>
      <c r="BC186" s="4026"/>
      <c r="BD186" s="1304"/>
    </row>
    <row r="187" spans="1:61" ht="113.25" thickBot="1">
      <c r="A187" s="1372" t="s">
        <v>5590</v>
      </c>
      <c r="B187" s="1370" t="s">
        <v>964</v>
      </c>
      <c r="C187" s="2699" t="s">
        <v>3741</v>
      </c>
      <c r="D187" s="1372" t="s">
        <v>788</v>
      </c>
      <c r="E187" s="2700" t="s">
        <v>3739</v>
      </c>
      <c r="F187" s="2701" t="s">
        <v>3740</v>
      </c>
      <c r="G187" s="1373" t="s">
        <v>515</v>
      </c>
      <c r="H187" s="2701" t="s">
        <v>2411</v>
      </c>
      <c r="I187" s="2700" t="s">
        <v>627</v>
      </c>
      <c r="J187" s="2701" t="s">
        <v>665</v>
      </c>
      <c r="K187" s="1377">
        <v>270</v>
      </c>
      <c r="L187" s="2702" t="s">
        <v>5588</v>
      </c>
      <c r="M187" s="1379"/>
      <c r="N187" s="2703"/>
      <c r="O187" s="1377"/>
      <c r="P187" s="2704"/>
      <c r="Q187" s="1377"/>
      <c r="R187" s="2701"/>
      <c r="S187" s="957"/>
      <c r="T187" s="2705"/>
      <c r="U187" s="957"/>
      <c r="V187" s="2706"/>
      <c r="W187" s="1377"/>
      <c r="X187" s="2701"/>
      <c r="Y187" s="1377"/>
      <c r="Z187" s="2701"/>
      <c r="AA187" s="1377"/>
      <c r="AB187" s="2365"/>
      <c r="AC187" s="1382">
        <f t="shared" si="11"/>
        <v>270</v>
      </c>
      <c r="AD187" s="2707" t="s">
        <v>3742</v>
      </c>
      <c r="AE187" s="2708" t="s">
        <v>3743</v>
      </c>
      <c r="AF187" s="2709" t="s">
        <v>4925</v>
      </c>
      <c r="AG187" s="2710" t="s">
        <v>5589</v>
      </c>
      <c r="AH187" s="2711">
        <v>43249</v>
      </c>
      <c r="AI187" s="2712">
        <v>1206840</v>
      </c>
      <c r="AJ187" s="1389">
        <v>270</v>
      </c>
      <c r="AK187" s="2713">
        <v>43160</v>
      </c>
      <c r="AL187" s="2714"/>
      <c r="AM187" s="2715"/>
      <c r="AN187" s="1391"/>
      <c r="AO187" s="2715"/>
      <c r="AP187" s="1391"/>
      <c r="AQ187" s="2715"/>
      <c r="AR187" s="987"/>
      <c r="AS187" s="2716"/>
      <c r="AT187" s="987"/>
      <c r="AU187" s="2716"/>
      <c r="AV187" s="1391"/>
      <c r="AW187" s="2715"/>
      <c r="AX187" s="1391"/>
      <c r="AY187" s="2715"/>
      <c r="AZ187" s="1391"/>
      <c r="BA187" s="2717"/>
      <c r="BB187" s="1394">
        <f t="shared" si="10"/>
        <v>270</v>
      </c>
      <c r="BC187" s="3017" t="s">
        <v>5434</v>
      </c>
      <c r="BD187" s="3018">
        <f>SUM(BB186:BB187)</f>
        <v>37168</v>
      </c>
      <c r="BE187" s="4129">
        <f>BD187</f>
        <v>37168</v>
      </c>
      <c r="BF187" s="194"/>
      <c r="BG187" s="4566">
        <f>SUM(BE176:BE187)</f>
        <v>291366</v>
      </c>
      <c r="BH187" s="4567">
        <f>SUM(BH176:BH186)</f>
        <v>0</v>
      </c>
      <c r="BI187" s="4567">
        <f>SUM(BI176:BI186)</f>
        <v>0</v>
      </c>
    </row>
    <row r="188" spans="1:61" s="47" customFormat="1" ht="67.5">
      <c r="A188" s="2692" t="s">
        <v>5842</v>
      </c>
      <c r="B188" s="699" t="s">
        <v>4270</v>
      </c>
      <c r="C188" s="700" t="s">
        <v>4056</v>
      </c>
      <c r="D188" s="698" t="s">
        <v>788</v>
      </c>
      <c r="E188" s="701" t="s">
        <v>1119</v>
      </c>
      <c r="F188" s="702" t="s">
        <v>4269</v>
      </c>
      <c r="G188" s="2693" t="s">
        <v>4057</v>
      </c>
      <c r="H188" s="702" t="s">
        <v>5835</v>
      </c>
      <c r="I188" s="701" t="s">
        <v>4273</v>
      </c>
      <c r="J188" s="2694" t="s">
        <v>4271</v>
      </c>
      <c r="K188" s="719"/>
      <c r="L188" s="718"/>
      <c r="M188" s="2388"/>
      <c r="N188" s="718"/>
      <c r="O188" s="704"/>
      <c r="P188" s="708"/>
      <c r="Q188" s="704"/>
      <c r="R188" s="705"/>
      <c r="S188" s="990"/>
      <c r="T188" s="1228"/>
      <c r="U188" s="990"/>
      <c r="V188" s="1228"/>
      <c r="W188" s="704"/>
      <c r="X188" s="702"/>
      <c r="Y188" s="704"/>
      <c r="Z188" s="702"/>
      <c r="AA188" s="704">
        <v>18400</v>
      </c>
      <c r="AB188" s="2695" t="s">
        <v>5468</v>
      </c>
      <c r="AC188" s="536">
        <f t="shared" si="11"/>
        <v>18400</v>
      </c>
      <c r="AD188" s="709" t="s">
        <v>4274</v>
      </c>
      <c r="AE188" s="710">
        <v>42702</v>
      </c>
      <c r="AF188" s="711">
        <v>44089</v>
      </c>
      <c r="AG188" s="712" t="s">
        <v>2977</v>
      </c>
      <c r="AH188" s="713">
        <v>43353</v>
      </c>
      <c r="AI188" s="714">
        <v>1210970</v>
      </c>
      <c r="AJ188" s="715"/>
      <c r="AK188" s="716"/>
      <c r="AL188" s="717"/>
      <c r="AM188" s="716"/>
      <c r="AN188" s="719"/>
      <c r="AO188" s="716"/>
      <c r="AP188" s="719"/>
      <c r="AQ188" s="716"/>
      <c r="AR188" s="990"/>
      <c r="AS188" s="991"/>
      <c r="AT188" s="990"/>
      <c r="AU188" s="991"/>
      <c r="AV188" s="719"/>
      <c r="AW188" s="716"/>
      <c r="AX188" s="719"/>
      <c r="AY188" s="716"/>
      <c r="AZ188" s="719">
        <f>ROUND(AA188*112.9/109,0)</f>
        <v>19058</v>
      </c>
      <c r="BA188" s="2698">
        <v>43252</v>
      </c>
      <c r="BB188" s="721">
        <f t="shared" si="10"/>
        <v>19058</v>
      </c>
      <c r="BC188" s="4020"/>
      <c r="BG188" s="4132"/>
      <c r="BH188" s="4127"/>
      <c r="BI188" s="4122"/>
    </row>
    <row r="189" spans="1:61" s="47" customFormat="1" ht="68.25" thickBot="1">
      <c r="A189" s="2748" t="s">
        <v>5839</v>
      </c>
      <c r="B189" s="527" t="s">
        <v>5836</v>
      </c>
      <c r="C189" s="2749" t="s">
        <v>5830</v>
      </c>
      <c r="D189" s="529" t="s">
        <v>5831</v>
      </c>
      <c r="E189" s="530" t="s">
        <v>5832</v>
      </c>
      <c r="F189" s="2750" t="s">
        <v>5833</v>
      </c>
      <c r="G189" s="2751" t="s">
        <v>4057</v>
      </c>
      <c r="H189" s="2750" t="s">
        <v>5834</v>
      </c>
      <c r="I189" s="2752" t="s">
        <v>5837</v>
      </c>
      <c r="J189" s="2753"/>
      <c r="K189" s="662"/>
      <c r="L189" s="2754"/>
      <c r="M189" s="1072"/>
      <c r="N189" s="2754"/>
      <c r="O189" s="533"/>
      <c r="P189" s="2755"/>
      <c r="Q189" s="533"/>
      <c r="R189" s="2756"/>
      <c r="S189" s="972"/>
      <c r="T189" s="2757"/>
      <c r="U189" s="972"/>
      <c r="V189" s="2757"/>
      <c r="W189" s="533"/>
      <c r="X189" s="2750"/>
      <c r="Y189" s="533"/>
      <c r="Z189" s="2750"/>
      <c r="AA189" s="533">
        <v>60806</v>
      </c>
      <c r="AB189" s="2758" t="s">
        <v>5840</v>
      </c>
      <c r="AC189" s="729">
        <f t="shared" si="11"/>
        <v>60806</v>
      </c>
      <c r="AD189" s="2807" t="s">
        <v>5838</v>
      </c>
      <c r="AE189" s="2808">
        <v>43335</v>
      </c>
      <c r="AF189" s="2809"/>
      <c r="AG189" s="2759" t="s">
        <v>5917</v>
      </c>
      <c r="AH189" s="2760">
        <v>43367</v>
      </c>
      <c r="AI189" s="2761">
        <v>1211527</v>
      </c>
      <c r="AJ189" s="733"/>
      <c r="AK189" s="2762"/>
      <c r="AL189" s="2763"/>
      <c r="AM189" s="2762"/>
      <c r="AN189" s="662"/>
      <c r="AO189" s="2762"/>
      <c r="AP189" s="662"/>
      <c r="AQ189" s="2762"/>
      <c r="AR189" s="972"/>
      <c r="AS189" s="2764"/>
      <c r="AT189" s="972"/>
      <c r="AU189" s="2764"/>
      <c r="AV189" s="662"/>
      <c r="AW189" s="2762"/>
      <c r="AX189" s="662"/>
      <c r="AY189" s="2762"/>
      <c r="AZ189" s="662">
        <v>60806</v>
      </c>
      <c r="BA189" s="2765">
        <v>43365</v>
      </c>
      <c r="BB189" s="545">
        <f t="shared" si="10"/>
        <v>60806</v>
      </c>
      <c r="BC189" s="755" t="s">
        <v>5878</v>
      </c>
      <c r="BD189" s="756">
        <f>SUM(BB188:BB189)</f>
        <v>79864</v>
      </c>
      <c r="BE189" s="217">
        <f>BD189</f>
        <v>79864</v>
      </c>
      <c r="BG189" s="4132"/>
      <c r="BH189" s="4127"/>
      <c r="BI189" s="4122"/>
    </row>
    <row r="190" spans="1:61" s="47" customFormat="1" ht="90">
      <c r="A190" s="1409" t="s">
        <v>7302</v>
      </c>
      <c r="B190" s="1352" t="s">
        <v>5952</v>
      </c>
      <c r="C190" s="1353" t="s">
        <v>294</v>
      </c>
      <c r="D190" s="1354" t="s">
        <v>788</v>
      </c>
      <c r="E190" s="1355" t="s">
        <v>519</v>
      </c>
      <c r="F190" s="1326" t="s">
        <v>161</v>
      </c>
      <c r="G190" s="1355" t="s">
        <v>504</v>
      </c>
      <c r="H190" s="1326" t="s">
        <v>503</v>
      </c>
      <c r="I190" s="1355" t="s">
        <v>479</v>
      </c>
      <c r="J190" s="1356" t="s">
        <v>392</v>
      </c>
      <c r="K190" s="1410">
        <v>956</v>
      </c>
      <c r="L190" s="1411">
        <v>38961</v>
      </c>
      <c r="M190" s="1412">
        <v>2717</v>
      </c>
      <c r="N190" s="1413">
        <v>38961</v>
      </c>
      <c r="O190" s="1410"/>
      <c r="P190" s="2843"/>
      <c r="Q190" s="1410">
        <v>1329</v>
      </c>
      <c r="R190" s="1411">
        <v>38961</v>
      </c>
      <c r="S190" s="1103">
        <v>1803</v>
      </c>
      <c r="T190" s="1104">
        <v>38961</v>
      </c>
      <c r="U190" s="1103">
        <v>1213</v>
      </c>
      <c r="V190" s="1105">
        <v>38961</v>
      </c>
      <c r="W190" s="1410"/>
      <c r="X190" s="1326"/>
      <c r="Y190" s="1410"/>
      <c r="Z190" s="1326"/>
      <c r="AA190" s="1410">
        <v>1010</v>
      </c>
      <c r="AB190" s="1411" t="s">
        <v>594</v>
      </c>
      <c r="AC190" s="1440">
        <f t="shared" si="11"/>
        <v>9028</v>
      </c>
      <c r="AD190" s="1441" t="s">
        <v>3026</v>
      </c>
      <c r="AE190" s="1442" t="s">
        <v>3215</v>
      </c>
      <c r="AF190" s="2844" t="s">
        <v>3216</v>
      </c>
      <c r="AG190" s="2845" t="s">
        <v>5953</v>
      </c>
      <c r="AH190" s="2846">
        <v>43376</v>
      </c>
      <c r="AI190" s="2847">
        <v>42577</v>
      </c>
      <c r="AJ190" s="2848">
        <v>-1251</v>
      </c>
      <c r="AK190" s="2849" t="s">
        <v>5160</v>
      </c>
      <c r="AL190" s="2850">
        <v>-3556</v>
      </c>
      <c r="AM190" s="2849" t="s">
        <v>5160</v>
      </c>
      <c r="AN190" s="2851"/>
      <c r="AO190" s="2849"/>
      <c r="AP190" s="2852">
        <v>-1739</v>
      </c>
      <c r="AQ190" s="2849" t="s">
        <v>5160</v>
      </c>
      <c r="AR190" s="1116"/>
      <c r="AS190" s="2853"/>
      <c r="AT190" s="1116"/>
      <c r="AU190" s="2853"/>
      <c r="AV190" s="2851"/>
      <c r="AW190" s="2849"/>
      <c r="AX190" s="2851"/>
      <c r="AY190" s="2849"/>
      <c r="AZ190" s="2852">
        <v>-1322</v>
      </c>
      <c r="BA190" s="2849" t="s">
        <v>5160</v>
      </c>
      <c r="BB190" s="2854">
        <f t="shared" si="10"/>
        <v>-7868</v>
      </c>
      <c r="BC190" s="4020"/>
      <c r="BE190" s="81"/>
      <c r="BG190" s="4132"/>
      <c r="BH190" s="4127"/>
      <c r="BI190" s="4122">
        <f>BB190</f>
        <v>-7868</v>
      </c>
    </row>
    <row r="191" spans="1:61" ht="69.75" thickBot="1">
      <c r="A191" s="2810" t="s">
        <v>4447</v>
      </c>
      <c r="B191" s="2812" t="s">
        <v>4446</v>
      </c>
      <c r="C191" s="2813" t="s">
        <v>4437</v>
      </c>
      <c r="D191" s="2814" t="s">
        <v>2513</v>
      </c>
      <c r="E191" s="2815" t="s">
        <v>2509</v>
      </c>
      <c r="F191" s="2816" t="s">
        <v>2510</v>
      </c>
      <c r="G191" s="2815" t="s">
        <v>4438</v>
      </c>
      <c r="H191" s="2816" t="s">
        <v>4439</v>
      </c>
      <c r="I191" s="2815" t="s">
        <v>1257</v>
      </c>
      <c r="J191" s="2817" t="s">
        <v>8160</v>
      </c>
      <c r="K191" s="2818"/>
      <c r="L191" s="2819"/>
      <c r="M191" s="2820"/>
      <c r="N191" s="2821"/>
      <c r="O191" s="2818"/>
      <c r="P191" s="2822"/>
      <c r="Q191" s="2818"/>
      <c r="R191" s="2823"/>
      <c r="S191" s="2824"/>
      <c r="T191" s="2825"/>
      <c r="U191" s="2824"/>
      <c r="V191" s="2826"/>
      <c r="W191" s="2827">
        <v>24000</v>
      </c>
      <c r="X191" s="2816" t="s">
        <v>8153</v>
      </c>
      <c r="Y191" s="2818"/>
      <c r="Z191" s="2823"/>
      <c r="AA191" s="2818"/>
      <c r="AB191" s="2828"/>
      <c r="AC191" s="2829">
        <f t="shared" si="11"/>
        <v>24000</v>
      </c>
      <c r="AD191" s="2830" t="s">
        <v>4436</v>
      </c>
      <c r="AE191" s="2831">
        <v>41879</v>
      </c>
      <c r="AF191" s="2832" t="s">
        <v>175</v>
      </c>
      <c r="AG191" s="2833" t="s">
        <v>1061</v>
      </c>
      <c r="AH191" s="2834">
        <v>43381</v>
      </c>
      <c r="AI191" s="2835">
        <v>1212032</v>
      </c>
      <c r="AJ191" s="2836"/>
      <c r="AK191" s="2837"/>
      <c r="AL191" s="2838"/>
      <c r="AM191" s="2837"/>
      <c r="AN191" s="2839"/>
      <c r="AO191" s="2837"/>
      <c r="AP191" s="2839"/>
      <c r="AQ191" s="2837"/>
      <c r="AR191" s="1184"/>
      <c r="AS191" s="2840"/>
      <c r="AT191" s="1184"/>
      <c r="AU191" s="2840"/>
      <c r="AV191" s="2839">
        <v>24000</v>
      </c>
      <c r="AW191" s="2841">
        <v>42705</v>
      </c>
      <c r="AX191" s="2839"/>
      <c r="AY191" s="2837"/>
      <c r="AZ191" s="2839"/>
      <c r="BA191" s="2842"/>
      <c r="BB191" s="2811">
        <f t="shared" si="10"/>
        <v>24000</v>
      </c>
      <c r="BC191" s="3017" t="s">
        <v>5951</v>
      </c>
      <c r="BD191" s="3018">
        <f>SUM(BB190:BB191)</f>
        <v>16132</v>
      </c>
      <c r="BE191" s="217">
        <f t="shared" ref="BE191:BE197" si="12">BD191</f>
        <v>16132</v>
      </c>
    </row>
    <row r="192" spans="1:61" ht="113.25" thickBot="1">
      <c r="A192" s="606" t="s">
        <v>732</v>
      </c>
      <c r="B192" s="3151" t="s">
        <v>6074</v>
      </c>
      <c r="C192" s="2567" t="s">
        <v>6066</v>
      </c>
      <c r="D192" s="606" t="s">
        <v>788</v>
      </c>
      <c r="E192" s="2568" t="s">
        <v>5691</v>
      </c>
      <c r="F192" s="608" t="s">
        <v>5692</v>
      </c>
      <c r="G192" s="3152" t="s">
        <v>636</v>
      </c>
      <c r="H192" s="608" t="s">
        <v>5697</v>
      </c>
      <c r="I192" s="2568" t="s">
        <v>627</v>
      </c>
      <c r="J192" s="608" t="s">
        <v>5693</v>
      </c>
      <c r="K192" s="614">
        <v>2300</v>
      </c>
      <c r="L192" s="611" t="s">
        <v>5694</v>
      </c>
      <c r="M192" s="3153">
        <v>38478</v>
      </c>
      <c r="N192" s="613" t="s">
        <v>5695</v>
      </c>
      <c r="O192" s="610"/>
      <c r="P192" s="1830"/>
      <c r="Q192" s="610"/>
      <c r="R192" s="608" t="s">
        <v>1337</v>
      </c>
      <c r="S192" s="945"/>
      <c r="T192" s="2569" t="s">
        <v>1338</v>
      </c>
      <c r="U192" s="1841">
        <v>2604</v>
      </c>
      <c r="V192" s="947" t="s">
        <v>5696</v>
      </c>
      <c r="W192" s="610"/>
      <c r="X192" s="608"/>
      <c r="Y192" s="610"/>
      <c r="Z192" s="608"/>
      <c r="AA192" s="610"/>
      <c r="AB192" s="609"/>
      <c r="AC192" s="615">
        <f t="shared" si="11"/>
        <v>43382</v>
      </c>
      <c r="AD192" s="2570" t="s">
        <v>3742</v>
      </c>
      <c r="AE192" s="2571" t="s">
        <v>3743</v>
      </c>
      <c r="AF192" s="2397" t="s">
        <v>4925</v>
      </c>
      <c r="AG192" s="619" t="s">
        <v>2977</v>
      </c>
      <c r="AH192" s="620">
        <v>43448</v>
      </c>
      <c r="AI192" s="621" t="s">
        <v>6087</v>
      </c>
      <c r="AJ192" s="622">
        <v>2692</v>
      </c>
      <c r="AK192" s="626" t="s">
        <v>6033</v>
      </c>
      <c r="AL192" s="624">
        <v>45030</v>
      </c>
      <c r="AM192" s="626" t="s">
        <v>6032</v>
      </c>
      <c r="AN192" s="625"/>
      <c r="AO192" s="626"/>
      <c r="AP192" s="625"/>
      <c r="AQ192" s="626"/>
      <c r="AR192" s="980"/>
      <c r="AS192" s="1945"/>
      <c r="AT192" s="980"/>
      <c r="AU192" s="1945"/>
      <c r="AV192" s="625"/>
      <c r="AW192" s="626"/>
      <c r="AX192" s="625"/>
      <c r="AY192" s="626"/>
      <c r="AZ192" s="625"/>
      <c r="BA192" s="627"/>
      <c r="BB192" s="628">
        <f t="shared" si="10"/>
        <v>47722</v>
      </c>
      <c r="BC192" s="3035" t="s">
        <v>6088</v>
      </c>
      <c r="BD192" s="3036">
        <f t="shared" ref="BD192:BD197" si="13">SUM(BB192)</f>
        <v>47722</v>
      </c>
      <c r="BE192" s="217">
        <f t="shared" si="12"/>
        <v>47722</v>
      </c>
    </row>
    <row r="193" spans="1:61" ht="113.25" thickBot="1">
      <c r="A193" s="2466" t="s">
        <v>5591</v>
      </c>
      <c r="B193" s="2464" t="s">
        <v>6009</v>
      </c>
      <c r="C193" s="3164" t="s">
        <v>5789</v>
      </c>
      <c r="D193" s="2466" t="s">
        <v>788</v>
      </c>
      <c r="E193" s="3165" t="s">
        <v>5691</v>
      </c>
      <c r="F193" s="2468" t="s">
        <v>5783</v>
      </c>
      <c r="G193" s="2467" t="s">
        <v>515</v>
      </c>
      <c r="H193" s="2468" t="s">
        <v>2411</v>
      </c>
      <c r="I193" s="3166" t="s">
        <v>627</v>
      </c>
      <c r="J193" s="2468" t="s">
        <v>5784</v>
      </c>
      <c r="K193" s="3167">
        <v>1367</v>
      </c>
      <c r="L193" s="3168" t="s">
        <v>5785</v>
      </c>
      <c r="M193" s="3169">
        <v>22879</v>
      </c>
      <c r="N193" s="3170" t="s">
        <v>5786</v>
      </c>
      <c r="O193" s="3171"/>
      <c r="P193" s="3172"/>
      <c r="Q193" s="3171"/>
      <c r="R193" s="2468" t="s">
        <v>1337</v>
      </c>
      <c r="S193" s="945"/>
      <c r="T193" s="2569" t="s">
        <v>1338</v>
      </c>
      <c r="U193" s="1841">
        <v>1548</v>
      </c>
      <c r="V193" s="947" t="s">
        <v>5787</v>
      </c>
      <c r="W193" s="3171"/>
      <c r="X193" s="2468"/>
      <c r="Y193" s="3171"/>
      <c r="Z193" s="2468"/>
      <c r="AA193" s="3171"/>
      <c r="AB193" s="2469"/>
      <c r="AC193" s="2478">
        <f t="shared" si="11"/>
        <v>25794</v>
      </c>
      <c r="AD193" s="3173" t="s">
        <v>3742</v>
      </c>
      <c r="AE193" s="3174" t="s">
        <v>5788</v>
      </c>
      <c r="AF193" s="2481" t="s">
        <v>4925</v>
      </c>
      <c r="AG193" s="3175" t="s">
        <v>1061</v>
      </c>
      <c r="AH193" s="3176">
        <v>43523</v>
      </c>
      <c r="AI193" s="3177" t="s">
        <v>6443</v>
      </c>
      <c r="AJ193" s="2485">
        <v>1608</v>
      </c>
      <c r="AK193" s="3178" t="s">
        <v>6445</v>
      </c>
      <c r="AL193" s="2487">
        <v>26916</v>
      </c>
      <c r="AM193" s="3179">
        <v>43435</v>
      </c>
      <c r="AN193" s="2488"/>
      <c r="AO193" s="2486"/>
      <c r="AP193" s="2488"/>
      <c r="AQ193" s="2486"/>
      <c r="AR193" s="980"/>
      <c r="AS193" s="1945"/>
      <c r="AT193" s="980"/>
      <c r="AU193" s="1945"/>
      <c r="AV193" s="2488"/>
      <c r="AW193" s="2486"/>
      <c r="AX193" s="2488"/>
      <c r="AY193" s="2486"/>
      <c r="AZ193" s="2488"/>
      <c r="BA193" s="2490"/>
      <c r="BB193" s="2491">
        <f t="shared" si="10"/>
        <v>28524</v>
      </c>
      <c r="BC193" s="3038" t="s">
        <v>6444</v>
      </c>
      <c r="BD193" s="3039">
        <f t="shared" si="13"/>
        <v>28524</v>
      </c>
      <c r="BE193" s="217">
        <f t="shared" si="12"/>
        <v>28524</v>
      </c>
    </row>
    <row r="194" spans="1:61" ht="69.75" thickBot="1">
      <c r="A194" s="1933" t="s">
        <v>4451</v>
      </c>
      <c r="B194" s="604" t="s">
        <v>4450</v>
      </c>
      <c r="C194" s="605" t="s">
        <v>4437</v>
      </c>
      <c r="D194" s="606" t="s">
        <v>2513</v>
      </c>
      <c r="E194" s="607" t="s">
        <v>2509</v>
      </c>
      <c r="F194" s="608" t="s">
        <v>2510</v>
      </c>
      <c r="G194" s="607" t="s">
        <v>4438</v>
      </c>
      <c r="H194" s="608" t="s">
        <v>6368</v>
      </c>
      <c r="I194" s="607" t="s">
        <v>1257</v>
      </c>
      <c r="J194" s="609" t="s">
        <v>8160</v>
      </c>
      <c r="K194" s="1935"/>
      <c r="L194" s="1936"/>
      <c r="M194" s="1937"/>
      <c r="N194" s="1938"/>
      <c r="O194" s="1935"/>
      <c r="P194" s="1939"/>
      <c r="Q194" s="1935"/>
      <c r="R194" s="2252"/>
      <c r="S194" s="1940"/>
      <c r="T194" s="1941"/>
      <c r="U194" s="1940"/>
      <c r="V194" s="1942"/>
      <c r="W194" s="2253">
        <v>24000</v>
      </c>
      <c r="X194" s="608" t="s">
        <v>8153</v>
      </c>
      <c r="Y194" s="1935"/>
      <c r="Z194" s="2252"/>
      <c r="AA194" s="1935"/>
      <c r="AB194" s="1944"/>
      <c r="AC194" s="615">
        <f t="shared" si="11"/>
        <v>24000</v>
      </c>
      <c r="AD194" s="2395" t="s">
        <v>4436</v>
      </c>
      <c r="AE194" s="2396">
        <v>41879</v>
      </c>
      <c r="AF194" s="2397" t="s">
        <v>175</v>
      </c>
      <c r="AG194" s="3273" t="s">
        <v>1061</v>
      </c>
      <c r="AH194" s="1835">
        <v>43530</v>
      </c>
      <c r="AI194" s="1836" t="s">
        <v>6467</v>
      </c>
      <c r="AJ194" s="622"/>
      <c r="AK194" s="626"/>
      <c r="AL194" s="624"/>
      <c r="AM194" s="626"/>
      <c r="AN194" s="625"/>
      <c r="AO194" s="626"/>
      <c r="AP194" s="625"/>
      <c r="AQ194" s="626"/>
      <c r="AR194" s="980"/>
      <c r="AS194" s="1945"/>
      <c r="AT194" s="980"/>
      <c r="AU194" s="1945"/>
      <c r="AV194" s="625">
        <v>24000</v>
      </c>
      <c r="AW194" s="1838">
        <v>42705</v>
      </c>
      <c r="AX194" s="625"/>
      <c r="AY194" s="626"/>
      <c r="AZ194" s="625"/>
      <c r="BA194" s="627"/>
      <c r="BB194" s="628">
        <f t="shared" si="10"/>
        <v>24000</v>
      </c>
      <c r="BC194" s="3035" t="s">
        <v>6468</v>
      </c>
      <c r="BD194" s="3036">
        <f t="shared" si="13"/>
        <v>24000</v>
      </c>
      <c r="BE194" s="217">
        <f t="shared" si="12"/>
        <v>24000</v>
      </c>
    </row>
    <row r="195" spans="1:61" s="47" customFormat="1" ht="102" thickBot="1">
      <c r="A195" s="3636" t="s">
        <v>4262</v>
      </c>
      <c r="B195" s="2464" t="s">
        <v>6044</v>
      </c>
      <c r="C195" s="2465" t="s">
        <v>6043</v>
      </c>
      <c r="D195" s="2466" t="s">
        <v>788</v>
      </c>
      <c r="E195" s="2467" t="s">
        <v>3678</v>
      </c>
      <c r="F195" s="2468" t="s">
        <v>3303</v>
      </c>
      <c r="G195" s="2467" t="s">
        <v>5249</v>
      </c>
      <c r="H195" s="2468" t="s">
        <v>6361</v>
      </c>
      <c r="I195" s="3637" t="s">
        <v>5245</v>
      </c>
      <c r="J195" s="3638" t="s">
        <v>4966</v>
      </c>
      <c r="K195" s="3167">
        <v>9071</v>
      </c>
      <c r="L195" s="2489">
        <v>43344</v>
      </c>
      <c r="M195" s="3169">
        <v>25776</v>
      </c>
      <c r="N195" s="2489">
        <v>43344</v>
      </c>
      <c r="O195" s="3171"/>
      <c r="P195" s="3172"/>
      <c r="Q195" s="3171">
        <v>0</v>
      </c>
      <c r="R195" s="3168" t="s">
        <v>4264</v>
      </c>
      <c r="S195" s="1841">
        <v>58719</v>
      </c>
      <c r="T195" s="3639">
        <v>43344</v>
      </c>
      <c r="U195" s="1841">
        <v>17610</v>
      </c>
      <c r="V195" s="3639">
        <v>43344</v>
      </c>
      <c r="W195" s="3171"/>
      <c r="X195" s="2468"/>
      <c r="Y195" s="3171"/>
      <c r="Z195" s="2468"/>
      <c r="AA195" s="3171"/>
      <c r="AB195" s="2469"/>
      <c r="AC195" s="2478">
        <f t="shared" si="11"/>
        <v>111176</v>
      </c>
      <c r="AD195" s="3640" t="s">
        <v>3677</v>
      </c>
      <c r="AE195" s="2480" t="s">
        <v>6047</v>
      </c>
      <c r="AF195" s="2481" t="s">
        <v>4263</v>
      </c>
      <c r="AG195" s="3641" t="s">
        <v>6709</v>
      </c>
      <c r="AH195" s="2483" t="s">
        <v>6710</v>
      </c>
      <c r="AI195" s="2484" t="s">
        <v>6721</v>
      </c>
      <c r="AJ195" s="3642">
        <v>9127</v>
      </c>
      <c r="AK195" s="2489">
        <v>43525</v>
      </c>
      <c r="AL195" s="3643">
        <f>25904+31</f>
        <v>25935</v>
      </c>
      <c r="AM195" s="2489" t="s">
        <v>6719</v>
      </c>
      <c r="AN195" s="3167"/>
      <c r="AO195" s="3178"/>
      <c r="AP195" s="3167"/>
      <c r="AQ195" s="3178"/>
      <c r="AR195" s="1841"/>
      <c r="AS195" s="1842"/>
      <c r="AT195" s="1841"/>
      <c r="AU195" s="1842"/>
      <c r="AV195" s="3167"/>
      <c r="AW195" s="3178"/>
      <c r="AX195" s="3167"/>
      <c r="AY195" s="3178"/>
      <c r="AZ195" s="3167"/>
      <c r="BA195" s="3644"/>
      <c r="BB195" s="2491">
        <f t="shared" si="10"/>
        <v>35062</v>
      </c>
      <c r="BC195" s="3038" t="s">
        <v>6674</v>
      </c>
      <c r="BD195" s="3039">
        <f t="shared" si="13"/>
        <v>35062</v>
      </c>
      <c r="BE195" s="4129">
        <f t="shared" si="12"/>
        <v>35062</v>
      </c>
      <c r="BF195" s="147"/>
      <c r="BG195" s="4564">
        <f>SUM(BE188:BE195)</f>
        <v>231304</v>
      </c>
      <c r="BH195" s="4565">
        <f>SUM(BH188:BH194)</f>
        <v>0</v>
      </c>
      <c r="BI195" s="4565">
        <f>SUM(BI188:BI194)</f>
        <v>-7868</v>
      </c>
    </row>
    <row r="196" spans="1:61" s="47" customFormat="1" ht="103.5" thickBot="1">
      <c r="A196" s="3789" t="s">
        <v>4262</v>
      </c>
      <c r="B196" s="604" t="s">
        <v>6711</v>
      </c>
      <c r="C196" s="605" t="s">
        <v>6708</v>
      </c>
      <c r="D196" s="606" t="s">
        <v>788</v>
      </c>
      <c r="E196" s="607" t="s">
        <v>3678</v>
      </c>
      <c r="F196" s="608" t="s">
        <v>6656</v>
      </c>
      <c r="G196" s="607" t="s">
        <v>5249</v>
      </c>
      <c r="H196" s="608" t="s">
        <v>5250</v>
      </c>
      <c r="I196" s="3152" t="s">
        <v>4261</v>
      </c>
      <c r="J196" s="3788" t="s">
        <v>5253</v>
      </c>
      <c r="K196" s="614">
        <v>10007</v>
      </c>
      <c r="L196" s="1838">
        <v>43525</v>
      </c>
      <c r="M196" s="3153">
        <v>28438</v>
      </c>
      <c r="N196" s="1838">
        <v>43525</v>
      </c>
      <c r="O196" s="610"/>
      <c r="P196" s="1830"/>
      <c r="Q196" s="610">
        <v>0</v>
      </c>
      <c r="R196" s="611" t="s">
        <v>4264</v>
      </c>
      <c r="S196" s="1841">
        <v>64655</v>
      </c>
      <c r="T196" s="3639">
        <v>43525</v>
      </c>
      <c r="U196" s="1841">
        <v>19371</v>
      </c>
      <c r="V196" s="3639">
        <v>43525</v>
      </c>
      <c r="W196" s="610"/>
      <c r="X196" s="608"/>
      <c r="Y196" s="610"/>
      <c r="Z196" s="608"/>
      <c r="AA196" s="610"/>
      <c r="AB196" s="609"/>
      <c r="AC196" s="615">
        <f t="shared" si="11"/>
        <v>122471</v>
      </c>
      <c r="AD196" s="2531" t="s">
        <v>3677</v>
      </c>
      <c r="AE196" s="2396" t="s">
        <v>6714</v>
      </c>
      <c r="AF196" s="2397" t="s">
        <v>4263</v>
      </c>
      <c r="AG196" s="1834" t="s">
        <v>1061</v>
      </c>
      <c r="AH196" s="1835">
        <v>43675</v>
      </c>
      <c r="AI196" s="1836" t="s">
        <v>6984</v>
      </c>
      <c r="AJ196" s="1837">
        <v>10007</v>
      </c>
      <c r="AK196" s="1838">
        <v>43525</v>
      </c>
      <c r="AL196" s="1839">
        <v>28438</v>
      </c>
      <c r="AM196" s="1838">
        <v>43525</v>
      </c>
      <c r="AN196" s="614"/>
      <c r="AO196" s="1840"/>
      <c r="AP196" s="614"/>
      <c r="AQ196" s="1840"/>
      <c r="AR196" s="1841"/>
      <c r="AS196" s="1842"/>
      <c r="AT196" s="1841"/>
      <c r="AU196" s="1842"/>
      <c r="AV196" s="614"/>
      <c r="AW196" s="1840"/>
      <c r="AX196" s="614"/>
      <c r="AY196" s="1840"/>
      <c r="AZ196" s="614"/>
      <c r="BA196" s="1843"/>
      <c r="BB196" s="628">
        <f t="shared" si="10"/>
        <v>38445</v>
      </c>
      <c r="BC196" s="755" t="s">
        <v>6985</v>
      </c>
      <c r="BD196" s="756">
        <f t="shared" si="13"/>
        <v>38445</v>
      </c>
      <c r="BE196" s="217">
        <f t="shared" si="12"/>
        <v>38445</v>
      </c>
      <c r="BG196" s="4132"/>
      <c r="BH196" s="4127"/>
      <c r="BI196" s="4122"/>
    </row>
    <row r="197" spans="1:61" s="47" customFormat="1" ht="103.5" thickBot="1">
      <c r="A197" s="3636" t="s">
        <v>4262</v>
      </c>
      <c r="B197" s="2464" t="s">
        <v>6713</v>
      </c>
      <c r="C197" s="2465" t="s">
        <v>6708</v>
      </c>
      <c r="D197" s="2466" t="s">
        <v>788</v>
      </c>
      <c r="E197" s="2467" t="s">
        <v>3678</v>
      </c>
      <c r="F197" s="2468" t="s">
        <v>6656</v>
      </c>
      <c r="G197" s="2467" t="s">
        <v>5249</v>
      </c>
      <c r="H197" s="2468" t="s">
        <v>6361</v>
      </c>
      <c r="I197" s="3895" t="s">
        <v>4261</v>
      </c>
      <c r="J197" s="3638" t="s">
        <v>5251</v>
      </c>
      <c r="K197" s="3167">
        <v>17613</v>
      </c>
      <c r="L197" s="2489">
        <v>43525</v>
      </c>
      <c r="M197" s="3169">
        <v>50051</v>
      </c>
      <c r="N197" s="2489">
        <v>43525</v>
      </c>
      <c r="O197" s="3171"/>
      <c r="P197" s="3172"/>
      <c r="Q197" s="3171">
        <v>0</v>
      </c>
      <c r="R197" s="3168" t="s">
        <v>4264</v>
      </c>
      <c r="S197" s="1841">
        <v>111475</v>
      </c>
      <c r="T197" s="3639">
        <v>43525</v>
      </c>
      <c r="U197" s="1841">
        <v>33036</v>
      </c>
      <c r="V197" s="3639">
        <v>43525</v>
      </c>
      <c r="W197" s="3171"/>
      <c r="X197" s="2468"/>
      <c r="Y197" s="3171"/>
      <c r="Z197" s="2468"/>
      <c r="AA197" s="3171"/>
      <c r="AB197" s="2469"/>
      <c r="AC197" s="2478">
        <f t="shared" ref="AC197:AC202" si="14">K197+M197+O197+Q197+S197+U197+W197+Y197+AA197</f>
        <v>212175</v>
      </c>
      <c r="AD197" s="3640" t="s">
        <v>3677</v>
      </c>
      <c r="AE197" s="2480" t="s">
        <v>6714</v>
      </c>
      <c r="AF197" s="2481" t="s">
        <v>4263</v>
      </c>
      <c r="AG197" s="3641" t="s">
        <v>1061</v>
      </c>
      <c r="AH197" s="2483">
        <v>43725</v>
      </c>
      <c r="AI197" s="2484" t="s">
        <v>7121</v>
      </c>
      <c r="AJ197" s="3642">
        <v>17721</v>
      </c>
      <c r="AK197" s="2489">
        <v>43617</v>
      </c>
      <c r="AL197" s="3643">
        <v>50358</v>
      </c>
      <c r="AM197" s="2489">
        <v>43617</v>
      </c>
      <c r="AN197" s="3167"/>
      <c r="AO197" s="3178"/>
      <c r="AP197" s="3167"/>
      <c r="AQ197" s="3178"/>
      <c r="AR197" s="1841"/>
      <c r="AS197" s="1842"/>
      <c r="AT197" s="1841"/>
      <c r="AU197" s="1842"/>
      <c r="AV197" s="3167"/>
      <c r="AW197" s="3178"/>
      <c r="AX197" s="3167"/>
      <c r="AY197" s="3178"/>
      <c r="AZ197" s="3167"/>
      <c r="BA197" s="3644"/>
      <c r="BB197" s="2491">
        <f t="shared" ref="BB197:BB202" si="15">AJ197+AL197+AN197+AP197+AR197+AT197+AV197+AX197+AZ197</f>
        <v>68079</v>
      </c>
      <c r="BC197" s="3038" t="s">
        <v>7120</v>
      </c>
      <c r="BD197" s="3039">
        <f t="shared" si="13"/>
        <v>68079</v>
      </c>
      <c r="BE197" s="217">
        <f t="shared" si="12"/>
        <v>68079</v>
      </c>
      <c r="BG197" s="4132"/>
      <c r="BH197" s="4127"/>
      <c r="BI197" s="4122"/>
    </row>
    <row r="198" spans="1:61" ht="90">
      <c r="A198" s="1068" t="s">
        <v>7175</v>
      </c>
      <c r="B198" s="699" t="s">
        <v>7174</v>
      </c>
      <c r="C198" s="700" t="s">
        <v>4437</v>
      </c>
      <c r="D198" s="698" t="s">
        <v>2513</v>
      </c>
      <c r="E198" s="701" t="s">
        <v>2509</v>
      </c>
      <c r="F198" s="702" t="s">
        <v>2510</v>
      </c>
      <c r="G198" s="701" t="s">
        <v>4438</v>
      </c>
      <c r="H198" s="702" t="s">
        <v>6368</v>
      </c>
      <c r="I198" s="701" t="s">
        <v>1257</v>
      </c>
      <c r="J198" s="703" t="s">
        <v>8160</v>
      </c>
      <c r="K198" s="1307"/>
      <c r="L198" s="1312"/>
      <c r="M198" s="1309"/>
      <c r="N198" s="1310"/>
      <c r="O198" s="1307"/>
      <c r="P198" s="1311"/>
      <c r="Q198" s="1307"/>
      <c r="R198" s="1308"/>
      <c r="S198" s="3889"/>
      <c r="T198" s="3890"/>
      <c r="U198" s="3889"/>
      <c r="V198" s="3891"/>
      <c r="W198" s="3892">
        <v>24000</v>
      </c>
      <c r="X198" s="702" t="s">
        <v>8154</v>
      </c>
      <c r="Y198" s="1307"/>
      <c r="Z198" s="1308"/>
      <c r="AA198" s="1307"/>
      <c r="AB198" s="1314"/>
      <c r="AC198" s="536">
        <f t="shared" si="14"/>
        <v>24000</v>
      </c>
      <c r="AD198" s="3893" t="s">
        <v>4436</v>
      </c>
      <c r="AE198" s="710">
        <v>41879</v>
      </c>
      <c r="AF198" s="711" t="s">
        <v>175</v>
      </c>
      <c r="AG198" s="3894" t="s">
        <v>1061</v>
      </c>
      <c r="AH198" s="713">
        <v>43746</v>
      </c>
      <c r="AI198" s="714" t="s">
        <v>7173</v>
      </c>
      <c r="AJ198" s="772"/>
      <c r="AK198" s="775"/>
      <c r="AL198" s="773"/>
      <c r="AM198" s="775"/>
      <c r="AN198" s="774"/>
      <c r="AO198" s="775"/>
      <c r="AP198" s="774"/>
      <c r="AQ198" s="775"/>
      <c r="AR198" s="996"/>
      <c r="AS198" s="997"/>
      <c r="AT198" s="996"/>
      <c r="AU198" s="997"/>
      <c r="AV198" s="774">
        <v>24800</v>
      </c>
      <c r="AW198" s="718" t="s">
        <v>7020</v>
      </c>
      <c r="AX198" s="774"/>
      <c r="AY198" s="775"/>
      <c r="AZ198" s="774"/>
      <c r="BA198" s="776"/>
      <c r="BB198" s="721">
        <f t="shared" si="15"/>
        <v>24800</v>
      </c>
      <c r="BC198" s="4017"/>
    </row>
    <row r="199" spans="1:61" s="47" customFormat="1" ht="103.5" thickBot="1">
      <c r="A199" s="4190" t="s">
        <v>4262</v>
      </c>
      <c r="B199" s="4191" t="s">
        <v>6712</v>
      </c>
      <c r="C199" s="4192" t="s">
        <v>6708</v>
      </c>
      <c r="D199" s="4193" t="s">
        <v>788</v>
      </c>
      <c r="E199" s="530" t="s">
        <v>3678</v>
      </c>
      <c r="F199" s="4194" t="s">
        <v>6656</v>
      </c>
      <c r="G199" s="530" t="s">
        <v>5249</v>
      </c>
      <c r="H199" s="4194" t="s">
        <v>6361</v>
      </c>
      <c r="I199" s="4195" t="s">
        <v>4261</v>
      </c>
      <c r="J199" s="4196" t="s">
        <v>5252</v>
      </c>
      <c r="K199" s="662">
        <v>20468</v>
      </c>
      <c r="L199" s="4197">
        <v>43525</v>
      </c>
      <c r="M199" s="1072">
        <v>58165</v>
      </c>
      <c r="N199" s="4197">
        <v>43525</v>
      </c>
      <c r="O199" s="533"/>
      <c r="P199" s="4198"/>
      <c r="Q199" s="533">
        <v>0</v>
      </c>
      <c r="R199" s="4199" t="s">
        <v>4264</v>
      </c>
      <c r="S199" s="972">
        <v>132655</v>
      </c>
      <c r="T199" s="4200">
        <v>43525</v>
      </c>
      <c r="U199" s="972">
        <v>39943</v>
      </c>
      <c r="V199" s="4200">
        <v>43525</v>
      </c>
      <c r="W199" s="533"/>
      <c r="X199" s="4194"/>
      <c r="Y199" s="533"/>
      <c r="Z199" s="4194"/>
      <c r="AA199" s="533"/>
      <c r="AB199" s="4201"/>
      <c r="AC199" s="4202">
        <f t="shared" si="14"/>
        <v>251231</v>
      </c>
      <c r="AD199" s="4203" t="s">
        <v>3677</v>
      </c>
      <c r="AE199" s="4204" t="s">
        <v>6714</v>
      </c>
      <c r="AF199" s="4205" t="s">
        <v>4263</v>
      </c>
      <c r="AG199" s="4206" t="s">
        <v>7197</v>
      </c>
      <c r="AH199" s="4207">
        <v>43756</v>
      </c>
      <c r="AI199" s="4208" t="s">
        <v>7199</v>
      </c>
      <c r="AJ199" s="733">
        <v>20594</v>
      </c>
      <c r="AK199" s="4197">
        <v>43617</v>
      </c>
      <c r="AL199" s="4209">
        <v>58522</v>
      </c>
      <c r="AM199" s="4197">
        <v>43617</v>
      </c>
      <c r="AN199" s="662"/>
      <c r="AO199" s="4210"/>
      <c r="AP199" s="662"/>
      <c r="AQ199" s="4210"/>
      <c r="AR199" s="972"/>
      <c r="AS199" s="4211"/>
      <c r="AT199" s="972"/>
      <c r="AU199" s="4211"/>
      <c r="AV199" s="662"/>
      <c r="AW199" s="4210"/>
      <c r="AX199" s="662"/>
      <c r="AY199" s="4210"/>
      <c r="AZ199" s="662"/>
      <c r="BA199" s="4212"/>
      <c r="BB199" s="4213">
        <f t="shared" si="15"/>
        <v>79116</v>
      </c>
      <c r="BC199" s="755" t="s">
        <v>7172</v>
      </c>
      <c r="BD199" s="756">
        <f>SUM(BB198:BB199)</f>
        <v>103916</v>
      </c>
      <c r="BE199" s="217">
        <f>BD199</f>
        <v>103916</v>
      </c>
      <c r="BG199" s="4132"/>
      <c r="BH199" s="4127"/>
      <c r="BI199" s="4122"/>
    </row>
    <row r="200" spans="1:61" s="47" customFormat="1" ht="158.25" thickBot="1">
      <c r="A200" s="3636" t="s">
        <v>4262</v>
      </c>
      <c r="B200" s="2464" t="s">
        <v>7207</v>
      </c>
      <c r="C200" s="2465" t="s">
        <v>7200</v>
      </c>
      <c r="D200" s="2466" t="s">
        <v>788</v>
      </c>
      <c r="E200" s="2467" t="s">
        <v>3678</v>
      </c>
      <c r="F200" s="2468" t="s">
        <v>6656</v>
      </c>
      <c r="G200" s="2467" t="s">
        <v>5249</v>
      </c>
      <c r="H200" s="2468" t="s">
        <v>6361</v>
      </c>
      <c r="I200" s="3895" t="s">
        <v>4261</v>
      </c>
      <c r="J200" s="3637" t="s">
        <v>7202</v>
      </c>
      <c r="K200" s="3167">
        <v>4151</v>
      </c>
      <c r="L200" s="2489">
        <v>43525</v>
      </c>
      <c r="M200" s="3169">
        <v>266855</v>
      </c>
      <c r="N200" s="2489">
        <v>43525</v>
      </c>
      <c r="O200" s="3171"/>
      <c r="P200" s="3172"/>
      <c r="Q200" s="3171">
        <v>0</v>
      </c>
      <c r="R200" s="3168" t="s">
        <v>4264</v>
      </c>
      <c r="S200" s="1841">
        <v>21851</v>
      </c>
      <c r="T200" s="3639">
        <v>43525</v>
      </c>
      <c r="U200" s="1841">
        <v>8145</v>
      </c>
      <c r="V200" s="3639">
        <v>43525</v>
      </c>
      <c r="W200" s="3171"/>
      <c r="X200" s="2468"/>
      <c r="Y200" s="3171"/>
      <c r="Z200" s="2468"/>
      <c r="AA200" s="3171"/>
      <c r="AB200" s="2469"/>
      <c r="AC200" s="2478">
        <f t="shared" si="14"/>
        <v>301002</v>
      </c>
      <c r="AD200" s="3640" t="s">
        <v>3677</v>
      </c>
      <c r="AE200" s="2480" t="s">
        <v>7201</v>
      </c>
      <c r="AF200" s="2481" t="s">
        <v>4263</v>
      </c>
      <c r="AG200" s="3641" t="s">
        <v>1061</v>
      </c>
      <c r="AH200" s="2483">
        <v>43803</v>
      </c>
      <c r="AI200" s="2484" t="s">
        <v>7419</v>
      </c>
      <c r="AJ200" s="3642">
        <v>4202</v>
      </c>
      <c r="AK200" s="2489">
        <v>43709</v>
      </c>
      <c r="AL200" s="3643">
        <v>270129</v>
      </c>
      <c r="AM200" s="2489">
        <v>43709</v>
      </c>
      <c r="AN200" s="3167"/>
      <c r="AO200" s="3178"/>
      <c r="AP200" s="3167"/>
      <c r="AQ200" s="3178"/>
      <c r="AR200" s="1841"/>
      <c r="AS200" s="1842"/>
      <c r="AT200" s="1841"/>
      <c r="AU200" s="1842"/>
      <c r="AV200" s="3167"/>
      <c r="AW200" s="3178"/>
      <c r="AX200" s="3167"/>
      <c r="AY200" s="3178"/>
      <c r="AZ200" s="3167"/>
      <c r="BA200" s="3644"/>
      <c r="BB200" s="2491">
        <f t="shared" si="15"/>
        <v>274331</v>
      </c>
      <c r="BC200" s="3038" t="s">
        <v>7418</v>
      </c>
      <c r="BD200" s="3039">
        <f>SUM(BB200)</f>
        <v>274331</v>
      </c>
      <c r="BE200" s="217">
        <f>BD200</f>
        <v>274331</v>
      </c>
    </row>
    <row r="201" spans="1:61" s="47" customFormat="1" ht="113.25" thickBot="1">
      <c r="A201" s="3789" t="s">
        <v>4262</v>
      </c>
      <c r="B201" s="604" t="s">
        <v>7209</v>
      </c>
      <c r="C201" s="605" t="s">
        <v>7200</v>
      </c>
      <c r="D201" s="606" t="s">
        <v>788</v>
      </c>
      <c r="E201" s="607" t="s">
        <v>3678</v>
      </c>
      <c r="F201" s="608" t="s">
        <v>6656</v>
      </c>
      <c r="G201" s="607" t="s">
        <v>5249</v>
      </c>
      <c r="H201" s="608" t="s">
        <v>6361</v>
      </c>
      <c r="I201" s="3152" t="s">
        <v>4261</v>
      </c>
      <c r="J201" s="3788" t="s">
        <v>6718</v>
      </c>
      <c r="K201" s="614">
        <v>12097</v>
      </c>
      <c r="L201" s="1838">
        <v>43525</v>
      </c>
      <c r="M201" s="3153">
        <v>45646</v>
      </c>
      <c r="N201" s="1838">
        <v>43525</v>
      </c>
      <c r="O201" s="610"/>
      <c r="P201" s="1830"/>
      <c r="Q201" s="610">
        <v>0</v>
      </c>
      <c r="R201" s="611" t="s">
        <v>4264</v>
      </c>
      <c r="S201" s="1841">
        <v>76427</v>
      </c>
      <c r="T201" s="3639">
        <v>43525</v>
      </c>
      <c r="U201" s="1841">
        <v>22994</v>
      </c>
      <c r="V201" s="3639">
        <v>43525</v>
      </c>
      <c r="W201" s="610"/>
      <c r="X201" s="608"/>
      <c r="Y201" s="610"/>
      <c r="Z201" s="608"/>
      <c r="AA201" s="610"/>
      <c r="AB201" s="609"/>
      <c r="AC201" s="615">
        <f t="shared" si="14"/>
        <v>157164</v>
      </c>
      <c r="AD201" s="2531" t="s">
        <v>3677</v>
      </c>
      <c r="AE201" s="2396" t="s">
        <v>7201</v>
      </c>
      <c r="AF201" s="2397" t="s">
        <v>4263</v>
      </c>
      <c r="AG201" s="1834" t="s">
        <v>909</v>
      </c>
      <c r="AH201" s="1835">
        <v>43871</v>
      </c>
      <c r="AI201" s="1836" t="s">
        <v>7640</v>
      </c>
      <c r="AJ201" s="1837">
        <v>12330</v>
      </c>
      <c r="AK201" s="1838">
        <v>43800</v>
      </c>
      <c r="AL201" s="1839">
        <v>46526</v>
      </c>
      <c r="AM201" s="1838">
        <v>43800</v>
      </c>
      <c r="AN201" s="614"/>
      <c r="AO201" s="1840"/>
      <c r="AP201" s="614"/>
      <c r="AQ201" s="1840"/>
      <c r="AR201" s="1841"/>
      <c r="AS201" s="1842"/>
      <c r="AT201" s="1841"/>
      <c r="AU201" s="1842"/>
      <c r="AV201" s="614"/>
      <c r="AW201" s="1840"/>
      <c r="AX201" s="614"/>
      <c r="AY201" s="1840"/>
      <c r="AZ201" s="614"/>
      <c r="BA201" s="1843"/>
      <c r="BB201" s="628">
        <f t="shared" si="15"/>
        <v>58856</v>
      </c>
      <c r="BC201" s="3035" t="s">
        <v>7631</v>
      </c>
      <c r="BD201" s="3036">
        <f>SUM(BB201)</f>
        <v>58856</v>
      </c>
      <c r="BE201" s="217">
        <f>BD201</f>
        <v>58856</v>
      </c>
    </row>
    <row r="202" spans="1:61" s="47" customFormat="1" ht="113.25" thickBot="1">
      <c r="A202" s="3636" t="s">
        <v>4262</v>
      </c>
      <c r="B202" s="2464" t="s">
        <v>7206</v>
      </c>
      <c r="C202" s="2465" t="s">
        <v>7200</v>
      </c>
      <c r="D202" s="2466" t="s">
        <v>788</v>
      </c>
      <c r="E202" s="2467" t="s">
        <v>3678</v>
      </c>
      <c r="F202" s="2468" t="s">
        <v>6656</v>
      </c>
      <c r="G202" s="2467" t="s">
        <v>5249</v>
      </c>
      <c r="H202" s="2468" t="s">
        <v>5250</v>
      </c>
      <c r="I202" s="2467" t="s">
        <v>310</v>
      </c>
      <c r="J202" s="3638" t="s">
        <v>6045</v>
      </c>
      <c r="K202" s="3167">
        <v>26419</v>
      </c>
      <c r="L202" s="2489">
        <v>43525</v>
      </c>
      <c r="M202" s="3169">
        <v>73939</v>
      </c>
      <c r="N202" s="2489">
        <v>43525</v>
      </c>
      <c r="O202" s="3171"/>
      <c r="P202" s="3172"/>
      <c r="Q202" s="3171">
        <v>0</v>
      </c>
      <c r="R202" s="3168" t="s">
        <v>4264</v>
      </c>
      <c r="S202" s="1841">
        <v>166655</v>
      </c>
      <c r="T202" s="3639">
        <v>43525</v>
      </c>
      <c r="U202" s="1841">
        <v>49553</v>
      </c>
      <c r="V202" s="3639">
        <v>43525</v>
      </c>
      <c r="W202" s="3171"/>
      <c r="X202" s="2468"/>
      <c r="Y202" s="3171"/>
      <c r="Z202" s="2468"/>
      <c r="AA202" s="3171"/>
      <c r="AB202" s="2469"/>
      <c r="AC202" s="2478">
        <f t="shared" si="14"/>
        <v>316566</v>
      </c>
      <c r="AD202" s="3640" t="s">
        <v>3677</v>
      </c>
      <c r="AE202" s="2480" t="s">
        <v>7201</v>
      </c>
      <c r="AF202" s="2481" t="s">
        <v>4263</v>
      </c>
      <c r="AG202" s="3641" t="s">
        <v>1061</v>
      </c>
      <c r="AH202" s="2483">
        <v>43916</v>
      </c>
      <c r="AI202" s="2484" t="s">
        <v>7737</v>
      </c>
      <c r="AJ202" s="3642">
        <v>26928</v>
      </c>
      <c r="AK202" s="2489">
        <v>43800</v>
      </c>
      <c r="AL202" s="3643">
        <v>75365</v>
      </c>
      <c r="AM202" s="3178" t="s">
        <v>7727</v>
      </c>
      <c r="AN202" s="3167"/>
      <c r="AO202" s="3178"/>
      <c r="AP202" s="3167"/>
      <c r="AQ202" s="3178"/>
      <c r="AR202" s="1841"/>
      <c r="AS202" s="1842"/>
      <c r="AT202" s="1841"/>
      <c r="AU202" s="1842"/>
      <c r="AV202" s="3167"/>
      <c r="AW202" s="3178"/>
      <c r="AX202" s="3167"/>
      <c r="AY202" s="3178"/>
      <c r="AZ202" s="3167"/>
      <c r="BA202" s="3644"/>
      <c r="BB202" s="2491">
        <f t="shared" si="15"/>
        <v>102293</v>
      </c>
      <c r="BC202" s="3038" t="s">
        <v>7726</v>
      </c>
      <c r="BD202" s="3039">
        <f>SUM(BB202)</f>
        <v>102293</v>
      </c>
      <c r="BE202" s="217">
        <f>BD202</f>
        <v>102293</v>
      </c>
    </row>
    <row r="203" spans="1:61" s="47" customFormat="1" ht="101.25">
      <c r="A203" s="418" t="s">
        <v>7902</v>
      </c>
      <c r="B203" s="368" t="s">
        <v>7872</v>
      </c>
      <c r="C203" s="215" t="s">
        <v>7870</v>
      </c>
      <c r="D203" s="350" t="s">
        <v>788</v>
      </c>
      <c r="E203" s="354" t="s">
        <v>865</v>
      </c>
      <c r="F203" s="353" t="s">
        <v>469</v>
      </c>
      <c r="G203" s="354" t="s">
        <v>4976</v>
      </c>
      <c r="H203" s="353" t="s">
        <v>6354</v>
      </c>
      <c r="I203" s="354" t="s">
        <v>447</v>
      </c>
      <c r="J203" s="355" t="s">
        <v>990</v>
      </c>
      <c r="K203" s="370"/>
      <c r="L203" s="1984" t="s">
        <v>2156</v>
      </c>
      <c r="M203" s="371">
        <v>977</v>
      </c>
      <c r="N203" s="372">
        <v>38596</v>
      </c>
      <c r="O203" s="419"/>
      <c r="P203" s="410"/>
      <c r="Q203" s="370"/>
      <c r="R203" s="1984" t="s">
        <v>2159</v>
      </c>
      <c r="S203" s="4965"/>
      <c r="T203" s="949" t="s">
        <v>2158</v>
      </c>
      <c r="U203" s="948"/>
      <c r="V203" s="963" t="s">
        <v>2157</v>
      </c>
      <c r="W203" s="370"/>
      <c r="X203" s="353"/>
      <c r="Y203" s="370"/>
      <c r="Z203" s="353"/>
      <c r="AA203" s="370"/>
      <c r="AB203" s="355"/>
      <c r="AC203" s="358">
        <f t="shared" ref="AC203:AC208" si="16">K203+M203+O203+Q203+S203+U203+W203+Y203+AA203</f>
        <v>977</v>
      </c>
      <c r="AD203" s="427" t="s">
        <v>1083</v>
      </c>
      <c r="AE203" s="428" t="s">
        <v>4973</v>
      </c>
      <c r="AF203" s="892" t="s">
        <v>6602</v>
      </c>
      <c r="AG203" s="4663" t="s">
        <v>7899</v>
      </c>
      <c r="AH203" s="360">
        <v>43991</v>
      </c>
      <c r="AI203" s="361" t="s">
        <v>7900</v>
      </c>
      <c r="AJ203" s="362"/>
      <c r="AK203" s="394" t="s">
        <v>2160</v>
      </c>
      <c r="AL203" s="364">
        <f>1392*50%</f>
        <v>696</v>
      </c>
      <c r="AM203" s="394">
        <v>43800</v>
      </c>
      <c r="AN203" s="365"/>
      <c r="AO203" s="394"/>
      <c r="AP203" s="365"/>
      <c r="AQ203" s="394" t="s">
        <v>2163</v>
      </c>
      <c r="AR203" s="935"/>
      <c r="AS203" s="981" t="s">
        <v>2162</v>
      </c>
      <c r="AT203" s="935"/>
      <c r="AU203" s="981" t="s">
        <v>2161</v>
      </c>
      <c r="AV203" s="365"/>
      <c r="AW203" s="363"/>
      <c r="AX203" s="365"/>
      <c r="AY203" s="363"/>
      <c r="AZ203" s="365"/>
      <c r="BA203" s="366"/>
      <c r="BB203" s="367">
        <f t="shared" ref="BB203:BB208" si="17">AJ203+AL203+AN203+AP203+AR203+AT203+AV203+AX203+AZ203</f>
        <v>696</v>
      </c>
      <c r="BC203" s="217"/>
      <c r="BD203" s="217"/>
      <c r="BE203" s="217"/>
    </row>
    <row r="204" spans="1:61" s="47" customFormat="1" ht="102" thickBot="1">
      <c r="A204" s="4571" t="s">
        <v>7903</v>
      </c>
      <c r="B204" s="4191" t="s">
        <v>7872</v>
      </c>
      <c r="C204" s="4572" t="s">
        <v>7870</v>
      </c>
      <c r="D204" s="4193" t="s">
        <v>788</v>
      </c>
      <c r="E204" s="530" t="s">
        <v>865</v>
      </c>
      <c r="F204" s="4723" t="s">
        <v>469</v>
      </c>
      <c r="G204" s="530" t="s">
        <v>4976</v>
      </c>
      <c r="H204" s="4723" t="s">
        <v>6354</v>
      </c>
      <c r="I204" s="530" t="s">
        <v>447</v>
      </c>
      <c r="J204" s="4724" t="s">
        <v>990</v>
      </c>
      <c r="K204" s="533"/>
      <c r="L204" s="4725" t="s">
        <v>2156</v>
      </c>
      <c r="M204" s="535">
        <v>977</v>
      </c>
      <c r="N204" s="4726">
        <v>38596</v>
      </c>
      <c r="O204" s="1072"/>
      <c r="P204" s="4727"/>
      <c r="Q204" s="533"/>
      <c r="R204" s="4725" t="s">
        <v>2159</v>
      </c>
      <c r="S204" s="4966"/>
      <c r="T204" s="4967" t="s">
        <v>2158</v>
      </c>
      <c r="U204" s="957"/>
      <c r="V204" s="4968" t="s">
        <v>2157</v>
      </c>
      <c r="W204" s="533"/>
      <c r="X204" s="4723"/>
      <c r="Y204" s="533"/>
      <c r="Z204" s="4723"/>
      <c r="AA204" s="533"/>
      <c r="AB204" s="4724"/>
      <c r="AC204" s="4202">
        <f t="shared" si="16"/>
        <v>977</v>
      </c>
      <c r="AD204" s="4651" t="s">
        <v>1083</v>
      </c>
      <c r="AE204" s="4728" t="s">
        <v>4973</v>
      </c>
      <c r="AF204" s="4729" t="s">
        <v>6602</v>
      </c>
      <c r="AG204" s="4730" t="s">
        <v>7904</v>
      </c>
      <c r="AH204" s="4731">
        <v>43993</v>
      </c>
      <c r="AI204" s="4732" t="s">
        <v>7916</v>
      </c>
      <c r="AJ204" s="733"/>
      <c r="AK204" s="4733" t="s">
        <v>2160</v>
      </c>
      <c r="AL204" s="4655">
        <f>1392*50%</f>
        <v>696</v>
      </c>
      <c r="AM204" s="4733">
        <v>43800</v>
      </c>
      <c r="AN204" s="662"/>
      <c r="AO204" s="4733"/>
      <c r="AP204" s="662"/>
      <c r="AQ204" s="4733" t="s">
        <v>2163</v>
      </c>
      <c r="AR204" s="972"/>
      <c r="AS204" s="4734" t="s">
        <v>2162</v>
      </c>
      <c r="AT204" s="972"/>
      <c r="AU204" s="4734" t="s">
        <v>2161</v>
      </c>
      <c r="AV204" s="662"/>
      <c r="AW204" s="4735"/>
      <c r="AX204" s="662"/>
      <c r="AY204" s="4735"/>
      <c r="AZ204" s="662"/>
      <c r="BA204" s="4736"/>
      <c r="BB204" s="4213">
        <f t="shared" si="17"/>
        <v>696</v>
      </c>
      <c r="BC204" s="755" t="s">
        <v>7901</v>
      </c>
      <c r="BD204" s="756">
        <f>SUM(BB203:BB204)</f>
        <v>1392</v>
      </c>
      <c r="BE204" s="4129">
        <f>BD204</f>
        <v>1392</v>
      </c>
      <c r="BF204" s="147"/>
      <c r="BG204" s="4675">
        <f>SUM(BE196:BE204)</f>
        <v>647312</v>
      </c>
      <c r="BH204" s="4565">
        <f>SUM(BH196:BH203)</f>
        <v>0</v>
      </c>
      <c r="BI204" s="4565">
        <f>SUM(BI196:BI203)</f>
        <v>0</v>
      </c>
    </row>
    <row r="205" spans="1:61" ht="68.25" thickBot="1">
      <c r="A205" s="3636" t="s">
        <v>4119</v>
      </c>
      <c r="B205" s="2464" t="s">
        <v>4120</v>
      </c>
      <c r="C205" s="2465" t="s">
        <v>4121</v>
      </c>
      <c r="D205" s="2466" t="s">
        <v>9</v>
      </c>
      <c r="E205" s="2467" t="s">
        <v>977</v>
      </c>
      <c r="F205" s="2468" t="s">
        <v>212</v>
      </c>
      <c r="G205" s="2467" t="s">
        <v>153</v>
      </c>
      <c r="H205" s="2468" t="s">
        <v>6366</v>
      </c>
      <c r="I205" s="2467" t="s">
        <v>242</v>
      </c>
      <c r="J205" s="2469" t="s">
        <v>531</v>
      </c>
      <c r="K205" s="3171">
        <v>1959</v>
      </c>
      <c r="L205" s="3168">
        <v>39326</v>
      </c>
      <c r="M205" s="4956"/>
      <c r="N205" s="3170"/>
      <c r="O205" s="3171"/>
      <c r="P205" s="3172"/>
      <c r="Q205" s="3171">
        <v>6672</v>
      </c>
      <c r="R205" s="3168">
        <v>39326</v>
      </c>
      <c r="S205" s="945">
        <v>14181</v>
      </c>
      <c r="T205" s="946">
        <v>39326</v>
      </c>
      <c r="U205" s="945"/>
      <c r="V205" s="4957"/>
      <c r="W205" s="3171"/>
      <c r="X205" s="2468"/>
      <c r="Y205" s="3171">
        <v>3855</v>
      </c>
      <c r="Z205" s="3168">
        <v>39326</v>
      </c>
      <c r="AA205" s="3171"/>
      <c r="AB205" s="2469"/>
      <c r="AC205" s="2478">
        <f t="shared" si="16"/>
        <v>26667</v>
      </c>
      <c r="AD205" s="3640" t="s">
        <v>465</v>
      </c>
      <c r="AE205" s="2480" t="s">
        <v>5272</v>
      </c>
      <c r="AF205" s="2481" t="s">
        <v>5273</v>
      </c>
      <c r="AG205" s="3175" t="s">
        <v>2977</v>
      </c>
      <c r="AH205" s="3176">
        <v>44103</v>
      </c>
      <c r="AI205" s="3177" t="s">
        <v>8099</v>
      </c>
      <c r="AJ205" s="2485">
        <v>2543</v>
      </c>
      <c r="AK205" s="3179">
        <v>43983</v>
      </c>
      <c r="AL205" s="2487"/>
      <c r="AM205" s="2486"/>
      <c r="AN205" s="2488"/>
      <c r="AO205" s="2486"/>
      <c r="AP205" s="2488">
        <v>8662</v>
      </c>
      <c r="AQ205" s="3179">
        <v>43983</v>
      </c>
      <c r="AR205" s="980"/>
      <c r="AS205" s="1945"/>
      <c r="AT205" s="980"/>
      <c r="AU205" s="1945"/>
      <c r="AV205" s="2488"/>
      <c r="AW205" s="2486"/>
      <c r="AX205" s="2488">
        <v>5005</v>
      </c>
      <c r="AY205" s="3179">
        <v>43983</v>
      </c>
      <c r="AZ205" s="2488"/>
      <c r="BA205" s="2490"/>
      <c r="BB205" s="2491">
        <f t="shared" si="17"/>
        <v>16210</v>
      </c>
      <c r="BC205" s="3038" t="s">
        <v>8098</v>
      </c>
      <c r="BD205" s="3039">
        <f>SUM(BB205)</f>
        <v>16210</v>
      </c>
      <c r="BE205" s="217">
        <f>BD205</f>
        <v>16210</v>
      </c>
      <c r="BG205" s="55"/>
      <c r="BH205" s="55"/>
      <c r="BI205" s="55"/>
    </row>
    <row r="206" spans="1:61" ht="45">
      <c r="A206" s="1609" t="s">
        <v>8455</v>
      </c>
      <c r="B206" s="2692" t="s">
        <v>8052</v>
      </c>
      <c r="C206" s="1305" t="s">
        <v>8051</v>
      </c>
      <c r="D206" s="1306" t="s">
        <v>9</v>
      </c>
      <c r="E206" s="701" t="s">
        <v>8053</v>
      </c>
      <c r="F206" s="702" t="s">
        <v>8055</v>
      </c>
      <c r="G206" s="701" t="s">
        <v>8049</v>
      </c>
      <c r="H206" s="702" t="s">
        <v>8050</v>
      </c>
      <c r="I206" s="701" t="s">
        <v>496</v>
      </c>
      <c r="J206" s="703" t="s">
        <v>8054</v>
      </c>
      <c r="K206" s="1307"/>
      <c r="L206" s="1312"/>
      <c r="M206" s="1309"/>
      <c r="N206" s="1310"/>
      <c r="O206" s="1307"/>
      <c r="P206" s="1311"/>
      <c r="Q206" s="1307"/>
      <c r="R206" s="1312"/>
      <c r="S206" s="3889"/>
      <c r="T206" s="3890"/>
      <c r="U206" s="3889"/>
      <c r="V206" s="3891"/>
      <c r="W206" s="1307"/>
      <c r="X206" s="1312"/>
      <c r="Y206" s="1307"/>
      <c r="Z206" s="1312"/>
      <c r="AA206" s="774">
        <v>1</v>
      </c>
      <c r="AB206" s="720" t="s">
        <v>8454</v>
      </c>
      <c r="AC206" s="536">
        <f t="shared" si="16"/>
        <v>1</v>
      </c>
      <c r="AD206" s="1226" t="s">
        <v>8056</v>
      </c>
      <c r="AE206" s="4958">
        <v>44077</v>
      </c>
      <c r="AF206" s="4959">
        <v>45535</v>
      </c>
      <c r="AG206" s="1091" t="s">
        <v>1061</v>
      </c>
      <c r="AH206" s="713" t="s">
        <v>8464</v>
      </c>
      <c r="AI206" s="1093" t="s">
        <v>8453</v>
      </c>
      <c r="AJ206" s="772"/>
      <c r="AK206" s="775"/>
      <c r="AL206" s="773"/>
      <c r="AM206" s="775"/>
      <c r="AN206" s="774"/>
      <c r="AO206" s="775"/>
      <c r="AP206" s="774"/>
      <c r="AQ206" s="775"/>
      <c r="AR206" s="996"/>
      <c r="AS206" s="997"/>
      <c r="AT206" s="996"/>
      <c r="AU206" s="997"/>
      <c r="AV206" s="774"/>
      <c r="AW206" s="775"/>
      <c r="AX206" s="774"/>
      <c r="AY206" s="775"/>
      <c r="AZ206" s="774">
        <v>1</v>
      </c>
      <c r="BA206" s="720" t="s">
        <v>8454</v>
      </c>
      <c r="BB206" s="721">
        <f t="shared" si="17"/>
        <v>1</v>
      </c>
      <c r="BC206" s="3016"/>
      <c r="BD206" s="697"/>
      <c r="BE206" s="217"/>
      <c r="BG206" s="55"/>
      <c r="BH206" s="55"/>
      <c r="BI206" s="55"/>
    </row>
    <row r="207" spans="1:61" ht="56.25">
      <c r="A207" s="4808" t="s">
        <v>8455</v>
      </c>
      <c r="B207" s="4809" t="s">
        <v>8052</v>
      </c>
      <c r="C207" s="4811" t="s">
        <v>8051</v>
      </c>
      <c r="D207" s="4960" t="s">
        <v>9</v>
      </c>
      <c r="E207" s="4789" t="s">
        <v>473</v>
      </c>
      <c r="F207" s="4810" t="s">
        <v>8057</v>
      </c>
      <c r="G207" s="4789" t="s">
        <v>8049</v>
      </c>
      <c r="H207" s="4810" t="s">
        <v>8050</v>
      </c>
      <c r="I207" s="4789" t="s">
        <v>496</v>
      </c>
      <c r="J207" s="4790" t="s">
        <v>8054</v>
      </c>
      <c r="K207" s="4791"/>
      <c r="L207" s="4792"/>
      <c r="M207" s="4793"/>
      <c r="N207" s="4794"/>
      <c r="O207" s="4791"/>
      <c r="P207" s="4795"/>
      <c r="Q207" s="4791"/>
      <c r="R207" s="4792"/>
      <c r="S207" s="4802"/>
      <c r="T207" s="4803"/>
      <c r="U207" s="4802"/>
      <c r="V207" s="4804"/>
      <c r="W207" s="4791"/>
      <c r="X207" s="4792"/>
      <c r="Y207" s="4791"/>
      <c r="Z207" s="4792"/>
      <c r="AA207" s="4801">
        <v>1132996.29</v>
      </c>
      <c r="AB207" s="4807" t="s">
        <v>8068</v>
      </c>
      <c r="AC207" s="358">
        <f t="shared" si="16"/>
        <v>1132996.29</v>
      </c>
      <c r="AD207" s="4962" t="s">
        <v>8056</v>
      </c>
      <c r="AE207" s="4963">
        <v>44077</v>
      </c>
      <c r="AF207" s="4964">
        <v>45535</v>
      </c>
      <c r="AG207" s="4796" t="s">
        <v>1061</v>
      </c>
      <c r="AH207" s="4797">
        <v>44202</v>
      </c>
      <c r="AI207" s="4969" t="s">
        <v>8465</v>
      </c>
      <c r="AJ207" s="4798"/>
      <c r="AK207" s="4799"/>
      <c r="AL207" s="4800"/>
      <c r="AM207" s="4799"/>
      <c r="AN207" s="4801"/>
      <c r="AO207" s="4799"/>
      <c r="AP207" s="4801"/>
      <c r="AQ207" s="4799"/>
      <c r="AR207" s="4805"/>
      <c r="AS207" s="4806"/>
      <c r="AT207" s="4805"/>
      <c r="AU207" s="4806"/>
      <c r="AV207" s="4801"/>
      <c r="AW207" s="4799"/>
      <c r="AX207" s="4801"/>
      <c r="AY207" s="4799"/>
      <c r="AZ207" s="4324">
        <v>1132996.29</v>
      </c>
      <c r="BA207" s="4961" t="s">
        <v>8456</v>
      </c>
      <c r="BB207" s="367">
        <f t="shared" si="17"/>
        <v>1132996.29</v>
      </c>
      <c r="BC207" s="55"/>
      <c r="BG207" s="55"/>
      <c r="BH207" s="55"/>
      <c r="BI207" s="55"/>
    </row>
    <row r="208" spans="1:61" ht="57" thickBot="1">
      <c r="A208" s="5013" t="s">
        <v>2116</v>
      </c>
      <c r="B208" s="5014" t="s">
        <v>8484</v>
      </c>
      <c r="C208" s="5015" t="s">
        <v>7565</v>
      </c>
      <c r="D208" s="5016" t="s">
        <v>788</v>
      </c>
      <c r="E208" s="5017" t="s">
        <v>7568</v>
      </c>
      <c r="F208" s="5018" t="s">
        <v>7569</v>
      </c>
      <c r="G208" s="5017" t="s">
        <v>7564</v>
      </c>
      <c r="H208" s="5018" t="s">
        <v>7566</v>
      </c>
      <c r="I208" s="5017" t="s">
        <v>7562</v>
      </c>
      <c r="J208" s="5019" t="s">
        <v>7563</v>
      </c>
      <c r="K208" s="5020"/>
      <c r="L208" s="5021"/>
      <c r="M208" s="5022"/>
      <c r="N208" s="5023"/>
      <c r="O208" s="5020"/>
      <c r="P208" s="5024"/>
      <c r="Q208" s="5020"/>
      <c r="R208" s="5021"/>
      <c r="S208" s="5025"/>
      <c r="T208" s="5026"/>
      <c r="U208" s="5025"/>
      <c r="V208" s="5027"/>
      <c r="W208" s="5020">
        <v>30454</v>
      </c>
      <c r="X208" s="5018" t="s">
        <v>8135</v>
      </c>
      <c r="Y208" s="5020"/>
      <c r="Z208" s="5021"/>
      <c r="AA208" s="5020"/>
      <c r="AB208" s="5028"/>
      <c r="AC208" s="5029">
        <f t="shared" si="16"/>
        <v>30454</v>
      </c>
      <c r="AD208" s="5030" t="s">
        <v>7567</v>
      </c>
      <c r="AE208" s="5031">
        <v>43846</v>
      </c>
      <c r="AF208" s="5032">
        <v>45307</v>
      </c>
      <c r="AG208" s="5033" t="s">
        <v>1061</v>
      </c>
      <c r="AH208" s="5034">
        <v>44215</v>
      </c>
      <c r="AI208" s="5035" t="s">
        <v>8487</v>
      </c>
      <c r="AJ208" s="5036"/>
      <c r="AK208" s="5037"/>
      <c r="AL208" s="5038"/>
      <c r="AM208" s="5037"/>
      <c r="AN208" s="5039"/>
      <c r="AO208" s="5037"/>
      <c r="AP208" s="5039"/>
      <c r="AQ208" s="5037"/>
      <c r="AR208" s="5040"/>
      <c r="AS208" s="5041"/>
      <c r="AT208" s="5040"/>
      <c r="AU208" s="5041"/>
      <c r="AV208" s="5039">
        <v>31015</v>
      </c>
      <c r="AW208" s="5042" t="s">
        <v>8479</v>
      </c>
      <c r="AX208" s="5039"/>
      <c r="AY208" s="5037"/>
      <c r="AZ208" s="5039"/>
      <c r="BA208" s="5043"/>
      <c r="BB208" s="5044">
        <f t="shared" si="17"/>
        <v>31015</v>
      </c>
      <c r="BC208" s="755" t="s">
        <v>8457</v>
      </c>
      <c r="BD208" s="756">
        <f>SUM(BB206:BB208)</f>
        <v>1164012.29</v>
      </c>
      <c r="BE208" s="217">
        <f t="shared" ref="BE208" si="18">BD208</f>
        <v>1164012.29</v>
      </c>
      <c r="BG208" s="55"/>
      <c r="BH208" s="55"/>
      <c r="BI208" s="55"/>
    </row>
    <row r="209" spans="1:61" ht="90">
      <c r="A209" s="5216" t="s">
        <v>8619</v>
      </c>
      <c r="B209" s="5217" t="s">
        <v>8617</v>
      </c>
      <c r="C209" s="5218" t="s">
        <v>8091</v>
      </c>
      <c r="D209" s="5219" t="s">
        <v>8092</v>
      </c>
      <c r="E209" s="5220" t="s">
        <v>8094</v>
      </c>
      <c r="F209" s="5221" t="s">
        <v>8095</v>
      </c>
      <c r="G209" s="5220" t="s">
        <v>8096</v>
      </c>
      <c r="H209" s="5221" t="s">
        <v>8093</v>
      </c>
      <c r="I209" s="5220" t="s">
        <v>801</v>
      </c>
      <c r="J209" s="5222" t="s">
        <v>8137</v>
      </c>
      <c r="K209" s="5223"/>
      <c r="L209" s="5224"/>
      <c r="M209" s="5225"/>
      <c r="N209" s="5226"/>
      <c r="O209" s="5223"/>
      <c r="P209" s="5227"/>
      <c r="Q209" s="5223"/>
      <c r="R209" s="5224"/>
      <c r="S209" s="4802"/>
      <c r="T209" s="4803"/>
      <c r="U209" s="4802"/>
      <c r="V209" s="4804"/>
      <c r="W209" s="5223">
        <v>24363</v>
      </c>
      <c r="X209" s="5221" t="s">
        <v>8618</v>
      </c>
      <c r="Y209" s="5223"/>
      <c r="Z209" s="5224"/>
      <c r="AA209" s="5223"/>
      <c r="AB209" s="5228"/>
      <c r="AC209" s="1488">
        <f>K209+M209+O209+Q209+S209+U209+W209+Y209+AA209</f>
        <v>24363</v>
      </c>
      <c r="AD209" s="5229" t="s">
        <v>465</v>
      </c>
      <c r="AE209" s="5230">
        <v>44091</v>
      </c>
      <c r="AF209" s="5231" t="s">
        <v>4905</v>
      </c>
      <c r="AG209" s="5232" t="s">
        <v>909</v>
      </c>
      <c r="AH209" s="5240">
        <v>44350</v>
      </c>
      <c r="AI209" s="5241" t="s">
        <v>8873</v>
      </c>
      <c r="AJ209" s="5233"/>
      <c r="AK209" s="5234"/>
      <c r="AL209" s="5235"/>
      <c r="AM209" s="5234"/>
      <c r="AN209" s="5236"/>
      <c r="AO209" s="5234"/>
      <c r="AP209" s="5236"/>
      <c r="AQ209" s="5234"/>
      <c r="AR209" s="5236"/>
      <c r="AS209" s="4806"/>
      <c r="AT209" s="4805"/>
      <c r="AU209" s="4806"/>
      <c r="AV209" s="5236">
        <v>24812</v>
      </c>
      <c r="AW209" s="5237" t="s">
        <v>8616</v>
      </c>
      <c r="AX209" s="5236"/>
      <c r="AY209" s="5234"/>
      <c r="AZ209" s="5236"/>
      <c r="BA209" s="5238"/>
      <c r="BB209" s="5239">
        <f t="shared" ref="BB209:BB214" si="19">AJ209+AL209+AN209+AP209+AR209+AT209+AV209+AX209+AZ209</f>
        <v>24812</v>
      </c>
      <c r="BC209" s="55"/>
      <c r="BG209" s="55"/>
      <c r="BH209" s="55"/>
      <c r="BI209" s="55"/>
    </row>
    <row r="210" spans="1:61" s="47" customFormat="1" ht="112.5">
      <c r="A210" s="1521" t="s">
        <v>4262</v>
      </c>
      <c r="B210" s="1363" t="s">
        <v>7210</v>
      </c>
      <c r="C210" s="1481" t="s">
        <v>7200</v>
      </c>
      <c r="D210" s="1362" t="s">
        <v>788</v>
      </c>
      <c r="E210" s="1482" t="s">
        <v>3678</v>
      </c>
      <c r="F210" s="781" t="s">
        <v>6656</v>
      </c>
      <c r="G210" s="1482" t="s">
        <v>5249</v>
      </c>
      <c r="H210" s="781" t="s">
        <v>6361</v>
      </c>
      <c r="I210" s="5242" t="s">
        <v>4261</v>
      </c>
      <c r="J210" s="5243" t="s">
        <v>5254</v>
      </c>
      <c r="K210" s="5244">
        <v>7926</v>
      </c>
      <c r="L210" s="1478">
        <v>43525</v>
      </c>
      <c r="M210" s="5245">
        <v>22523</v>
      </c>
      <c r="N210" s="1478">
        <v>43525</v>
      </c>
      <c r="O210" s="5246"/>
      <c r="P210" s="5247"/>
      <c r="Q210" s="1483">
        <v>0</v>
      </c>
      <c r="R210" s="1484" t="s">
        <v>4264</v>
      </c>
      <c r="S210" s="1999">
        <v>50164</v>
      </c>
      <c r="T210" s="981">
        <v>43525</v>
      </c>
      <c r="U210" s="1999">
        <v>14866</v>
      </c>
      <c r="V210" s="981">
        <v>43525</v>
      </c>
      <c r="W210" s="5246"/>
      <c r="X210" s="5248"/>
      <c r="Y210" s="5246"/>
      <c r="Z210" s="5248"/>
      <c r="AA210" s="5246"/>
      <c r="AB210" s="5249"/>
      <c r="AC210" s="1488">
        <f>K210+M210+O210+Q210+S210+U210+W210+Y210+AA210</f>
        <v>95479</v>
      </c>
      <c r="AD210" s="2393" t="s">
        <v>3677</v>
      </c>
      <c r="AE210" s="1447" t="s">
        <v>7201</v>
      </c>
      <c r="AF210" s="2394" t="s">
        <v>4263</v>
      </c>
      <c r="AG210" s="5250" t="s">
        <v>909</v>
      </c>
      <c r="AH210" s="5256">
        <v>44259</v>
      </c>
      <c r="AI210" s="5257" t="s">
        <v>8874</v>
      </c>
      <c r="AJ210" s="5251">
        <v>8211</v>
      </c>
      <c r="AK210" s="5255">
        <v>44256</v>
      </c>
      <c r="AL210" s="5253">
        <v>23332</v>
      </c>
      <c r="AM210" s="5255">
        <v>44256</v>
      </c>
      <c r="AN210" s="5244"/>
      <c r="AO210" s="5252"/>
      <c r="AP210" s="5244"/>
      <c r="AQ210" s="5252"/>
      <c r="AR210" s="1999"/>
      <c r="AS210" s="2055"/>
      <c r="AT210" s="1999"/>
      <c r="AU210" s="2055"/>
      <c r="AV210" s="5244"/>
      <c r="AW210" s="5252"/>
      <c r="AX210" s="5244"/>
      <c r="AY210" s="5252"/>
      <c r="AZ210" s="5244"/>
      <c r="BA210" s="5254"/>
      <c r="BB210" s="1480">
        <f t="shared" si="19"/>
        <v>31543</v>
      </c>
    </row>
    <row r="211" spans="1:61" s="47" customFormat="1" ht="112.5">
      <c r="A211" s="1521" t="s">
        <v>4262</v>
      </c>
      <c r="B211" s="1363" t="s">
        <v>7208</v>
      </c>
      <c r="C211" s="1481" t="s">
        <v>7200</v>
      </c>
      <c r="D211" s="1362" t="s">
        <v>788</v>
      </c>
      <c r="E211" s="1482" t="s">
        <v>3678</v>
      </c>
      <c r="F211" s="781" t="s">
        <v>3303</v>
      </c>
      <c r="G211" s="1482" t="s">
        <v>5249</v>
      </c>
      <c r="H211" s="781" t="s">
        <v>5250</v>
      </c>
      <c r="I211" s="5242" t="s">
        <v>4261</v>
      </c>
      <c r="J211" s="5243" t="s">
        <v>6046</v>
      </c>
      <c r="K211" s="5244">
        <v>9153</v>
      </c>
      <c r="L211" s="1478">
        <v>43525</v>
      </c>
      <c r="M211" s="5245">
        <v>26011</v>
      </c>
      <c r="N211" s="1478">
        <v>43525</v>
      </c>
      <c r="O211" s="5246"/>
      <c r="P211" s="5247"/>
      <c r="Q211" s="1483">
        <v>0</v>
      </c>
      <c r="R211" s="1484" t="s">
        <v>4264</v>
      </c>
      <c r="S211" s="1999">
        <v>59825</v>
      </c>
      <c r="T211" s="981">
        <v>43525</v>
      </c>
      <c r="U211" s="1999">
        <v>18069</v>
      </c>
      <c r="V211" s="981">
        <v>43525</v>
      </c>
      <c r="W211" s="5246"/>
      <c r="X211" s="5248"/>
      <c r="Y211" s="5246"/>
      <c r="Z211" s="5248"/>
      <c r="AA211" s="5246"/>
      <c r="AB211" s="5249"/>
      <c r="AC211" s="1488">
        <f>K211+M211+O211+Q211+S211+U211+W211+Y211+AA211</f>
        <v>113058</v>
      </c>
      <c r="AD211" s="2393" t="s">
        <v>3677</v>
      </c>
      <c r="AE211" s="1447" t="s">
        <v>7201</v>
      </c>
      <c r="AF211" s="2394" t="s">
        <v>4263</v>
      </c>
      <c r="AG211" s="5250" t="s">
        <v>1061</v>
      </c>
      <c r="AH211" s="5267">
        <v>44371</v>
      </c>
      <c r="AI211" s="5257" t="s">
        <v>8951</v>
      </c>
      <c r="AJ211" s="5251">
        <v>9482</v>
      </c>
      <c r="AK211" s="5255">
        <v>44256</v>
      </c>
      <c r="AL211" s="5253">
        <v>26946</v>
      </c>
      <c r="AM211" s="5255">
        <v>44256</v>
      </c>
      <c r="AN211" s="5244"/>
      <c r="AO211" s="5252"/>
      <c r="AP211" s="5244"/>
      <c r="AQ211" s="5252"/>
      <c r="AR211" s="1999"/>
      <c r="AS211" s="2055"/>
      <c r="AT211" s="1999"/>
      <c r="AU211" s="2055"/>
      <c r="AV211" s="5244"/>
      <c r="AW211" s="5252"/>
      <c r="AX211" s="5244"/>
      <c r="AY211" s="5252"/>
      <c r="AZ211" s="5244"/>
      <c r="BA211" s="5254"/>
      <c r="BB211" s="1480">
        <f t="shared" si="19"/>
        <v>36428</v>
      </c>
    </row>
    <row r="212" spans="1:61" ht="68.25" thickBot="1">
      <c r="A212" s="5289" t="s">
        <v>2116</v>
      </c>
      <c r="B212" s="5290" t="s">
        <v>8953</v>
      </c>
      <c r="C212" s="5291" t="s">
        <v>8952</v>
      </c>
      <c r="D212" s="5292" t="s">
        <v>788</v>
      </c>
      <c r="E212" s="5293" t="s">
        <v>8954</v>
      </c>
      <c r="F212" s="5294" t="s">
        <v>8955</v>
      </c>
      <c r="G212" s="5293" t="s">
        <v>8958</v>
      </c>
      <c r="H212" s="5294" t="s">
        <v>8957</v>
      </c>
      <c r="I212" s="5293" t="s">
        <v>8588</v>
      </c>
      <c r="J212" s="5295" t="s">
        <v>8956</v>
      </c>
      <c r="K212" s="5296"/>
      <c r="L212" s="5297"/>
      <c r="M212" s="5298"/>
      <c r="N212" s="5299"/>
      <c r="O212" s="5296"/>
      <c r="P212" s="5300"/>
      <c r="Q212" s="5296"/>
      <c r="R212" s="5297"/>
      <c r="S212" s="5301"/>
      <c r="T212" s="5302"/>
      <c r="U212" s="5301"/>
      <c r="V212" s="5303"/>
      <c r="W212" s="5296">
        <v>15775</v>
      </c>
      <c r="X212" s="5294" t="s">
        <v>8959</v>
      </c>
      <c r="Y212" s="5296"/>
      <c r="Z212" s="5297"/>
      <c r="AA212" s="5296"/>
      <c r="AB212" s="5304"/>
      <c r="AC212" s="1488">
        <f>K212+M212+O212+Q212+S212+U212+W212+Y212+AA212</f>
        <v>15775</v>
      </c>
      <c r="AD212" s="5305" t="s">
        <v>465</v>
      </c>
      <c r="AE212" s="5306">
        <v>44245</v>
      </c>
      <c r="AF212" s="5307">
        <v>46436</v>
      </c>
      <c r="AG212" s="5308" t="s">
        <v>1061</v>
      </c>
      <c r="AH212" s="5309">
        <v>44376</v>
      </c>
      <c r="AI212" s="5310" t="s">
        <v>8979</v>
      </c>
      <c r="AJ212" s="5311"/>
      <c r="AK212" s="5312"/>
      <c r="AL212" s="5313"/>
      <c r="AM212" s="5312"/>
      <c r="AN212" s="5314"/>
      <c r="AO212" s="5312"/>
      <c r="AP212" s="5314"/>
      <c r="AQ212" s="5312"/>
      <c r="AR212" s="5315"/>
      <c r="AS212" s="5316"/>
      <c r="AT212" s="5315"/>
      <c r="AU212" s="5316"/>
      <c r="AV212" s="5314">
        <v>15775</v>
      </c>
      <c r="AW212" s="5317" t="s">
        <v>8977</v>
      </c>
      <c r="AX212" s="5314"/>
      <c r="AY212" s="5312"/>
      <c r="AZ212" s="5314"/>
      <c r="BA212" s="5318"/>
      <c r="BB212" s="5319">
        <f t="shared" si="19"/>
        <v>15775</v>
      </c>
      <c r="BC212" s="3017" t="s">
        <v>8871</v>
      </c>
      <c r="BD212" s="3018">
        <f>SUM(BB209:BB212)</f>
        <v>108558</v>
      </c>
      <c r="BE212" s="4129">
        <f t="shared" ref="BE212" si="20">BD212</f>
        <v>108558</v>
      </c>
      <c r="BF212" s="147"/>
      <c r="BG212" s="4675">
        <f>SUM(BE205:BE212)</f>
        <v>1288780.29</v>
      </c>
      <c r="BH212" s="4565">
        <f>SUM(BH205:BH211)</f>
        <v>0</v>
      </c>
      <c r="BI212" s="4565">
        <f>SUM(BI205:BI211)</f>
        <v>0</v>
      </c>
    </row>
    <row r="213" spans="1:61" ht="113.25" thickBot="1">
      <c r="A213" s="3789" t="s">
        <v>9060</v>
      </c>
      <c r="B213" s="3151" t="s">
        <v>8083</v>
      </c>
      <c r="C213" s="605" t="s">
        <v>8166</v>
      </c>
      <c r="D213" s="606" t="s">
        <v>8084</v>
      </c>
      <c r="E213" s="607" t="s">
        <v>8085</v>
      </c>
      <c r="F213" s="608" t="s">
        <v>8086</v>
      </c>
      <c r="G213" s="607" t="s">
        <v>8087</v>
      </c>
      <c r="H213" s="608" t="s">
        <v>8089</v>
      </c>
      <c r="I213" s="607" t="s">
        <v>187</v>
      </c>
      <c r="J213" s="609" t="s">
        <v>187</v>
      </c>
      <c r="K213" s="1935"/>
      <c r="L213" s="1936"/>
      <c r="M213" s="1937"/>
      <c r="N213" s="1938"/>
      <c r="O213" s="1935"/>
      <c r="P213" s="1939"/>
      <c r="Q213" s="1935"/>
      <c r="R213" s="1936"/>
      <c r="S213" s="1940"/>
      <c r="T213" s="1941"/>
      <c r="U213" s="1940"/>
      <c r="V213" s="1942"/>
      <c r="W213" s="1935"/>
      <c r="X213" s="1936"/>
      <c r="Y213" s="1935"/>
      <c r="Z213" s="1936"/>
      <c r="AA213" s="625">
        <f>16650+500</f>
        <v>17150</v>
      </c>
      <c r="AB213" s="1843" t="s">
        <v>8090</v>
      </c>
      <c r="AC213" s="615">
        <f t="shared" ref="AC213:AC218" si="21">K213+M213+O213+Q213+S213+U213+W213+Y213+AA213</f>
        <v>17150</v>
      </c>
      <c r="AD213" s="5362" t="s">
        <v>8088</v>
      </c>
      <c r="AE213" s="5363">
        <v>44120</v>
      </c>
      <c r="AF213" s="5364">
        <v>45535</v>
      </c>
      <c r="AG213" s="1834" t="s">
        <v>9064</v>
      </c>
      <c r="AH213" s="620">
        <v>44406</v>
      </c>
      <c r="AI213" s="1836" t="s">
        <v>9065</v>
      </c>
      <c r="AJ213" s="622"/>
      <c r="AK213" s="626"/>
      <c r="AL213" s="624"/>
      <c r="AM213" s="626"/>
      <c r="AN213" s="625"/>
      <c r="AO213" s="626"/>
      <c r="AP213" s="625"/>
      <c r="AQ213" s="626"/>
      <c r="AR213" s="980"/>
      <c r="AS213" s="1945"/>
      <c r="AT213" s="980"/>
      <c r="AU213" s="1945"/>
      <c r="AV213" s="625"/>
      <c r="AW213" s="626"/>
      <c r="AX213" s="625"/>
      <c r="AY213" s="626"/>
      <c r="AZ213" s="625">
        <v>17437</v>
      </c>
      <c r="BA213" s="1843" t="s">
        <v>9061</v>
      </c>
      <c r="BB213" s="628">
        <f t="shared" si="19"/>
        <v>17437</v>
      </c>
      <c r="BC213" s="3035" t="s">
        <v>9063</v>
      </c>
      <c r="BD213" s="3036">
        <f t="shared" ref="BD213:BD218" si="22">SUM(BB213)</f>
        <v>17437</v>
      </c>
      <c r="BE213" s="624">
        <f t="shared" ref="BE213" si="23">BD213</f>
        <v>17437</v>
      </c>
      <c r="BG213" s="55"/>
      <c r="BH213" s="55"/>
      <c r="BI213" s="55"/>
    </row>
    <row r="214" spans="1:61" ht="68.25" thickBot="1">
      <c r="A214" s="2466" t="s">
        <v>9170</v>
      </c>
      <c r="B214" s="2464" t="s">
        <v>175</v>
      </c>
      <c r="C214" s="2464" t="s">
        <v>9164</v>
      </c>
      <c r="D214" s="5451" t="s">
        <v>9165</v>
      </c>
      <c r="E214" s="2467" t="s">
        <v>9166</v>
      </c>
      <c r="F214" s="2468" t="s">
        <v>9167</v>
      </c>
      <c r="G214" s="2467" t="s">
        <v>6887</v>
      </c>
      <c r="H214" s="2468" t="s">
        <v>9168</v>
      </c>
      <c r="I214" s="2467" t="s">
        <v>1257</v>
      </c>
      <c r="J214" s="2469" t="s">
        <v>9169</v>
      </c>
      <c r="K214" s="2470"/>
      <c r="L214" s="2471"/>
      <c r="M214" s="2472"/>
      <c r="N214" s="2473"/>
      <c r="O214" s="2470"/>
      <c r="P214" s="2474"/>
      <c r="Q214" s="2470"/>
      <c r="R214" s="2471"/>
      <c r="S214" s="1940"/>
      <c r="T214" s="1941"/>
      <c r="U214" s="1940"/>
      <c r="V214" s="1942"/>
      <c r="W214" s="2470"/>
      <c r="X214" s="2471"/>
      <c r="Y214" s="2470"/>
      <c r="Z214" s="2471"/>
      <c r="AA214" s="2470">
        <v>8244.7199999999993</v>
      </c>
      <c r="AB214" s="2469" t="s">
        <v>9171</v>
      </c>
      <c r="AC214" s="2478">
        <f t="shared" si="21"/>
        <v>8244.7199999999993</v>
      </c>
      <c r="AD214" s="3640" t="s">
        <v>465</v>
      </c>
      <c r="AE214" s="5452">
        <v>44117</v>
      </c>
      <c r="AF214" s="5453">
        <v>44847</v>
      </c>
      <c r="AG214" s="3175" t="s">
        <v>909</v>
      </c>
      <c r="AH214" s="3176">
        <v>44438</v>
      </c>
      <c r="AI214" s="5454" t="s">
        <v>9183</v>
      </c>
      <c r="AJ214" s="2485"/>
      <c r="AK214" s="2486"/>
      <c r="AL214" s="2487"/>
      <c r="AM214" s="2486"/>
      <c r="AN214" s="2488"/>
      <c r="AO214" s="2486"/>
      <c r="AP214" s="2488"/>
      <c r="AQ214" s="2486"/>
      <c r="AR214" s="2488"/>
      <c r="AS214" s="2486"/>
      <c r="AT214" s="2488"/>
      <c r="AU214" s="2486"/>
      <c r="AV214" s="2488"/>
      <c r="AW214" s="2486"/>
      <c r="AX214" s="2488"/>
      <c r="AY214" s="2486"/>
      <c r="AZ214" s="2470">
        <v>8244.7199999999993</v>
      </c>
      <c r="BA214" s="2469" t="s">
        <v>9171</v>
      </c>
      <c r="BB214" s="2491">
        <f t="shared" si="19"/>
        <v>8244.7199999999993</v>
      </c>
      <c r="BC214" s="3038" t="s">
        <v>9182</v>
      </c>
      <c r="BD214" s="3039">
        <f t="shared" si="22"/>
        <v>8244.7199999999993</v>
      </c>
      <c r="BE214" s="624">
        <f t="shared" ref="BE214" si="24">BD214</f>
        <v>8244.7199999999993</v>
      </c>
      <c r="BG214" s="55"/>
      <c r="BH214" s="55"/>
      <c r="BI214" s="55"/>
    </row>
    <row r="215" spans="1:61" ht="63.75" thickBot="1">
      <c r="A215" s="3789" t="s">
        <v>9288</v>
      </c>
      <c r="B215" s="5537" t="s">
        <v>9373</v>
      </c>
      <c r="C215" s="605" t="s">
        <v>9372</v>
      </c>
      <c r="D215" s="606" t="s">
        <v>9125</v>
      </c>
      <c r="E215" s="607" t="s">
        <v>9121</v>
      </c>
      <c r="F215" s="608" t="s">
        <v>9122</v>
      </c>
      <c r="G215" s="607" t="s">
        <v>9123</v>
      </c>
      <c r="H215" s="608" t="s">
        <v>9124</v>
      </c>
      <c r="I215" s="607" t="s">
        <v>1257</v>
      </c>
      <c r="J215" s="609" t="s">
        <v>9126</v>
      </c>
      <c r="K215" s="1935"/>
      <c r="L215" s="1936"/>
      <c r="M215" s="1937"/>
      <c r="N215" s="1938"/>
      <c r="O215" s="1935"/>
      <c r="P215" s="1939"/>
      <c r="Q215" s="1935"/>
      <c r="R215" s="1936"/>
      <c r="S215" s="1940"/>
      <c r="T215" s="1941"/>
      <c r="U215" s="1940"/>
      <c r="V215" s="1942"/>
      <c r="W215" s="1935">
        <v>35000</v>
      </c>
      <c r="X215" s="5538" t="s">
        <v>9127</v>
      </c>
      <c r="Y215" s="1935"/>
      <c r="Z215" s="1936"/>
      <c r="AA215" s="1935"/>
      <c r="AB215" s="1944"/>
      <c r="AC215" s="615">
        <f t="shared" si="21"/>
        <v>35000</v>
      </c>
      <c r="AD215" s="1985" t="s">
        <v>663</v>
      </c>
      <c r="AE215" s="1986">
        <v>34215</v>
      </c>
      <c r="AF215" s="1987" t="s">
        <v>9120</v>
      </c>
      <c r="AG215" s="619" t="s">
        <v>909</v>
      </c>
      <c r="AH215" s="620">
        <v>44504</v>
      </c>
      <c r="AI215" s="5539" t="s">
        <v>9368</v>
      </c>
      <c r="AJ215" s="622"/>
      <c r="AK215" s="626"/>
      <c r="AL215" s="624"/>
      <c r="AM215" s="626"/>
      <c r="AN215" s="625"/>
      <c r="AO215" s="626"/>
      <c r="AP215" s="625"/>
      <c r="AQ215" s="626"/>
      <c r="AR215" s="625"/>
      <c r="AS215" s="626"/>
      <c r="AT215" s="625"/>
      <c r="AU215" s="626"/>
      <c r="AV215" s="625">
        <v>35000</v>
      </c>
      <c r="AW215" s="626" t="s">
        <v>9369</v>
      </c>
      <c r="AX215" s="625"/>
      <c r="AY215" s="626"/>
      <c r="AZ215" s="625"/>
      <c r="BA215" s="627"/>
      <c r="BB215" s="628">
        <f>AJ215+AL215+AN215+AP215+AR215+AT215+AV215+AX215+AZ215</f>
        <v>35000</v>
      </c>
      <c r="BC215" s="3035" t="s">
        <v>9363</v>
      </c>
      <c r="BD215" s="3036">
        <f t="shared" si="22"/>
        <v>35000</v>
      </c>
      <c r="BE215" s="624">
        <f t="shared" ref="BE215" si="25">BD215</f>
        <v>35000</v>
      </c>
      <c r="BG215" s="55"/>
      <c r="BH215" s="55"/>
      <c r="BI215" s="55"/>
    </row>
    <row r="216" spans="1:61" ht="68.25" thickBot="1">
      <c r="A216" s="3636" t="s">
        <v>2116</v>
      </c>
      <c r="B216" s="5625" t="s">
        <v>9712</v>
      </c>
      <c r="C216" s="2465" t="s">
        <v>8186</v>
      </c>
      <c r="D216" s="2466" t="s">
        <v>8092</v>
      </c>
      <c r="E216" s="2467" t="s">
        <v>8181</v>
      </c>
      <c r="F216" s="2468" t="s">
        <v>5165</v>
      </c>
      <c r="G216" s="2467" t="s">
        <v>8184</v>
      </c>
      <c r="H216" s="2468" t="s">
        <v>8187</v>
      </c>
      <c r="I216" s="2467" t="s">
        <v>8188</v>
      </c>
      <c r="J216" s="2469" t="s">
        <v>8189</v>
      </c>
      <c r="K216" s="2470"/>
      <c r="L216" s="2471"/>
      <c r="M216" s="2472"/>
      <c r="N216" s="2473"/>
      <c r="O216" s="2470"/>
      <c r="P216" s="2474"/>
      <c r="Q216" s="2470"/>
      <c r="R216" s="2471"/>
      <c r="S216" s="1940"/>
      <c r="T216" s="1941"/>
      <c r="U216" s="1940"/>
      <c r="V216" s="1942"/>
      <c r="W216" s="2470">
        <v>74436</v>
      </c>
      <c r="X216" s="2468" t="s">
        <v>8190</v>
      </c>
      <c r="Y216" s="2470"/>
      <c r="Z216" s="2471"/>
      <c r="AA216" s="2470"/>
      <c r="AB216" s="2477"/>
      <c r="AC216" s="2478">
        <f t="shared" si="21"/>
        <v>74436</v>
      </c>
      <c r="AD216" s="3640" t="s">
        <v>465</v>
      </c>
      <c r="AE216" s="5452">
        <v>44093</v>
      </c>
      <c r="AF216" s="5453" t="s">
        <v>4905</v>
      </c>
      <c r="AG216" s="3175" t="s">
        <v>909</v>
      </c>
      <c r="AH216" s="3176">
        <v>44634</v>
      </c>
      <c r="AI216" s="5454" t="s">
        <v>9715</v>
      </c>
      <c r="AJ216" s="2485"/>
      <c r="AK216" s="2486"/>
      <c r="AL216" s="2487"/>
      <c r="AM216" s="2486"/>
      <c r="AN216" s="2488"/>
      <c r="AO216" s="2486"/>
      <c r="AP216" s="2488"/>
      <c r="AQ216" s="2486"/>
      <c r="AR216" s="2488"/>
      <c r="AS216" s="2486"/>
      <c r="AT216" s="2488"/>
      <c r="AU216" s="2486"/>
      <c r="AV216" s="2488">
        <v>75717</v>
      </c>
      <c r="AW216" s="3178" t="s">
        <v>8977</v>
      </c>
      <c r="AX216" s="2488"/>
      <c r="AY216" s="2486"/>
      <c r="AZ216" s="2488"/>
      <c r="BA216" s="2490"/>
      <c r="BB216" s="2491">
        <f>AJ216+AL216+AN216+AP216+AR216+AT216+AV216+AX216+AZ216</f>
        <v>75717</v>
      </c>
      <c r="BC216" s="3038" t="s">
        <v>9713</v>
      </c>
      <c r="BD216" s="3039">
        <f t="shared" si="22"/>
        <v>75717</v>
      </c>
      <c r="BE216" s="624">
        <f t="shared" ref="BE216" si="26">BD216</f>
        <v>75717</v>
      </c>
      <c r="BG216" s="55"/>
      <c r="BH216" s="55"/>
      <c r="BI216" s="55"/>
    </row>
    <row r="217" spans="1:61" ht="68.25" thickBot="1">
      <c r="A217" s="3789" t="s">
        <v>2116</v>
      </c>
      <c r="B217" s="3151" t="s">
        <v>9968</v>
      </c>
      <c r="C217" s="605" t="s">
        <v>9967</v>
      </c>
      <c r="D217" s="606" t="s">
        <v>788</v>
      </c>
      <c r="E217" s="607" t="s">
        <v>9265</v>
      </c>
      <c r="F217" s="608" t="s">
        <v>9266</v>
      </c>
      <c r="G217" s="607" t="s">
        <v>9267</v>
      </c>
      <c r="H217" s="608" t="s">
        <v>9268</v>
      </c>
      <c r="I217" s="607" t="s">
        <v>9969</v>
      </c>
      <c r="J217" s="609" t="s">
        <v>9970</v>
      </c>
      <c r="K217" s="1935"/>
      <c r="L217" s="1936"/>
      <c r="M217" s="1937"/>
      <c r="N217" s="1938"/>
      <c r="O217" s="1935"/>
      <c r="P217" s="1939"/>
      <c r="Q217" s="1935"/>
      <c r="R217" s="1936"/>
      <c r="S217" s="1940"/>
      <c r="T217" s="1941"/>
      <c r="U217" s="1940"/>
      <c r="V217" s="1942"/>
      <c r="W217" s="1935">
        <v>37860</v>
      </c>
      <c r="X217" s="608" t="s">
        <v>9971</v>
      </c>
      <c r="Y217" s="1935"/>
      <c r="Z217" s="1936"/>
      <c r="AA217" s="1935"/>
      <c r="AB217" s="1944"/>
      <c r="AC217" s="615">
        <f t="shared" si="21"/>
        <v>37860</v>
      </c>
      <c r="AD217" s="5362" t="s">
        <v>465</v>
      </c>
      <c r="AE217" s="5363">
        <v>44245</v>
      </c>
      <c r="AF217" s="5364">
        <v>46436</v>
      </c>
      <c r="AG217" s="619" t="s">
        <v>909</v>
      </c>
      <c r="AH217" s="5674">
        <v>44719</v>
      </c>
      <c r="AI217" s="5539" t="s">
        <v>9978</v>
      </c>
      <c r="AJ217" s="622"/>
      <c r="AK217" s="626"/>
      <c r="AL217" s="624"/>
      <c r="AM217" s="626"/>
      <c r="AN217" s="625"/>
      <c r="AO217" s="626"/>
      <c r="AP217" s="625"/>
      <c r="AQ217" s="626"/>
      <c r="AR217" s="980"/>
      <c r="AS217" s="1945"/>
      <c r="AT217" s="980"/>
      <c r="AU217" s="1945"/>
      <c r="AV217" s="625">
        <v>37860</v>
      </c>
      <c r="AW217" s="1840" t="s">
        <v>8977</v>
      </c>
      <c r="AX217" s="625"/>
      <c r="AY217" s="626"/>
      <c r="AZ217" s="625"/>
      <c r="BA217" s="627"/>
      <c r="BB217" s="628">
        <f>AJ217+AL217+AN217+AP217+AR217+AT217+AV217+AX217+AZ217</f>
        <v>37860</v>
      </c>
      <c r="BC217" s="3035" t="s">
        <v>9976</v>
      </c>
      <c r="BD217" s="3036">
        <f t="shared" si="22"/>
        <v>37860</v>
      </c>
      <c r="BE217" s="624">
        <f t="shared" ref="BE217" si="27">BD217</f>
        <v>37860</v>
      </c>
      <c r="BF217" s="194"/>
      <c r="BG217" s="4568">
        <f>SUM(BE213:BE217)</f>
        <v>174258.72</v>
      </c>
      <c r="BH217" s="5675">
        <f>SUM(BH213:BH216)</f>
        <v>0</v>
      </c>
      <c r="BI217" s="5675">
        <f>SUM(BI213:BI216)</f>
        <v>0</v>
      </c>
    </row>
    <row r="218" spans="1:61" ht="57" thickBot="1">
      <c r="A218" s="3636" t="s">
        <v>2116</v>
      </c>
      <c r="B218" s="5625" t="s">
        <v>8587</v>
      </c>
      <c r="C218" s="2465" t="s">
        <v>8586</v>
      </c>
      <c r="D218" s="2466" t="s">
        <v>788</v>
      </c>
      <c r="E218" s="2467" t="s">
        <v>8579</v>
      </c>
      <c r="F218" s="2468" t="s">
        <v>6628</v>
      </c>
      <c r="G218" s="2467" t="s">
        <v>7076</v>
      </c>
      <c r="H218" s="2468" t="s">
        <v>8580</v>
      </c>
      <c r="I218" s="2467" t="s">
        <v>8588</v>
      </c>
      <c r="J218" s="2469" t="s">
        <v>8589</v>
      </c>
      <c r="K218" s="2470"/>
      <c r="L218" s="2471"/>
      <c r="M218" s="2472"/>
      <c r="N218" s="2473"/>
      <c r="O218" s="2470"/>
      <c r="P218" s="2474"/>
      <c r="Q218" s="2470"/>
      <c r="R218" s="2471"/>
      <c r="S218" s="1940"/>
      <c r="T218" s="1941"/>
      <c r="U218" s="1940"/>
      <c r="V218" s="1942"/>
      <c r="W218" s="2470">
        <v>198496</v>
      </c>
      <c r="X218" s="2468" t="s">
        <v>8590</v>
      </c>
      <c r="Y218" s="2470"/>
      <c r="Z218" s="2471"/>
      <c r="AA218" s="2470"/>
      <c r="AB218" s="2477"/>
      <c r="AC218" s="2478">
        <f t="shared" si="21"/>
        <v>198496</v>
      </c>
      <c r="AD218" s="3640" t="s">
        <v>465</v>
      </c>
      <c r="AE218" s="5452">
        <v>44245</v>
      </c>
      <c r="AF218" s="5453">
        <v>46436</v>
      </c>
      <c r="AG218" s="3175" t="s">
        <v>909</v>
      </c>
      <c r="AH218" s="5920">
        <v>44903</v>
      </c>
      <c r="AI218" s="5454" t="s">
        <v>10637</v>
      </c>
      <c r="AJ218" s="2485"/>
      <c r="AK218" s="2486"/>
      <c r="AL218" s="2487"/>
      <c r="AM218" s="2486"/>
      <c r="AN218" s="2488"/>
      <c r="AO218" s="2486"/>
      <c r="AP218" s="2488"/>
      <c r="AQ218" s="2486"/>
      <c r="AR218" s="2488"/>
      <c r="AS218" s="2486"/>
      <c r="AT218" s="2488"/>
      <c r="AU218" s="2486"/>
      <c r="AV218" s="2488">
        <v>214041</v>
      </c>
      <c r="AW218" s="3178" t="s">
        <v>10730</v>
      </c>
      <c r="AX218" s="2488"/>
      <c r="AY218" s="2486"/>
      <c r="AZ218" s="2488"/>
      <c r="BA218" s="2490"/>
      <c r="BB218" s="2491">
        <f>AJ218+AL218+AN218+AP218+AR218+AT218+AV218+AX218+AZ218</f>
        <v>214041</v>
      </c>
      <c r="BC218" s="3038" t="s">
        <v>10638</v>
      </c>
      <c r="BD218" s="3039">
        <f t="shared" si="22"/>
        <v>214041</v>
      </c>
      <c r="BE218" s="624">
        <f t="shared" ref="BE218" si="28">BD218</f>
        <v>214041</v>
      </c>
      <c r="BF218" s="6250"/>
      <c r="BG218" s="6251">
        <f>SUM(BE218)</f>
        <v>214041</v>
      </c>
      <c r="BH218" s="6252">
        <v>0</v>
      </c>
      <c r="BI218" s="6252">
        <v>0</v>
      </c>
    </row>
    <row r="219" spans="1:61" ht="68.25" thickBot="1">
      <c r="A219" s="3789" t="s">
        <v>2116</v>
      </c>
      <c r="B219" s="3151" t="s">
        <v>11711</v>
      </c>
      <c r="C219" s="605" t="s">
        <v>11706</v>
      </c>
      <c r="D219" s="1934" t="s">
        <v>788</v>
      </c>
      <c r="E219" s="607" t="s">
        <v>8181</v>
      </c>
      <c r="F219" s="609" t="s">
        <v>11707</v>
      </c>
      <c r="G219" s="607" t="s">
        <v>8184</v>
      </c>
      <c r="H219" s="608" t="s">
        <v>11708</v>
      </c>
      <c r="I219" s="607"/>
      <c r="J219" s="609" t="s">
        <v>11709</v>
      </c>
      <c r="K219" s="1935"/>
      <c r="L219" s="1936"/>
      <c r="M219" s="1937"/>
      <c r="N219" s="1938"/>
      <c r="O219" s="1935"/>
      <c r="P219" s="1939"/>
      <c r="Q219" s="1935"/>
      <c r="R219" s="1936"/>
      <c r="S219" s="1940"/>
      <c r="T219" s="1941"/>
      <c r="U219" s="1940"/>
      <c r="V219" s="1942"/>
      <c r="W219" s="1935">
        <v>26755</v>
      </c>
      <c r="X219" s="608" t="s">
        <v>11710</v>
      </c>
      <c r="Y219" s="1935"/>
      <c r="Z219" s="1936"/>
      <c r="AA219" s="1935"/>
      <c r="AB219" s="1944"/>
      <c r="AC219" s="615">
        <f>K219+M219+O219+Q219+S219+U219+W219+Y219+AA219</f>
        <v>26755</v>
      </c>
      <c r="AD219" s="5362" t="s">
        <v>465</v>
      </c>
      <c r="AE219" s="6291"/>
      <c r="AF219" s="5364"/>
      <c r="AG219" s="619" t="s">
        <v>909</v>
      </c>
      <c r="AH219" s="5674">
        <v>45190</v>
      </c>
      <c r="AI219" s="5539" t="s">
        <v>11731</v>
      </c>
      <c r="AJ219" s="622"/>
      <c r="AK219" s="626"/>
      <c r="AL219" s="624"/>
      <c r="AM219" s="626"/>
      <c r="AN219" s="625"/>
      <c r="AO219" s="626"/>
      <c r="AP219" s="625"/>
      <c r="AQ219" s="626"/>
      <c r="AR219" s="980"/>
      <c r="AS219" s="1945"/>
      <c r="AT219" s="980"/>
      <c r="AU219" s="1945"/>
      <c r="AV219" s="625">
        <v>28741</v>
      </c>
      <c r="AW219" s="1840" t="s">
        <v>11734</v>
      </c>
      <c r="AX219" s="625"/>
      <c r="AY219" s="626"/>
      <c r="AZ219" s="625"/>
      <c r="BA219" s="627"/>
      <c r="BB219" s="628">
        <f>AJ219+AL219+AN219+AP219+AR219+AT219+AV219+AX219+AZ219</f>
        <v>28741</v>
      </c>
      <c r="BC219" s="3035" t="s">
        <v>11712</v>
      </c>
      <c r="BD219" s="3036">
        <f t="shared" ref="BD219" si="29">SUM(BB219)</f>
        <v>28741</v>
      </c>
      <c r="BE219" s="4129">
        <f t="shared" ref="BE219" si="30">BD219</f>
        <v>28741</v>
      </c>
      <c r="BF219" s="6250"/>
      <c r="BG219" s="6251">
        <f>SUM(BE219)</f>
        <v>28741</v>
      </c>
      <c r="BH219" s="6252">
        <v>0</v>
      </c>
      <c r="BI219" s="6252">
        <v>0</v>
      </c>
    </row>
    <row r="221" spans="1:61">
      <c r="BC221" s="4017"/>
    </row>
  </sheetData>
  <sheetProtection sheet="1" objects="1" scenarios="1"/>
  <mergeCells count="21">
    <mergeCell ref="AZ5:BA5"/>
    <mergeCell ref="AR5:AS5"/>
    <mergeCell ref="AT5:AU5"/>
    <mergeCell ref="AV5:AW5"/>
    <mergeCell ref="AX5:AY5"/>
    <mergeCell ref="I4:J5"/>
    <mergeCell ref="AC4:AC6"/>
    <mergeCell ref="BB4:BB6"/>
    <mergeCell ref="K5:L5"/>
    <mergeCell ref="M5:N5"/>
    <mergeCell ref="O5:P5"/>
    <mergeCell ref="Q5:R5"/>
    <mergeCell ref="S5:T5"/>
    <mergeCell ref="AP5:AQ5"/>
    <mergeCell ref="U5:V5"/>
    <mergeCell ref="Y5:Z5"/>
    <mergeCell ref="W5:X5"/>
    <mergeCell ref="AA5:AB5"/>
    <mergeCell ref="AJ5:AK5"/>
    <mergeCell ref="AL5:AM5"/>
    <mergeCell ref="AN5:AO5"/>
  </mergeCells>
  <pageMargins left="0.19685039370078741" right="0.19685039370078741" top="0.27559055118110237" bottom="0.35433070866141736" header="0.15748031496062992" footer="0.15748031496062992"/>
  <pageSetup paperSize="9" scale="80"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H954"/>
  <sheetViews>
    <sheetView zoomScale="85" zoomScaleNormal="85" workbookViewId="0">
      <pane xSplit="8" ySplit="3" topLeftCell="S951" activePane="bottomRight" state="frozen"/>
      <selection activeCell="BF861" sqref="BF861"/>
      <selection pane="topRight" activeCell="BF861" sqref="BF861"/>
      <selection pane="bottomLeft" activeCell="BF861" sqref="BF861"/>
      <selection pane="bottomRight" activeCell="AO957" sqref="AO957"/>
    </sheetView>
  </sheetViews>
  <sheetFormatPr defaultColWidth="16.28515625" defaultRowHeight="12.75"/>
  <cols>
    <col min="1" max="1" width="10.85546875" style="267" customWidth="1"/>
    <col min="2" max="2" width="21" style="295" customWidth="1"/>
    <col min="3" max="3" width="4.5703125" style="285" bestFit="1" customWidth="1"/>
    <col min="4" max="5" width="10.85546875" style="286" customWidth="1"/>
    <col min="6" max="6" width="11.85546875" style="287" bestFit="1" customWidth="1"/>
    <col min="7" max="7" width="12.85546875" style="286" bestFit="1" customWidth="1"/>
    <col min="8" max="8" width="16" style="309" customWidth="1"/>
    <col min="9" max="9" width="21" style="289" customWidth="1"/>
    <col min="10" max="10" width="23.85546875" style="267" customWidth="1"/>
    <col min="11" max="11" width="12.42578125" style="288" bestFit="1" customWidth="1"/>
    <col min="12" max="12" width="21.42578125" style="289" customWidth="1"/>
    <col min="13" max="13" width="26.28515625" style="267" customWidth="1"/>
    <col min="14" max="14" width="18" style="289" customWidth="1"/>
    <col min="15" max="15" width="27.140625" style="309" customWidth="1"/>
    <col min="16" max="16" width="42.42578125" style="289" customWidth="1"/>
    <col min="17" max="17" width="33.85546875" style="267" customWidth="1"/>
    <col min="18" max="18" width="33.7109375" style="267" customWidth="1"/>
    <col min="19" max="19" width="26.85546875" style="320" customWidth="1"/>
    <col min="20" max="20" width="10.42578125" style="283" hidden="1" customWidth="1"/>
    <col min="21" max="21" width="10.42578125" style="284" hidden="1" customWidth="1"/>
    <col min="22" max="22" width="10.42578125" style="281" hidden="1" customWidth="1"/>
    <col min="23" max="23" width="10.28515625" style="283" hidden="1" customWidth="1"/>
    <col min="24" max="24" width="10.28515625" style="284" hidden="1" customWidth="1"/>
    <col min="25" max="25" width="10.28515625" style="281" hidden="1" customWidth="1"/>
    <col min="26" max="26" width="12.28515625" style="283" hidden="1" customWidth="1"/>
    <col min="27" max="27" width="12.28515625" style="284" hidden="1" customWidth="1"/>
    <col min="28" max="28" width="12.28515625" style="281" hidden="1" customWidth="1"/>
    <col min="29" max="29" width="10.28515625" style="283" hidden="1" customWidth="1"/>
    <col min="30" max="30" width="9.28515625" style="284" hidden="1" customWidth="1"/>
    <col min="31" max="31" width="10.28515625" style="281" hidden="1" customWidth="1"/>
    <col min="32" max="32" width="12.28515625" style="283" hidden="1" customWidth="1"/>
    <col min="33" max="33" width="12.28515625" style="284" hidden="1" customWidth="1"/>
    <col min="34" max="34" width="14.28515625" style="282" hidden="1" customWidth="1"/>
    <col min="35" max="35" width="14" style="283" bestFit="1" customWidth="1"/>
    <col min="36" max="37" width="10.28515625" style="284" bestFit="1" customWidth="1"/>
    <col min="38" max="38" width="12.7109375" style="312" customWidth="1"/>
    <col min="39" max="39" width="15" style="305" bestFit="1" customWidth="1"/>
    <col min="40" max="40" width="11.28515625" style="303" bestFit="1" customWidth="1"/>
    <col min="41" max="41" width="15" style="291" bestFit="1" customWidth="1"/>
    <col min="42" max="42" width="14.5703125" style="292" customWidth="1"/>
    <col min="43" max="43" width="12.85546875" style="299" bestFit="1" customWidth="1"/>
    <col min="44" max="44" width="10.5703125" style="293" hidden="1" customWidth="1"/>
    <col min="45" max="45" width="10.5703125" style="294" hidden="1" customWidth="1"/>
    <col min="46" max="46" width="12.42578125" style="294" hidden="1" customWidth="1"/>
    <col min="47" max="47" width="10.5703125" style="294" hidden="1" customWidth="1"/>
    <col min="48" max="48" width="12.42578125" style="294" hidden="1" customWidth="1"/>
    <col min="49" max="49" width="11.28515625" style="2885" bestFit="1" customWidth="1"/>
    <col min="50" max="50" width="35.140625" style="2894" bestFit="1" customWidth="1"/>
    <col min="51" max="51" width="19.5703125" style="267" bestFit="1" customWidth="1"/>
    <col min="52" max="52" width="12.7109375" style="267" customWidth="1"/>
    <col min="53" max="53" width="14.42578125" style="290" bestFit="1" customWidth="1"/>
    <col min="54" max="54" width="11.28515625" style="290" bestFit="1" customWidth="1"/>
    <col min="55" max="55" width="14" style="267" bestFit="1" customWidth="1"/>
    <col min="56" max="56" width="15" style="4117" bestFit="1" customWidth="1"/>
    <col min="57" max="57" width="12.28515625" style="4111" bestFit="1" customWidth="1"/>
    <col min="58" max="58" width="15" style="4522" bestFit="1" customWidth="1"/>
    <col min="59" max="60" width="14" style="4514" bestFit="1" customWidth="1"/>
    <col min="61" max="61" width="12.28515625" style="4524" bestFit="1" customWidth="1"/>
    <col min="62" max="62" width="14" style="267" bestFit="1" customWidth="1"/>
    <col min="63" max="63" width="12.28515625" style="267" bestFit="1" customWidth="1"/>
    <col min="64" max="16384" width="16.28515625" style="267"/>
  </cols>
  <sheetData>
    <row r="1" spans="1:61" ht="26.25" thickBot="1">
      <c r="A1" s="5961"/>
      <c r="B1" s="2412" t="s">
        <v>1741</v>
      </c>
      <c r="C1" s="2413" t="s">
        <v>2259</v>
      </c>
      <c r="D1" s="2414"/>
      <c r="E1" s="2414"/>
      <c r="F1" s="2415"/>
      <c r="G1" s="2414"/>
      <c r="H1" s="2416"/>
      <c r="I1" s="301"/>
      <c r="J1" s="297"/>
      <c r="K1" s="318"/>
      <c r="L1" s="301"/>
      <c r="M1" s="297"/>
      <c r="N1" s="301"/>
      <c r="O1" s="298"/>
      <c r="P1" s="301"/>
      <c r="Q1" s="297"/>
      <c r="R1" s="297"/>
      <c r="S1" s="319"/>
      <c r="T1" s="310"/>
      <c r="U1" s="308"/>
      <c r="V1" s="314"/>
      <c r="W1" s="310"/>
      <c r="X1" s="308"/>
      <c r="Y1" s="314"/>
      <c r="Z1" s="310"/>
      <c r="AA1" s="308"/>
      <c r="AB1" s="314"/>
      <c r="AC1" s="310"/>
      <c r="AD1" s="308"/>
      <c r="AE1" s="314"/>
      <c r="AF1" s="310"/>
      <c r="AG1" s="308"/>
      <c r="AH1" s="313"/>
      <c r="AI1" s="3926">
        <f>SUM(AJ:AJ)</f>
        <v>1616781</v>
      </c>
      <c r="AJ1" s="3925" t="s">
        <v>7232</v>
      </c>
      <c r="AK1" s="3924" t="s">
        <v>7231</v>
      </c>
      <c r="AL1" s="3923">
        <f>SUM(AK:AK)</f>
        <v>586709</v>
      </c>
      <c r="AM1" s="5822">
        <f>SUM(AL:AL)-AL1</f>
        <v>19081472.710000001</v>
      </c>
      <c r="AN1" s="302"/>
      <c r="AO1" s="297"/>
      <c r="AP1" s="2408" t="s">
        <v>4916</v>
      </c>
      <c r="AQ1" s="2409"/>
      <c r="AR1" s="301"/>
      <c r="AS1" s="297"/>
      <c r="AT1" s="297"/>
      <c r="AU1" s="297"/>
      <c r="AV1" s="297"/>
      <c r="AW1" s="300"/>
      <c r="AX1" s="4013" t="s">
        <v>1125</v>
      </c>
      <c r="AY1" s="677">
        <f>SUM(AW:AW)</f>
        <v>18926793.310000006</v>
      </c>
      <c r="BC1" s="4027" t="s">
        <v>7787</v>
      </c>
      <c r="BD1" s="4515">
        <f>AY1-BE1</f>
        <v>18737564.310000006</v>
      </c>
      <c r="BE1" s="4516">
        <f>SUM(AU:AV)</f>
        <v>189229</v>
      </c>
      <c r="BF1" s="4530" t="s">
        <v>7781</v>
      </c>
      <c r="BG1" s="4856">
        <f>AY1-BD1-BE1</f>
        <v>0</v>
      </c>
      <c r="BH1" s="4857"/>
      <c r="BI1" s="4488"/>
    </row>
    <row r="2" spans="1:61" ht="27" thickBot="1">
      <c r="A2" s="5962"/>
      <c r="B2" s="295" t="s">
        <v>1793</v>
      </c>
      <c r="C2" s="285">
        <f>COUNTA(B:B)-COUNTA(B1:B3)</f>
        <v>951</v>
      </c>
      <c r="F2" s="2410" t="s">
        <v>4915</v>
      </c>
      <c r="G2" s="2411"/>
      <c r="I2" s="301"/>
      <c r="J2" s="297"/>
      <c r="K2" s="318"/>
      <c r="L2" s="301"/>
      <c r="M2" s="297"/>
      <c r="N2" s="301"/>
      <c r="O2" s="298"/>
      <c r="P2" s="301"/>
      <c r="Q2" s="297"/>
      <c r="R2" s="297"/>
      <c r="S2" s="319"/>
      <c r="T2" s="6688" t="s">
        <v>2500</v>
      </c>
      <c r="U2" s="6689"/>
      <c r="V2" s="6689"/>
      <c r="W2" s="6689"/>
      <c r="X2" s="6689"/>
      <c r="Y2" s="6689"/>
      <c r="Z2" s="6689"/>
      <c r="AA2" s="6689"/>
      <c r="AB2" s="6689"/>
      <c r="AC2" s="6689"/>
      <c r="AD2" s="6689"/>
      <c r="AE2" s="6689"/>
      <c r="AF2" s="6689"/>
      <c r="AG2" s="6689"/>
      <c r="AH2" s="6689"/>
      <c r="AI2" s="6689"/>
      <c r="AJ2" s="6689"/>
      <c r="AK2" s="6689"/>
      <c r="AL2" s="6690"/>
      <c r="AM2" s="6691" t="s">
        <v>583</v>
      </c>
      <c r="AN2" s="6692"/>
      <c r="AO2" s="6692"/>
      <c r="AP2" s="6692"/>
      <c r="AQ2" s="6692"/>
      <c r="AR2" s="6692"/>
      <c r="AS2" s="6692"/>
      <c r="AT2" s="6692"/>
      <c r="AU2" s="6692"/>
      <c r="AV2" s="6692"/>
      <c r="AW2" s="6693"/>
      <c r="AX2" s="4012" t="s">
        <v>7238</v>
      </c>
      <c r="AY2" s="3947">
        <f>SUM(AZ:AZ)-AY1</f>
        <v>0</v>
      </c>
      <c r="AZ2" s="47"/>
      <c r="BA2" s="676"/>
      <c r="BC2" s="676"/>
      <c r="BD2" s="4486">
        <f>BD1-SUM(BA:BA)</f>
        <v>0</v>
      </c>
      <c r="BE2" s="4486">
        <f>BE1-SUM(BB:BB)</f>
        <v>0</v>
      </c>
      <c r="BF2" s="4520">
        <f>SUM(BF4:BF10473)</f>
        <v>18737564.310000002</v>
      </c>
      <c r="BG2" s="4517">
        <f>SUM(BG4:BG10473)</f>
        <v>1258630</v>
      </c>
      <c r="BH2" s="4517">
        <f>SUM(BH4:BH10473)</f>
        <v>599754</v>
      </c>
      <c r="BI2" s="4525">
        <f>SUM(BI4:BI10473)</f>
        <v>-129089</v>
      </c>
    </row>
    <row r="3" spans="1:61" s="694" customFormat="1" ht="39" thickBot="1">
      <c r="A3" s="5963" t="s">
        <v>11041</v>
      </c>
      <c r="B3" s="686" t="s">
        <v>1591</v>
      </c>
      <c r="C3" s="687" t="s">
        <v>1596</v>
      </c>
      <c r="D3" s="687" t="s">
        <v>1594</v>
      </c>
      <c r="E3" s="3040" t="s">
        <v>6382</v>
      </c>
      <c r="F3" s="688" t="s">
        <v>3946</v>
      </c>
      <c r="G3" s="1827" t="s">
        <v>3945</v>
      </c>
      <c r="H3" s="689" t="s">
        <v>1595</v>
      </c>
      <c r="I3" s="686" t="s">
        <v>1429</v>
      </c>
      <c r="J3" s="687" t="s">
        <v>1430</v>
      </c>
      <c r="K3" s="689" t="s">
        <v>1794</v>
      </c>
      <c r="L3" s="686" t="s">
        <v>1592</v>
      </c>
      <c r="M3" s="687" t="s">
        <v>1593</v>
      </c>
      <c r="N3" s="686" t="s">
        <v>236</v>
      </c>
      <c r="O3" s="689" t="s">
        <v>1623</v>
      </c>
      <c r="P3" s="686" t="s">
        <v>1431</v>
      </c>
      <c r="Q3" s="687" t="s">
        <v>1621</v>
      </c>
      <c r="R3" s="687" t="s">
        <v>1613</v>
      </c>
      <c r="S3" s="690" t="s">
        <v>1611</v>
      </c>
      <c r="T3" s="691" t="s">
        <v>1598</v>
      </c>
      <c r="U3" s="692" t="s">
        <v>1612</v>
      </c>
      <c r="V3" s="693" t="s">
        <v>1619</v>
      </c>
      <c r="W3" s="691" t="s">
        <v>1599</v>
      </c>
      <c r="X3" s="692" t="s">
        <v>1731</v>
      </c>
      <c r="Y3" s="693" t="s">
        <v>1618</v>
      </c>
      <c r="Z3" s="691" t="s">
        <v>1600</v>
      </c>
      <c r="AA3" s="692" t="s">
        <v>1732</v>
      </c>
      <c r="AB3" s="693" t="s">
        <v>1615</v>
      </c>
      <c r="AC3" s="1006" t="s">
        <v>1601</v>
      </c>
      <c r="AD3" s="1007" t="s">
        <v>1602</v>
      </c>
      <c r="AE3" s="1008" t="s">
        <v>1616</v>
      </c>
      <c r="AF3" s="1006" t="s">
        <v>1603</v>
      </c>
      <c r="AG3" s="1007" t="s">
        <v>1604</v>
      </c>
      <c r="AH3" s="1008" t="s">
        <v>1617</v>
      </c>
      <c r="AI3" s="691" t="s">
        <v>1726</v>
      </c>
      <c r="AJ3" s="692" t="s">
        <v>7223</v>
      </c>
      <c r="AK3" s="692" t="s">
        <v>7224</v>
      </c>
      <c r="AL3" s="693" t="s">
        <v>1707</v>
      </c>
      <c r="AM3" s="1009" t="s">
        <v>1706</v>
      </c>
      <c r="AN3" s="1010" t="s">
        <v>495</v>
      </c>
      <c r="AO3" s="1011" t="s">
        <v>1708</v>
      </c>
      <c r="AP3" s="1012" t="s">
        <v>3943</v>
      </c>
      <c r="AQ3" s="3337" t="s">
        <v>3944</v>
      </c>
      <c r="AR3" s="1013" t="s">
        <v>1605</v>
      </c>
      <c r="AS3" s="1014" t="s">
        <v>1606</v>
      </c>
      <c r="AT3" s="1014" t="s">
        <v>1607</v>
      </c>
      <c r="AU3" s="1014" t="s">
        <v>1608</v>
      </c>
      <c r="AV3" s="1014" t="s">
        <v>1609</v>
      </c>
      <c r="AW3" s="2865" t="s">
        <v>1705</v>
      </c>
      <c r="AX3" s="2886" t="s">
        <v>670</v>
      </c>
      <c r="AZ3" s="3338" t="s">
        <v>2019</v>
      </c>
      <c r="BA3" s="3339" t="s">
        <v>2020</v>
      </c>
      <c r="BB3" s="4487" t="s">
        <v>2021</v>
      </c>
      <c r="BC3" s="4116" t="s">
        <v>7782</v>
      </c>
      <c r="BD3" s="4116" t="s">
        <v>8459</v>
      </c>
      <c r="BE3" s="4110" t="s">
        <v>7783</v>
      </c>
      <c r="BF3" s="4521" t="s">
        <v>7780</v>
      </c>
      <c r="BG3" s="4513" t="s">
        <v>7785</v>
      </c>
      <c r="BH3" s="4513" t="s">
        <v>7784</v>
      </c>
      <c r="BI3" s="4526" t="s">
        <v>7786</v>
      </c>
    </row>
    <row r="4" spans="1:61" ht="38.25">
      <c r="A4" s="5968" t="s">
        <v>11138</v>
      </c>
      <c r="B4" s="546">
        <v>470</v>
      </c>
      <c r="C4" s="547" t="s">
        <v>1439</v>
      </c>
      <c r="D4" s="548">
        <v>41572</v>
      </c>
      <c r="E4" s="548" t="s">
        <v>6389</v>
      </c>
      <c r="F4" s="3116">
        <v>41518</v>
      </c>
      <c r="G4" s="3117">
        <v>103.8</v>
      </c>
      <c r="H4" s="550" t="s">
        <v>1560</v>
      </c>
      <c r="I4" s="551" t="s">
        <v>1436</v>
      </c>
      <c r="J4" s="552" t="s">
        <v>1437</v>
      </c>
      <c r="K4" s="553">
        <v>42948</v>
      </c>
      <c r="L4" s="551" t="s">
        <v>1796</v>
      </c>
      <c r="M4" s="552" t="s">
        <v>1799</v>
      </c>
      <c r="N4" s="551" t="s">
        <v>1561</v>
      </c>
      <c r="O4" s="550" t="s">
        <v>1692</v>
      </c>
      <c r="P4" s="551" t="s">
        <v>1562</v>
      </c>
      <c r="Q4" s="552" t="s">
        <v>1620</v>
      </c>
      <c r="R4" s="552" t="s">
        <v>1435</v>
      </c>
      <c r="S4" s="555"/>
      <c r="T4" s="556">
        <v>6822</v>
      </c>
      <c r="U4" s="557">
        <v>0</v>
      </c>
      <c r="V4" s="558">
        <f t="shared" ref="V4:V67" si="0">T4-U4</f>
        <v>6822</v>
      </c>
      <c r="W4" s="556">
        <v>8527</v>
      </c>
      <c r="X4" s="557">
        <v>0</v>
      </c>
      <c r="Y4" s="558">
        <f t="shared" ref="Y4:Y17" si="1">W4-X4</f>
        <v>8527</v>
      </c>
      <c r="Z4" s="556">
        <v>1705</v>
      </c>
      <c r="AA4" s="557">
        <v>0</v>
      </c>
      <c r="AB4" s="558">
        <f t="shared" ref="AB4:AB67" si="2">Z4-AA4</f>
        <v>1705</v>
      </c>
      <c r="AC4" s="556">
        <v>0</v>
      </c>
      <c r="AD4" s="557">
        <v>0</v>
      </c>
      <c r="AE4" s="558">
        <f t="shared" ref="AE4:AE16" si="3">AC4-AD4</f>
        <v>0</v>
      </c>
      <c r="AF4" s="556">
        <v>0</v>
      </c>
      <c r="AG4" s="557">
        <v>0</v>
      </c>
      <c r="AH4" s="558">
        <f t="shared" ref="AH4:AH16" si="4">AF4-AG4</f>
        <v>0</v>
      </c>
      <c r="AI4" s="556">
        <v>17054</v>
      </c>
      <c r="AJ4" s="557">
        <v>0</v>
      </c>
      <c r="AK4" s="3900">
        <v>0</v>
      </c>
      <c r="AL4" s="561">
        <f>AI4-AJ4</f>
        <v>17054</v>
      </c>
      <c r="AM4" s="3340" t="s">
        <v>1748</v>
      </c>
      <c r="AN4" s="682">
        <v>41646</v>
      </c>
      <c r="AO4" s="683">
        <v>1140457</v>
      </c>
      <c r="AP4" s="684">
        <v>41518</v>
      </c>
      <c r="AQ4" s="685">
        <v>103.8</v>
      </c>
      <c r="AR4" s="562">
        <v>6822</v>
      </c>
      <c r="AS4" s="563">
        <v>8527</v>
      </c>
      <c r="AT4" s="563">
        <v>1705</v>
      </c>
      <c r="AU4" s="563">
        <v>0</v>
      </c>
      <c r="AV4" s="563">
        <v>0</v>
      </c>
      <c r="AW4" s="2866">
        <f t="shared" ref="AW4:AW67" si="5">SUM(AR4:AV4)</f>
        <v>17054</v>
      </c>
      <c r="AX4" s="2887" t="s">
        <v>1729</v>
      </c>
      <c r="BC4" s="4117">
        <f t="shared" ref="BC4:BC35" si="6">ROUND($AJ4*$AQ4/$G4,0)</f>
        <v>0</v>
      </c>
      <c r="BD4" s="4117">
        <f t="shared" ref="BD4:BD67" si="7">ROUND($AK4*$AQ4/$G4,0)</f>
        <v>0</v>
      </c>
    </row>
    <row r="5" spans="1:61" ht="39" thickBot="1">
      <c r="A5" s="5969" t="s">
        <v>11138</v>
      </c>
      <c r="B5" s="4410">
        <v>429</v>
      </c>
      <c r="C5" s="4411" t="s">
        <v>1432</v>
      </c>
      <c r="D5" s="4412">
        <v>41442</v>
      </c>
      <c r="E5" s="4412" t="s">
        <v>6388</v>
      </c>
      <c r="F5" s="4413">
        <v>41334</v>
      </c>
      <c r="G5" s="4449">
        <v>102</v>
      </c>
      <c r="H5" s="4415" t="s">
        <v>1548</v>
      </c>
      <c r="I5" s="4416" t="s">
        <v>1436</v>
      </c>
      <c r="J5" s="4417" t="s">
        <v>1437</v>
      </c>
      <c r="K5" s="4418">
        <v>42900</v>
      </c>
      <c r="L5" s="4416" t="s">
        <v>1797</v>
      </c>
      <c r="M5" s="4417" t="s">
        <v>1799</v>
      </c>
      <c r="N5" s="4416" t="s">
        <v>1549</v>
      </c>
      <c r="O5" s="4415" t="s">
        <v>1683</v>
      </c>
      <c r="P5" s="4419"/>
      <c r="Q5" s="4417" t="s">
        <v>1682</v>
      </c>
      <c r="R5" s="4417" t="s">
        <v>1435</v>
      </c>
      <c r="S5" s="4420"/>
      <c r="T5" s="4421">
        <v>17810</v>
      </c>
      <c r="U5" s="4422">
        <v>0</v>
      </c>
      <c r="V5" s="4423">
        <f t="shared" si="0"/>
        <v>17810</v>
      </c>
      <c r="W5" s="4421">
        <v>22262</v>
      </c>
      <c r="X5" s="4422">
        <v>0</v>
      </c>
      <c r="Y5" s="4423">
        <f t="shared" si="1"/>
        <v>22262</v>
      </c>
      <c r="Z5" s="4421">
        <v>4452</v>
      </c>
      <c r="AA5" s="4422">
        <v>0</v>
      </c>
      <c r="AB5" s="4423">
        <f t="shared" si="2"/>
        <v>4452</v>
      </c>
      <c r="AC5" s="4421">
        <v>26880</v>
      </c>
      <c r="AD5" s="4422">
        <v>0</v>
      </c>
      <c r="AE5" s="4423">
        <f t="shared" si="3"/>
        <v>26880</v>
      </c>
      <c r="AF5" s="4421">
        <v>40320</v>
      </c>
      <c r="AG5" s="4422">
        <v>0</v>
      </c>
      <c r="AH5" s="4423">
        <f t="shared" si="4"/>
        <v>40320</v>
      </c>
      <c r="AI5" s="4421">
        <v>111724</v>
      </c>
      <c r="AJ5" s="4422">
        <v>0</v>
      </c>
      <c r="AK5" s="4425">
        <v>0</v>
      </c>
      <c r="AL5" s="4426">
        <f>AI5-AJ5</f>
        <v>111724</v>
      </c>
      <c r="AM5" s="4450" t="s">
        <v>1748</v>
      </c>
      <c r="AN5" s="4428">
        <v>41662</v>
      </c>
      <c r="AO5" s="4429">
        <v>1141442</v>
      </c>
      <c r="AP5" s="4430">
        <v>41518</v>
      </c>
      <c r="AQ5" s="4431">
        <v>103.8</v>
      </c>
      <c r="AR5" s="4432">
        <f t="shared" ref="AR5:AR24" si="8">ROUND($AQ5/$G5*V5,0)</f>
        <v>18124</v>
      </c>
      <c r="AS5" s="4433">
        <f t="shared" ref="AS5:AS24" si="9">ROUND($AQ5/$G5*Y5,0)</f>
        <v>22655</v>
      </c>
      <c r="AT5" s="4433">
        <f t="shared" ref="AT5:AT25" si="10">ROUND($AQ5/$G5*AB5,0)</f>
        <v>4531</v>
      </c>
      <c r="AU5" s="4433">
        <f t="shared" ref="AU5:AU15" si="11">ROUND($AQ5/$G5*AE5,0)</f>
        <v>27354</v>
      </c>
      <c r="AV5" s="4433">
        <f t="shared" ref="AV5:AV15" si="12">ROUND($AQ5/$G5*AH5,0)</f>
        <v>41032</v>
      </c>
      <c r="AW5" s="4434">
        <f t="shared" si="5"/>
        <v>113696</v>
      </c>
      <c r="AX5" s="4435" t="s">
        <v>1729</v>
      </c>
      <c r="AY5" s="743" t="s">
        <v>1876</v>
      </c>
      <c r="AZ5" s="744">
        <f>SUM(AW4:AW5)</f>
        <v>130750</v>
      </c>
      <c r="BA5" s="745">
        <f>AZ5-BB5</f>
        <v>62364</v>
      </c>
      <c r="BB5" s="746">
        <f>SUM(AU4:AV5)</f>
        <v>68386</v>
      </c>
      <c r="BC5" s="4117">
        <f t="shared" si="6"/>
        <v>0</v>
      </c>
      <c r="BD5" s="4117">
        <f t="shared" si="7"/>
        <v>0</v>
      </c>
      <c r="BE5" s="4409"/>
    </row>
    <row r="6" spans="1:61" ht="76.5">
      <c r="A6" s="5967" t="s">
        <v>11138</v>
      </c>
      <c r="B6" s="827">
        <v>265</v>
      </c>
      <c r="C6" s="828" t="s">
        <v>1432</v>
      </c>
      <c r="D6" s="829">
        <v>41143</v>
      </c>
      <c r="E6" s="829" t="s">
        <v>6390</v>
      </c>
      <c r="F6" s="1865">
        <v>40603</v>
      </c>
      <c r="G6" s="3123">
        <v>98.6</v>
      </c>
      <c r="H6" s="832" t="s">
        <v>1518</v>
      </c>
      <c r="I6" s="833" t="s">
        <v>1433</v>
      </c>
      <c r="J6" s="834" t="s">
        <v>1434</v>
      </c>
      <c r="K6" s="835">
        <v>42602</v>
      </c>
      <c r="L6" s="833" t="s">
        <v>1517</v>
      </c>
      <c r="M6" s="834" t="s">
        <v>1839</v>
      </c>
      <c r="N6" s="833" t="s">
        <v>1519</v>
      </c>
      <c r="O6" s="832" t="s">
        <v>1659</v>
      </c>
      <c r="P6" s="836" t="s">
        <v>1520</v>
      </c>
      <c r="Q6" s="834" t="s">
        <v>1658</v>
      </c>
      <c r="R6" s="834" t="s">
        <v>1521</v>
      </c>
      <c r="S6" s="837"/>
      <c r="T6" s="838">
        <v>15983</v>
      </c>
      <c r="U6" s="839">
        <v>0</v>
      </c>
      <c r="V6" s="840">
        <f t="shared" si="0"/>
        <v>15983</v>
      </c>
      <c r="W6" s="838">
        <v>2820</v>
      </c>
      <c r="X6" s="839">
        <v>0</v>
      </c>
      <c r="Y6" s="840">
        <f t="shared" si="1"/>
        <v>2820</v>
      </c>
      <c r="Z6" s="838">
        <v>6510</v>
      </c>
      <c r="AA6" s="839">
        <v>0</v>
      </c>
      <c r="AB6" s="840">
        <f t="shared" si="2"/>
        <v>6510</v>
      </c>
      <c r="AC6" s="838">
        <v>3379</v>
      </c>
      <c r="AD6" s="839">
        <v>0</v>
      </c>
      <c r="AE6" s="840">
        <f t="shared" si="3"/>
        <v>3379</v>
      </c>
      <c r="AF6" s="838">
        <v>5069</v>
      </c>
      <c r="AG6" s="839">
        <v>0</v>
      </c>
      <c r="AH6" s="840">
        <f t="shared" si="4"/>
        <v>5069</v>
      </c>
      <c r="AI6" s="841">
        <v>33761</v>
      </c>
      <c r="AJ6" s="839">
        <v>0</v>
      </c>
      <c r="AK6" s="3906">
        <v>0</v>
      </c>
      <c r="AL6" s="869">
        <f>AI6-AJ6</f>
        <v>33761</v>
      </c>
      <c r="AM6" s="3359" t="s">
        <v>1859</v>
      </c>
      <c r="AN6" s="3360">
        <v>41689</v>
      </c>
      <c r="AO6" s="3361">
        <v>1144508</v>
      </c>
      <c r="AP6" s="3362">
        <v>41609</v>
      </c>
      <c r="AQ6" s="3363">
        <v>104.6</v>
      </c>
      <c r="AR6" s="846">
        <f t="shared" si="8"/>
        <v>16956</v>
      </c>
      <c r="AS6" s="847">
        <f t="shared" si="9"/>
        <v>2992</v>
      </c>
      <c r="AT6" s="847">
        <f t="shared" si="10"/>
        <v>6906</v>
      </c>
      <c r="AU6" s="847">
        <f t="shared" si="11"/>
        <v>3585</v>
      </c>
      <c r="AV6" s="847">
        <f t="shared" si="12"/>
        <v>5377</v>
      </c>
      <c r="AW6" s="2872">
        <f t="shared" si="5"/>
        <v>35816</v>
      </c>
      <c r="AX6" s="2891" t="s">
        <v>1729</v>
      </c>
      <c r="AY6" s="4436"/>
      <c r="AZ6" s="4437"/>
      <c r="BC6" s="4117">
        <f t="shared" si="6"/>
        <v>0</v>
      </c>
      <c r="BD6" s="4117">
        <f t="shared" si="7"/>
        <v>0</v>
      </c>
      <c r="BE6" s="4409"/>
    </row>
    <row r="7" spans="1:61" ht="39" thickBot="1">
      <c r="A7" s="5970" t="s">
        <v>11138</v>
      </c>
      <c r="B7" s="3748">
        <v>417</v>
      </c>
      <c r="C7" s="4326" t="s">
        <v>1432</v>
      </c>
      <c r="D7" s="4327">
        <v>41428</v>
      </c>
      <c r="E7" s="4327" t="s">
        <v>6388</v>
      </c>
      <c r="F7" s="4438">
        <v>41334</v>
      </c>
      <c r="G7" s="4439">
        <v>102</v>
      </c>
      <c r="H7" s="4440" t="s">
        <v>1479</v>
      </c>
      <c r="I7" s="3753" t="s">
        <v>1436</v>
      </c>
      <c r="J7" s="4330" t="s">
        <v>1437</v>
      </c>
      <c r="K7" s="4441">
        <v>42154</v>
      </c>
      <c r="L7" s="3753" t="s">
        <v>1809</v>
      </c>
      <c r="M7" s="4330" t="s">
        <v>1799</v>
      </c>
      <c r="N7" s="3753" t="s">
        <v>1480</v>
      </c>
      <c r="O7" s="4440" t="s">
        <v>1681</v>
      </c>
      <c r="P7" s="3756"/>
      <c r="Q7" s="4330" t="s">
        <v>1442</v>
      </c>
      <c r="R7" s="4330" t="s">
        <v>1435</v>
      </c>
      <c r="S7" s="4442"/>
      <c r="T7" s="3758">
        <v>4452</v>
      </c>
      <c r="U7" s="4334">
        <v>0</v>
      </c>
      <c r="V7" s="4443">
        <f t="shared" si="0"/>
        <v>4452</v>
      </c>
      <c r="W7" s="3758">
        <v>5566</v>
      </c>
      <c r="X7" s="4334">
        <v>0</v>
      </c>
      <c r="Y7" s="4443">
        <f t="shared" si="1"/>
        <v>5566</v>
      </c>
      <c r="Z7" s="3758">
        <v>1113</v>
      </c>
      <c r="AA7" s="4334">
        <v>0</v>
      </c>
      <c r="AB7" s="4443">
        <f t="shared" si="2"/>
        <v>1113</v>
      </c>
      <c r="AC7" s="3758">
        <v>6720</v>
      </c>
      <c r="AD7" s="4334">
        <v>0</v>
      </c>
      <c r="AE7" s="4443">
        <f t="shared" si="3"/>
        <v>6720</v>
      </c>
      <c r="AF7" s="3758">
        <v>10080</v>
      </c>
      <c r="AG7" s="4334">
        <v>0</v>
      </c>
      <c r="AH7" s="4443">
        <f t="shared" si="4"/>
        <v>10080</v>
      </c>
      <c r="AI7" s="3761">
        <v>27931</v>
      </c>
      <c r="AJ7" s="4334">
        <v>0</v>
      </c>
      <c r="AK7" s="4444">
        <v>0</v>
      </c>
      <c r="AL7" s="4445">
        <f>AI7-AJ7</f>
        <v>27931</v>
      </c>
      <c r="AM7" s="4446" t="s">
        <v>1859</v>
      </c>
      <c r="AN7" s="4338">
        <v>41691</v>
      </c>
      <c r="AO7" s="4339">
        <v>1144695</v>
      </c>
      <c r="AP7" s="4340">
        <v>41609</v>
      </c>
      <c r="AQ7" s="4447">
        <v>104.6</v>
      </c>
      <c r="AR7" s="3768">
        <f t="shared" si="8"/>
        <v>4565</v>
      </c>
      <c r="AS7" s="4342">
        <f t="shared" si="9"/>
        <v>5708</v>
      </c>
      <c r="AT7" s="4342">
        <f t="shared" si="10"/>
        <v>1141</v>
      </c>
      <c r="AU7" s="4342">
        <f t="shared" si="11"/>
        <v>6891</v>
      </c>
      <c r="AV7" s="4342">
        <f t="shared" si="12"/>
        <v>10337</v>
      </c>
      <c r="AW7" s="4448">
        <f t="shared" si="5"/>
        <v>28642</v>
      </c>
      <c r="AX7" s="3771" t="s">
        <v>1728</v>
      </c>
      <c r="AY7" s="764" t="s">
        <v>1877</v>
      </c>
      <c r="AZ7" s="765">
        <f>SUM(AW6:AW7)</f>
        <v>64458</v>
      </c>
      <c r="BA7" s="766">
        <f>AZ7-BB7</f>
        <v>38268</v>
      </c>
      <c r="BB7" s="767">
        <f>SUM(AU6:AV7)</f>
        <v>26190</v>
      </c>
      <c r="BC7" s="4117">
        <f t="shared" si="6"/>
        <v>0</v>
      </c>
      <c r="BD7" s="4117">
        <f t="shared" si="7"/>
        <v>0</v>
      </c>
      <c r="BE7" s="4409"/>
    </row>
    <row r="8" spans="1:61" ht="140.25">
      <c r="A8" s="5968" t="s">
        <v>11138</v>
      </c>
      <c r="B8" s="546" t="s">
        <v>1750</v>
      </c>
      <c r="C8" s="547" t="s">
        <v>1432</v>
      </c>
      <c r="D8" s="548">
        <v>40822</v>
      </c>
      <c r="E8" s="548" t="s">
        <v>6391</v>
      </c>
      <c r="F8" s="3116">
        <v>41609</v>
      </c>
      <c r="G8" s="3117">
        <v>104.6</v>
      </c>
      <c r="H8" s="550" t="s">
        <v>1464</v>
      </c>
      <c r="I8" s="551" t="s">
        <v>1433</v>
      </c>
      <c r="J8" s="552" t="s">
        <v>1434</v>
      </c>
      <c r="K8" s="553">
        <v>42283</v>
      </c>
      <c r="L8" s="551" t="s">
        <v>1463</v>
      </c>
      <c r="M8" s="552" t="s">
        <v>1849</v>
      </c>
      <c r="N8" s="551" t="s">
        <v>1465</v>
      </c>
      <c r="O8" s="550" t="s">
        <v>1637</v>
      </c>
      <c r="P8" s="554" t="s">
        <v>1752</v>
      </c>
      <c r="Q8" s="552" t="s">
        <v>1636</v>
      </c>
      <c r="R8" s="552" t="s">
        <v>1614</v>
      </c>
      <c r="S8" s="555"/>
      <c r="T8" s="556">
        <v>0</v>
      </c>
      <c r="U8" s="557">
        <v>0</v>
      </c>
      <c r="V8" s="558">
        <f t="shared" si="0"/>
        <v>0</v>
      </c>
      <c r="W8" s="556">
        <v>98</v>
      </c>
      <c r="X8" s="557">
        <v>0</v>
      </c>
      <c r="Y8" s="558">
        <f t="shared" si="1"/>
        <v>98</v>
      </c>
      <c r="Z8" s="556">
        <v>50</v>
      </c>
      <c r="AA8" s="557">
        <v>0</v>
      </c>
      <c r="AB8" s="558">
        <f t="shared" si="2"/>
        <v>50</v>
      </c>
      <c r="AC8" s="556">
        <v>132</v>
      </c>
      <c r="AD8" s="557">
        <v>0</v>
      </c>
      <c r="AE8" s="558">
        <f t="shared" si="3"/>
        <v>132</v>
      </c>
      <c r="AF8" s="556">
        <v>1332</v>
      </c>
      <c r="AG8" s="557">
        <v>0</v>
      </c>
      <c r="AH8" s="558">
        <f t="shared" si="4"/>
        <v>1332</v>
      </c>
      <c r="AI8" s="559">
        <f>T8+W8+Z8+AC8+AF8</f>
        <v>1612</v>
      </c>
      <c r="AJ8" s="560">
        <f>U8+X8+AA8+AD8+AG8</f>
        <v>0</v>
      </c>
      <c r="AK8" s="3904">
        <v>0</v>
      </c>
      <c r="AL8" s="561">
        <f>AI8-AJ8</f>
        <v>1612</v>
      </c>
      <c r="AM8" s="3340" t="s">
        <v>1751</v>
      </c>
      <c r="AN8" s="3355" t="s">
        <v>1925</v>
      </c>
      <c r="AO8" s="683" t="s">
        <v>1926</v>
      </c>
      <c r="AP8" s="684">
        <v>41609</v>
      </c>
      <c r="AQ8" s="685">
        <v>104.6</v>
      </c>
      <c r="AR8" s="562">
        <f t="shared" si="8"/>
        <v>0</v>
      </c>
      <c r="AS8" s="563">
        <f t="shared" si="9"/>
        <v>98</v>
      </c>
      <c r="AT8" s="563">
        <f t="shared" si="10"/>
        <v>50</v>
      </c>
      <c r="AU8" s="563">
        <f t="shared" si="11"/>
        <v>132</v>
      </c>
      <c r="AV8" s="563">
        <f t="shared" si="12"/>
        <v>1332</v>
      </c>
      <c r="AW8" s="2866">
        <f t="shared" si="5"/>
        <v>1612</v>
      </c>
      <c r="AX8" s="2887" t="s">
        <v>1870</v>
      </c>
      <c r="AY8" s="306" t="s">
        <v>1871</v>
      </c>
      <c r="BC8" s="4117">
        <f t="shared" si="6"/>
        <v>0</v>
      </c>
      <c r="BD8" s="4117">
        <f t="shared" si="7"/>
        <v>0</v>
      </c>
    </row>
    <row r="9" spans="1:61" ht="64.5" thickBot="1">
      <c r="A9" s="5969" t="s">
        <v>11138</v>
      </c>
      <c r="B9" s="4410" t="s">
        <v>1709</v>
      </c>
      <c r="C9" s="4411">
        <v>0</v>
      </c>
      <c r="D9" s="4412">
        <v>41715</v>
      </c>
      <c r="E9" s="4412" t="s">
        <v>6383</v>
      </c>
      <c r="F9" s="4413">
        <v>41609</v>
      </c>
      <c r="G9" s="4414">
        <v>104.6</v>
      </c>
      <c r="H9" s="4415" t="s">
        <v>1881</v>
      </c>
      <c r="I9" s="4416" t="s">
        <v>1433</v>
      </c>
      <c r="J9" s="4417" t="s">
        <v>1434</v>
      </c>
      <c r="K9" s="4418">
        <v>42808</v>
      </c>
      <c r="L9" s="4416" t="s">
        <v>1882</v>
      </c>
      <c r="M9" s="4417" t="s">
        <v>1883</v>
      </c>
      <c r="N9" s="4416" t="s">
        <v>1884</v>
      </c>
      <c r="O9" s="4415" t="s">
        <v>1885</v>
      </c>
      <c r="P9" s="4419"/>
      <c r="Q9" s="4417" t="s">
        <v>1886</v>
      </c>
      <c r="R9" s="4417" t="s">
        <v>1887</v>
      </c>
      <c r="S9" s="4420"/>
      <c r="T9" s="4421">
        <v>628</v>
      </c>
      <c r="U9" s="4422">
        <v>0</v>
      </c>
      <c r="V9" s="4423">
        <f t="shared" si="0"/>
        <v>628</v>
      </c>
      <c r="W9" s="4421">
        <v>0</v>
      </c>
      <c r="X9" s="4422">
        <v>0</v>
      </c>
      <c r="Y9" s="4423">
        <f t="shared" si="1"/>
        <v>0</v>
      </c>
      <c r="Z9" s="4421">
        <v>0</v>
      </c>
      <c r="AA9" s="4422">
        <v>0</v>
      </c>
      <c r="AB9" s="4423">
        <f t="shared" si="2"/>
        <v>0</v>
      </c>
      <c r="AC9" s="4421">
        <v>0</v>
      </c>
      <c r="AD9" s="4422">
        <v>0</v>
      </c>
      <c r="AE9" s="4423">
        <f t="shared" si="3"/>
        <v>0</v>
      </c>
      <c r="AF9" s="4421">
        <v>0</v>
      </c>
      <c r="AG9" s="4422">
        <v>0</v>
      </c>
      <c r="AH9" s="4423">
        <f t="shared" si="4"/>
        <v>0</v>
      </c>
      <c r="AI9" s="4424">
        <f>T9+W9+Z9+AC9+AF9</f>
        <v>628</v>
      </c>
      <c r="AJ9" s="4422">
        <f>U9+X9+AA9+AD9+AG9</f>
        <v>0</v>
      </c>
      <c r="AK9" s="4425">
        <v>0</v>
      </c>
      <c r="AL9" s="4426">
        <f>V9+Y9+AB9+AE9+AH9</f>
        <v>628</v>
      </c>
      <c r="AM9" s="4427" t="s">
        <v>1916</v>
      </c>
      <c r="AN9" s="4428">
        <v>41729</v>
      </c>
      <c r="AO9" s="4429">
        <v>1146336</v>
      </c>
      <c r="AP9" s="4430">
        <v>41609</v>
      </c>
      <c r="AQ9" s="4431">
        <v>104.6</v>
      </c>
      <c r="AR9" s="4432">
        <f t="shared" si="8"/>
        <v>628</v>
      </c>
      <c r="AS9" s="4433">
        <f t="shared" si="9"/>
        <v>0</v>
      </c>
      <c r="AT9" s="4433">
        <f t="shared" si="10"/>
        <v>0</v>
      </c>
      <c r="AU9" s="4433">
        <f t="shared" si="11"/>
        <v>0</v>
      </c>
      <c r="AV9" s="4433">
        <f t="shared" si="12"/>
        <v>0</v>
      </c>
      <c r="AW9" s="4434">
        <f t="shared" si="5"/>
        <v>628</v>
      </c>
      <c r="AX9" s="4435"/>
      <c r="AY9" s="743" t="s">
        <v>1996</v>
      </c>
      <c r="AZ9" s="744">
        <f>SUM(AW8:AW9)</f>
        <v>2240</v>
      </c>
      <c r="BA9" s="745">
        <f>AZ9-BB9</f>
        <v>776</v>
      </c>
      <c r="BB9" s="746">
        <f>SUM(AU8:AV9)</f>
        <v>1464</v>
      </c>
      <c r="BC9" s="4117">
        <f t="shared" si="6"/>
        <v>0</v>
      </c>
      <c r="BD9" s="4117">
        <f t="shared" si="7"/>
        <v>0</v>
      </c>
      <c r="BE9" s="4409"/>
    </row>
    <row r="10" spans="1:61" ht="25.5">
      <c r="A10" s="5967" t="s">
        <v>11138</v>
      </c>
      <c r="B10" s="827">
        <v>583</v>
      </c>
      <c r="C10" s="828" t="s">
        <v>1432</v>
      </c>
      <c r="D10" s="829">
        <v>41624</v>
      </c>
      <c r="E10" s="829" t="s">
        <v>6389</v>
      </c>
      <c r="F10" s="1865">
        <v>41518</v>
      </c>
      <c r="G10" s="3123">
        <v>103.8</v>
      </c>
      <c r="H10" s="832" t="s">
        <v>1584</v>
      </c>
      <c r="I10" s="833" t="s">
        <v>1433</v>
      </c>
      <c r="J10" s="834" t="s">
        <v>1434</v>
      </c>
      <c r="K10" s="835">
        <v>43081</v>
      </c>
      <c r="L10" s="833" t="s">
        <v>1583</v>
      </c>
      <c r="M10" s="834" t="s">
        <v>1823</v>
      </c>
      <c r="N10" s="833" t="s">
        <v>1585</v>
      </c>
      <c r="O10" s="832" t="s">
        <v>1704</v>
      </c>
      <c r="P10" s="836"/>
      <c r="Q10" s="834" t="s">
        <v>1702</v>
      </c>
      <c r="R10" s="834" t="s">
        <v>1435</v>
      </c>
      <c r="S10" s="837"/>
      <c r="T10" s="838">
        <v>5179</v>
      </c>
      <c r="U10" s="839">
        <v>0</v>
      </c>
      <c r="V10" s="840">
        <f t="shared" si="0"/>
        <v>5179</v>
      </c>
      <c r="W10" s="838">
        <v>6474</v>
      </c>
      <c r="X10" s="839">
        <v>0</v>
      </c>
      <c r="Y10" s="840">
        <f t="shared" si="1"/>
        <v>6474</v>
      </c>
      <c r="Z10" s="838">
        <v>1295</v>
      </c>
      <c r="AA10" s="839">
        <v>0</v>
      </c>
      <c r="AB10" s="840">
        <f t="shared" si="2"/>
        <v>1295</v>
      </c>
      <c r="AC10" s="838">
        <v>3032</v>
      </c>
      <c r="AD10" s="839">
        <v>0</v>
      </c>
      <c r="AE10" s="840">
        <f t="shared" si="3"/>
        <v>3032</v>
      </c>
      <c r="AF10" s="838">
        <v>4548</v>
      </c>
      <c r="AG10" s="839">
        <v>0</v>
      </c>
      <c r="AH10" s="840">
        <f t="shared" si="4"/>
        <v>4548</v>
      </c>
      <c r="AI10" s="841">
        <v>20528</v>
      </c>
      <c r="AJ10" s="839">
        <v>0</v>
      </c>
      <c r="AK10" s="3906">
        <v>0</v>
      </c>
      <c r="AL10" s="869">
        <f>AI10-AJ10</f>
        <v>20528</v>
      </c>
      <c r="AM10" s="3359" t="s">
        <v>2107</v>
      </c>
      <c r="AN10" s="3360">
        <v>41795</v>
      </c>
      <c r="AO10" s="3361">
        <v>1148962</v>
      </c>
      <c r="AP10" s="3362">
        <v>41699</v>
      </c>
      <c r="AQ10" s="3363">
        <v>105.2</v>
      </c>
      <c r="AR10" s="846">
        <f t="shared" si="8"/>
        <v>5249</v>
      </c>
      <c r="AS10" s="847">
        <f t="shared" si="9"/>
        <v>6561</v>
      </c>
      <c r="AT10" s="847">
        <f t="shared" si="10"/>
        <v>1312</v>
      </c>
      <c r="AU10" s="847">
        <f t="shared" si="11"/>
        <v>3073</v>
      </c>
      <c r="AV10" s="847">
        <f t="shared" si="12"/>
        <v>4609</v>
      </c>
      <c r="AW10" s="2872">
        <f t="shared" si="5"/>
        <v>20804</v>
      </c>
      <c r="AX10" s="2891" t="s">
        <v>1728</v>
      </c>
      <c r="BB10" s="267"/>
      <c r="BC10" s="4117">
        <f t="shared" si="6"/>
        <v>0</v>
      </c>
      <c r="BD10" s="4117">
        <f t="shared" si="7"/>
        <v>0</v>
      </c>
    </row>
    <row r="11" spans="1:61" ht="25.5">
      <c r="A11" s="5964" t="s">
        <v>11138</v>
      </c>
      <c r="B11" s="338">
        <v>538</v>
      </c>
      <c r="C11" s="321" t="s">
        <v>1432</v>
      </c>
      <c r="D11" s="323">
        <v>41572</v>
      </c>
      <c r="E11" s="3012" t="s">
        <v>6389</v>
      </c>
      <c r="F11" s="1203">
        <v>41518</v>
      </c>
      <c r="G11" s="1204">
        <v>103.8</v>
      </c>
      <c r="H11" s="332" t="s">
        <v>1568</v>
      </c>
      <c r="I11" s="339" t="s">
        <v>1436</v>
      </c>
      <c r="J11" s="322" t="s">
        <v>1437</v>
      </c>
      <c r="K11" s="340">
        <v>43032</v>
      </c>
      <c r="L11" s="339" t="s">
        <v>1183</v>
      </c>
      <c r="M11" s="322" t="s">
        <v>1825</v>
      </c>
      <c r="N11" s="339" t="s">
        <v>1569</v>
      </c>
      <c r="O11" s="332" t="s">
        <v>1696</v>
      </c>
      <c r="P11" s="345"/>
      <c r="Q11" s="322" t="s">
        <v>1695</v>
      </c>
      <c r="R11" s="322" t="s">
        <v>1435</v>
      </c>
      <c r="S11" s="346"/>
      <c r="T11" s="347">
        <v>21375</v>
      </c>
      <c r="U11" s="326">
        <v>0</v>
      </c>
      <c r="V11" s="348">
        <f t="shared" si="0"/>
        <v>21375</v>
      </c>
      <c r="W11" s="347">
        <v>26718</v>
      </c>
      <c r="X11" s="326">
        <v>0</v>
      </c>
      <c r="Y11" s="348">
        <f t="shared" si="1"/>
        <v>26718</v>
      </c>
      <c r="Z11" s="347">
        <v>5344</v>
      </c>
      <c r="AA11" s="326">
        <v>0</v>
      </c>
      <c r="AB11" s="348">
        <f t="shared" si="2"/>
        <v>5344</v>
      </c>
      <c r="AC11" s="347">
        <v>12734</v>
      </c>
      <c r="AD11" s="326">
        <v>0</v>
      </c>
      <c r="AE11" s="348">
        <f t="shared" si="3"/>
        <v>12734</v>
      </c>
      <c r="AF11" s="347">
        <v>19101</v>
      </c>
      <c r="AG11" s="326">
        <v>0</v>
      </c>
      <c r="AH11" s="348">
        <f t="shared" si="4"/>
        <v>19101</v>
      </c>
      <c r="AI11" s="482">
        <v>85272</v>
      </c>
      <c r="AJ11" s="326">
        <v>0</v>
      </c>
      <c r="AK11" s="3899">
        <v>0</v>
      </c>
      <c r="AL11" s="349">
        <f>AI11-AJ11</f>
        <v>85272</v>
      </c>
      <c r="AM11" s="3356" t="s">
        <v>2064</v>
      </c>
      <c r="AN11" s="3357">
        <v>41801</v>
      </c>
      <c r="AO11" s="695">
        <v>1149099</v>
      </c>
      <c r="AP11" s="2722">
        <v>41699</v>
      </c>
      <c r="AQ11" s="3358">
        <v>105.2</v>
      </c>
      <c r="AR11" s="333">
        <f t="shared" si="8"/>
        <v>21663</v>
      </c>
      <c r="AS11" s="330">
        <f t="shared" si="9"/>
        <v>27078</v>
      </c>
      <c r="AT11" s="330">
        <f t="shared" si="10"/>
        <v>5416</v>
      </c>
      <c r="AU11" s="330">
        <f t="shared" si="11"/>
        <v>12906</v>
      </c>
      <c r="AV11" s="330">
        <f t="shared" si="12"/>
        <v>19359</v>
      </c>
      <c r="AW11" s="2870">
        <f t="shared" si="5"/>
        <v>86422</v>
      </c>
      <c r="AX11" s="3140" t="s">
        <v>1728</v>
      </c>
      <c r="BB11" s="267"/>
      <c r="BC11" s="4117">
        <f t="shared" si="6"/>
        <v>0</v>
      </c>
      <c r="BD11" s="4117">
        <f t="shared" si="7"/>
        <v>0</v>
      </c>
    </row>
    <row r="12" spans="1:61" ht="51">
      <c r="A12" s="5964" t="s">
        <v>11138</v>
      </c>
      <c r="B12" s="338" t="s">
        <v>1713</v>
      </c>
      <c r="C12" s="321">
        <v>0</v>
      </c>
      <c r="D12" s="323">
        <v>41737</v>
      </c>
      <c r="E12" s="3012" t="s">
        <v>6383</v>
      </c>
      <c r="F12" s="1203">
        <v>41609</v>
      </c>
      <c r="G12" s="1204">
        <v>104.6</v>
      </c>
      <c r="H12" s="332" t="s">
        <v>1983</v>
      </c>
      <c r="I12" s="339" t="s">
        <v>1330</v>
      </c>
      <c r="J12" s="322" t="s">
        <v>1445</v>
      </c>
      <c r="K12" s="340">
        <v>42410</v>
      </c>
      <c r="L12" s="339" t="s">
        <v>1984</v>
      </c>
      <c r="M12" s="322" t="s">
        <v>1985</v>
      </c>
      <c r="N12" s="339" t="s">
        <v>1986</v>
      </c>
      <c r="O12" s="332" t="s">
        <v>1987</v>
      </c>
      <c r="P12" s="667" t="s">
        <v>1988</v>
      </c>
      <c r="Q12" s="322" t="s">
        <v>1989</v>
      </c>
      <c r="R12" s="322" t="s">
        <v>175</v>
      </c>
      <c r="S12" s="346"/>
      <c r="T12" s="347">
        <v>2549</v>
      </c>
      <c r="U12" s="326">
        <v>0</v>
      </c>
      <c r="V12" s="348">
        <f t="shared" si="0"/>
        <v>2549</v>
      </c>
      <c r="W12" s="347">
        <v>450</v>
      </c>
      <c r="X12" s="326">
        <v>0</v>
      </c>
      <c r="Y12" s="348">
        <f t="shared" si="1"/>
        <v>450</v>
      </c>
      <c r="Z12" s="347">
        <v>510</v>
      </c>
      <c r="AA12" s="326">
        <v>0</v>
      </c>
      <c r="AB12" s="348">
        <f t="shared" si="2"/>
        <v>510</v>
      </c>
      <c r="AC12" s="347">
        <v>1656</v>
      </c>
      <c r="AD12" s="326">
        <v>0</v>
      </c>
      <c r="AE12" s="348">
        <f t="shared" si="3"/>
        <v>1656</v>
      </c>
      <c r="AF12" s="347">
        <v>2485</v>
      </c>
      <c r="AG12" s="326">
        <v>0</v>
      </c>
      <c r="AH12" s="348">
        <f t="shared" si="4"/>
        <v>2485</v>
      </c>
      <c r="AI12" s="482">
        <f t="shared" ref="AI12:AI43" si="13">T12+W12+Z12+AC12+AF12</f>
        <v>7650</v>
      </c>
      <c r="AJ12" s="326">
        <f t="shared" ref="AJ12:AJ43" si="14">U12+X12+AA12+AD12+AG12</f>
        <v>0</v>
      </c>
      <c r="AK12" s="3899">
        <v>0</v>
      </c>
      <c r="AL12" s="349">
        <f t="shared" ref="AL12:AL75" si="15">V12+Y12+AB12+AE12+AH12</f>
        <v>7650</v>
      </c>
      <c r="AM12" s="2002" t="s">
        <v>2064</v>
      </c>
      <c r="AN12" s="3357">
        <v>41801</v>
      </c>
      <c r="AO12" s="695">
        <v>1149143</v>
      </c>
      <c r="AP12" s="2722">
        <v>41609</v>
      </c>
      <c r="AQ12" s="3358">
        <v>104.6</v>
      </c>
      <c r="AR12" s="333">
        <f t="shared" si="8"/>
        <v>2549</v>
      </c>
      <c r="AS12" s="330">
        <f t="shared" si="9"/>
        <v>450</v>
      </c>
      <c r="AT12" s="330">
        <f t="shared" si="10"/>
        <v>510</v>
      </c>
      <c r="AU12" s="330">
        <f t="shared" si="11"/>
        <v>1656</v>
      </c>
      <c r="AV12" s="330">
        <f t="shared" si="12"/>
        <v>2485</v>
      </c>
      <c r="AW12" s="2870">
        <f t="shared" si="5"/>
        <v>7650</v>
      </c>
      <c r="AX12" s="3141" t="s">
        <v>2011</v>
      </c>
      <c r="BB12" s="267"/>
      <c r="BC12" s="4117">
        <f t="shared" si="6"/>
        <v>0</v>
      </c>
      <c r="BD12" s="4117">
        <f t="shared" si="7"/>
        <v>0</v>
      </c>
    </row>
    <row r="13" spans="1:61" ht="38.25">
      <c r="A13" s="5964" t="s">
        <v>11138</v>
      </c>
      <c r="B13" s="338" t="s">
        <v>1716</v>
      </c>
      <c r="C13" s="321">
        <v>0</v>
      </c>
      <c r="D13" s="323">
        <v>41781</v>
      </c>
      <c r="E13" s="3012" t="s">
        <v>6383</v>
      </c>
      <c r="F13" s="1203">
        <v>41699</v>
      </c>
      <c r="G13" s="1204">
        <v>105.2</v>
      </c>
      <c r="H13" s="332" t="s">
        <v>2072</v>
      </c>
      <c r="I13" s="339" t="s">
        <v>1433</v>
      </c>
      <c r="J13" s="322" t="s">
        <v>1434</v>
      </c>
      <c r="K13" s="340">
        <v>43242</v>
      </c>
      <c r="L13" s="339" t="s">
        <v>2073</v>
      </c>
      <c r="M13" s="322" t="s">
        <v>1957</v>
      </c>
      <c r="N13" s="339" t="s">
        <v>2074</v>
      </c>
      <c r="O13" s="332" t="s">
        <v>2075</v>
      </c>
      <c r="P13" s="345"/>
      <c r="Q13" s="322" t="s">
        <v>1111</v>
      </c>
      <c r="R13" s="322" t="s">
        <v>2058</v>
      </c>
      <c r="S13" s="346"/>
      <c r="T13" s="347">
        <v>7648</v>
      </c>
      <c r="U13" s="326">
        <v>0</v>
      </c>
      <c r="V13" s="348">
        <f t="shared" si="0"/>
        <v>7648</v>
      </c>
      <c r="W13" s="347">
        <v>9560</v>
      </c>
      <c r="X13" s="326">
        <v>0</v>
      </c>
      <c r="Y13" s="348">
        <f t="shared" si="1"/>
        <v>9560</v>
      </c>
      <c r="Z13" s="347">
        <v>1912</v>
      </c>
      <c r="AA13" s="326">
        <v>0</v>
      </c>
      <c r="AB13" s="348">
        <f t="shared" si="2"/>
        <v>1912</v>
      </c>
      <c r="AC13" s="347">
        <v>4302</v>
      </c>
      <c r="AD13" s="326">
        <v>0</v>
      </c>
      <c r="AE13" s="348">
        <f t="shared" si="3"/>
        <v>4302</v>
      </c>
      <c r="AF13" s="347">
        <v>6453</v>
      </c>
      <c r="AG13" s="326">
        <v>0</v>
      </c>
      <c r="AH13" s="348">
        <f t="shared" si="4"/>
        <v>6453</v>
      </c>
      <c r="AI13" s="482">
        <f t="shared" si="13"/>
        <v>29875</v>
      </c>
      <c r="AJ13" s="326">
        <f t="shared" si="14"/>
        <v>0</v>
      </c>
      <c r="AK13" s="3899">
        <v>0</v>
      </c>
      <c r="AL13" s="349">
        <f t="shared" si="15"/>
        <v>29875</v>
      </c>
      <c r="AM13" s="2002" t="s">
        <v>2064</v>
      </c>
      <c r="AN13" s="3357">
        <v>41807</v>
      </c>
      <c r="AO13" s="695">
        <v>1149336</v>
      </c>
      <c r="AP13" s="2722">
        <v>41699</v>
      </c>
      <c r="AQ13" s="3358">
        <v>105.2</v>
      </c>
      <c r="AR13" s="333">
        <f t="shared" si="8"/>
        <v>7648</v>
      </c>
      <c r="AS13" s="330">
        <f t="shared" si="9"/>
        <v>9560</v>
      </c>
      <c r="AT13" s="330">
        <f t="shared" si="10"/>
        <v>1912</v>
      </c>
      <c r="AU13" s="330">
        <f t="shared" si="11"/>
        <v>4302</v>
      </c>
      <c r="AV13" s="330">
        <f t="shared" si="12"/>
        <v>6453</v>
      </c>
      <c r="AW13" s="2870">
        <f t="shared" si="5"/>
        <v>29875</v>
      </c>
      <c r="AX13" s="3140"/>
      <c r="BB13" s="267"/>
      <c r="BC13" s="4117">
        <f t="shared" si="6"/>
        <v>0</v>
      </c>
      <c r="BD13" s="4117">
        <f t="shared" si="7"/>
        <v>0</v>
      </c>
    </row>
    <row r="14" spans="1:61" s="307" customFormat="1" ht="39" thickBot="1">
      <c r="A14" s="5970" t="s">
        <v>11138</v>
      </c>
      <c r="B14" s="3748">
        <v>540</v>
      </c>
      <c r="C14" s="4326" t="s">
        <v>1432</v>
      </c>
      <c r="D14" s="4327">
        <v>41576</v>
      </c>
      <c r="E14" s="4327" t="s">
        <v>6389</v>
      </c>
      <c r="F14" s="4438">
        <v>41518</v>
      </c>
      <c r="G14" s="4512">
        <v>103.8</v>
      </c>
      <c r="H14" s="4440" t="s">
        <v>1571</v>
      </c>
      <c r="I14" s="3753" t="s">
        <v>1436</v>
      </c>
      <c r="J14" s="4330" t="s">
        <v>1437</v>
      </c>
      <c r="K14" s="4441">
        <v>43036</v>
      </c>
      <c r="L14" s="3753" t="s">
        <v>1805</v>
      </c>
      <c r="M14" s="4330" t="s">
        <v>1799</v>
      </c>
      <c r="N14" s="3753" t="s">
        <v>1572</v>
      </c>
      <c r="O14" s="4440" t="s">
        <v>1683</v>
      </c>
      <c r="P14" s="3756"/>
      <c r="Q14" s="4330" t="s">
        <v>1695</v>
      </c>
      <c r="R14" s="4330" t="s">
        <v>1442</v>
      </c>
      <c r="S14" s="4442"/>
      <c r="T14" s="3758">
        <v>9062</v>
      </c>
      <c r="U14" s="4334">
        <v>0</v>
      </c>
      <c r="V14" s="4443">
        <f t="shared" si="0"/>
        <v>9062</v>
      </c>
      <c r="W14" s="3758">
        <v>11327</v>
      </c>
      <c r="X14" s="4334">
        <v>0</v>
      </c>
      <c r="Y14" s="4443">
        <f t="shared" si="1"/>
        <v>11327</v>
      </c>
      <c r="Z14" s="3758">
        <v>2265</v>
      </c>
      <c r="AA14" s="4334">
        <v>0</v>
      </c>
      <c r="AB14" s="4443">
        <f t="shared" si="2"/>
        <v>2265</v>
      </c>
      <c r="AC14" s="3758">
        <v>13677</v>
      </c>
      <c r="AD14" s="4334">
        <v>0</v>
      </c>
      <c r="AE14" s="4443">
        <f t="shared" si="3"/>
        <v>13677</v>
      </c>
      <c r="AF14" s="3758">
        <v>20516</v>
      </c>
      <c r="AG14" s="4334">
        <v>0</v>
      </c>
      <c r="AH14" s="4443">
        <f t="shared" si="4"/>
        <v>20516</v>
      </c>
      <c r="AI14" s="3761">
        <f t="shared" si="13"/>
        <v>56847</v>
      </c>
      <c r="AJ14" s="4334">
        <f t="shared" si="14"/>
        <v>0</v>
      </c>
      <c r="AK14" s="4444">
        <v>0</v>
      </c>
      <c r="AL14" s="4445">
        <f t="shared" si="15"/>
        <v>56847</v>
      </c>
      <c r="AM14" s="4446" t="s">
        <v>2182</v>
      </c>
      <c r="AN14" s="4338">
        <v>41807</v>
      </c>
      <c r="AO14" s="4339">
        <v>1149347</v>
      </c>
      <c r="AP14" s="4340">
        <v>41699</v>
      </c>
      <c r="AQ14" s="4447">
        <v>105.2</v>
      </c>
      <c r="AR14" s="3768">
        <f t="shared" si="8"/>
        <v>9184</v>
      </c>
      <c r="AS14" s="4342">
        <f t="shared" si="9"/>
        <v>11480</v>
      </c>
      <c r="AT14" s="4342">
        <f t="shared" si="10"/>
        <v>2296</v>
      </c>
      <c r="AU14" s="4342">
        <f t="shared" si="11"/>
        <v>13861</v>
      </c>
      <c r="AV14" s="4342">
        <f t="shared" si="12"/>
        <v>20793</v>
      </c>
      <c r="AW14" s="4448">
        <f t="shared" si="5"/>
        <v>57614</v>
      </c>
      <c r="AX14" s="3771" t="s">
        <v>1728</v>
      </c>
      <c r="AY14" s="764" t="s">
        <v>2139</v>
      </c>
      <c r="AZ14" s="765">
        <f>SUM(AW10:AW14)</f>
        <v>202365</v>
      </c>
      <c r="BA14" s="766">
        <f>AZ14-BB14</f>
        <v>112868</v>
      </c>
      <c r="BB14" s="767">
        <f>SUM(AU10:AV14)</f>
        <v>89497</v>
      </c>
      <c r="BC14" s="4118">
        <f t="shared" si="6"/>
        <v>0</v>
      </c>
      <c r="BD14" s="4118">
        <f t="shared" si="7"/>
        <v>0</v>
      </c>
      <c r="BE14" s="4112"/>
      <c r="BF14" s="4523">
        <f>SUM(BA4:BA14)</f>
        <v>214276</v>
      </c>
      <c r="BG14" s="4518">
        <f>SUM(BC4:BC14)</f>
        <v>0</v>
      </c>
      <c r="BH14" s="4518">
        <f>SUM(BD4:BD14)</f>
        <v>0</v>
      </c>
      <c r="BI14" s="4527">
        <f>SUM(BE4:BE14)</f>
        <v>0</v>
      </c>
    </row>
    <row r="15" spans="1:61" s="853" customFormat="1" ht="64.5" thickBot="1">
      <c r="A15" s="5971" t="s">
        <v>11138</v>
      </c>
      <c r="B15" s="4490" t="s">
        <v>2278</v>
      </c>
      <c r="C15" s="4491" t="s">
        <v>1439</v>
      </c>
      <c r="D15" s="4492">
        <v>41467</v>
      </c>
      <c r="E15" s="4492" t="s">
        <v>6388</v>
      </c>
      <c r="F15" s="4493">
        <v>41334</v>
      </c>
      <c r="G15" s="4494">
        <v>102</v>
      </c>
      <c r="H15" s="4495" t="s">
        <v>1546</v>
      </c>
      <c r="I15" s="4496" t="s">
        <v>1433</v>
      </c>
      <c r="J15" s="4497" t="s">
        <v>1434</v>
      </c>
      <c r="K15" s="4498">
        <v>42814</v>
      </c>
      <c r="L15" s="4496" t="s">
        <v>2279</v>
      </c>
      <c r="M15" s="4495" t="s">
        <v>2280</v>
      </c>
      <c r="N15" s="4496" t="s">
        <v>1547</v>
      </c>
      <c r="O15" s="4497" t="s">
        <v>1678</v>
      </c>
      <c r="P15" s="4499" t="s">
        <v>2338</v>
      </c>
      <c r="Q15" s="4500"/>
      <c r="R15" s="4500" t="s">
        <v>2250</v>
      </c>
      <c r="S15" s="4501"/>
      <c r="T15" s="4502">
        <v>0</v>
      </c>
      <c r="U15" s="1004">
        <v>17156</v>
      </c>
      <c r="V15" s="1004">
        <f t="shared" si="0"/>
        <v>-17156</v>
      </c>
      <c r="W15" s="1004">
        <v>0</v>
      </c>
      <c r="X15" s="1004">
        <v>3028</v>
      </c>
      <c r="Y15" s="4503">
        <f t="shared" si="1"/>
        <v>-3028</v>
      </c>
      <c r="Z15" s="4502">
        <v>0</v>
      </c>
      <c r="AA15" s="1004">
        <v>3931</v>
      </c>
      <c r="AB15" s="4503">
        <f t="shared" si="2"/>
        <v>-3931</v>
      </c>
      <c r="AC15" s="4502">
        <v>0</v>
      </c>
      <c r="AD15" s="1004">
        <v>0</v>
      </c>
      <c r="AE15" s="4503">
        <f t="shared" si="3"/>
        <v>0</v>
      </c>
      <c r="AF15" s="4502">
        <v>0</v>
      </c>
      <c r="AG15" s="1004">
        <v>0</v>
      </c>
      <c r="AH15" s="4503">
        <f t="shared" si="4"/>
        <v>0</v>
      </c>
      <c r="AI15" s="1003">
        <f t="shared" si="13"/>
        <v>0</v>
      </c>
      <c r="AJ15" s="1004">
        <f t="shared" si="14"/>
        <v>24115</v>
      </c>
      <c r="AK15" s="3905">
        <v>0</v>
      </c>
      <c r="AL15" s="1005">
        <f t="shared" si="15"/>
        <v>-24115</v>
      </c>
      <c r="AM15" s="4504" t="s">
        <v>2282</v>
      </c>
      <c r="AN15" s="4505" t="s">
        <v>2277</v>
      </c>
      <c r="AO15" s="4491" t="s">
        <v>2281</v>
      </c>
      <c r="AP15" s="4506">
        <v>41334</v>
      </c>
      <c r="AQ15" s="4507">
        <v>102</v>
      </c>
      <c r="AR15" s="4508">
        <f t="shared" si="8"/>
        <v>-17156</v>
      </c>
      <c r="AS15" s="4509">
        <f t="shared" si="9"/>
        <v>-3028</v>
      </c>
      <c r="AT15" s="4509">
        <f t="shared" si="10"/>
        <v>-3931</v>
      </c>
      <c r="AU15" s="4509">
        <f t="shared" si="11"/>
        <v>0</v>
      </c>
      <c r="AV15" s="4509">
        <f t="shared" si="12"/>
        <v>0</v>
      </c>
      <c r="AW15" s="4510">
        <f t="shared" si="5"/>
        <v>-24115</v>
      </c>
      <c r="AX15" s="4511" t="s">
        <v>2283</v>
      </c>
      <c r="AY15" s="743" t="s">
        <v>2339</v>
      </c>
      <c r="AZ15" s="927">
        <f>SUM(AW15)</f>
        <v>-24115</v>
      </c>
      <c r="BA15" s="928">
        <f>AZ15-BB15</f>
        <v>-24115</v>
      </c>
      <c r="BB15" s="929">
        <f>SUM(AU15:AV15)</f>
        <v>0</v>
      </c>
      <c r="BC15" s="4117">
        <f t="shared" si="6"/>
        <v>24115</v>
      </c>
      <c r="BD15" s="4117">
        <f t="shared" si="7"/>
        <v>0</v>
      </c>
      <c r="BE15" s="4489">
        <f>AW15</f>
        <v>-24115</v>
      </c>
      <c r="BF15" s="4522"/>
      <c r="BG15" s="4514"/>
      <c r="BH15" s="4514"/>
      <c r="BI15" s="4528"/>
    </row>
    <row r="16" spans="1:61" ht="51">
      <c r="A16" s="5967" t="s">
        <v>11138</v>
      </c>
      <c r="B16" s="827">
        <v>565</v>
      </c>
      <c r="C16" s="828" t="s">
        <v>1432</v>
      </c>
      <c r="D16" s="829">
        <v>41604</v>
      </c>
      <c r="E16" s="829" t="s">
        <v>6389</v>
      </c>
      <c r="F16" s="1865">
        <v>41518</v>
      </c>
      <c r="G16" s="3123">
        <v>103.8</v>
      </c>
      <c r="H16" s="832" t="s">
        <v>1579</v>
      </c>
      <c r="I16" s="833" t="s">
        <v>1433</v>
      </c>
      <c r="J16" s="834" t="s">
        <v>1434</v>
      </c>
      <c r="K16" s="835">
        <v>43061</v>
      </c>
      <c r="L16" s="833" t="s">
        <v>1820</v>
      </c>
      <c r="M16" s="834" t="s">
        <v>1801</v>
      </c>
      <c r="N16" s="833" t="s">
        <v>1580</v>
      </c>
      <c r="O16" s="832" t="s">
        <v>1701</v>
      </c>
      <c r="P16" s="836"/>
      <c r="Q16" s="834" t="s">
        <v>1702</v>
      </c>
      <c r="R16" s="834" t="s">
        <v>1435</v>
      </c>
      <c r="S16" s="837"/>
      <c r="T16" s="838">
        <v>5179</v>
      </c>
      <c r="U16" s="839">
        <v>0</v>
      </c>
      <c r="V16" s="840">
        <f t="shared" si="0"/>
        <v>5179</v>
      </c>
      <c r="W16" s="838">
        <v>6474</v>
      </c>
      <c r="X16" s="839">
        <v>0</v>
      </c>
      <c r="Y16" s="840">
        <f t="shared" si="1"/>
        <v>6474</v>
      </c>
      <c r="Z16" s="838">
        <v>1295</v>
      </c>
      <c r="AA16" s="839">
        <v>0</v>
      </c>
      <c r="AB16" s="840">
        <f t="shared" si="2"/>
        <v>1295</v>
      </c>
      <c r="AC16" s="823">
        <v>3032</v>
      </c>
      <c r="AD16" s="824">
        <v>0</v>
      </c>
      <c r="AE16" s="825">
        <f t="shared" si="3"/>
        <v>3032</v>
      </c>
      <c r="AF16" s="823">
        <v>4548</v>
      </c>
      <c r="AG16" s="824">
        <v>0</v>
      </c>
      <c r="AH16" s="825">
        <f t="shared" si="4"/>
        <v>4548</v>
      </c>
      <c r="AI16" s="841">
        <f t="shared" si="13"/>
        <v>20528</v>
      </c>
      <c r="AJ16" s="839">
        <f t="shared" si="14"/>
        <v>0</v>
      </c>
      <c r="AK16" s="3906">
        <v>0</v>
      </c>
      <c r="AL16" s="869">
        <f t="shared" si="15"/>
        <v>20528</v>
      </c>
      <c r="AM16" s="3359" t="s">
        <v>2366</v>
      </c>
      <c r="AN16" s="3360">
        <v>41857</v>
      </c>
      <c r="AO16" s="3361">
        <v>1152309</v>
      </c>
      <c r="AP16" s="3362">
        <v>41791</v>
      </c>
      <c r="AQ16" s="3363">
        <v>105.8</v>
      </c>
      <c r="AR16" s="846">
        <f t="shared" si="8"/>
        <v>5279</v>
      </c>
      <c r="AS16" s="847">
        <f t="shared" si="9"/>
        <v>6599</v>
      </c>
      <c r="AT16" s="847">
        <f t="shared" si="10"/>
        <v>1320</v>
      </c>
      <c r="AU16" s="848"/>
      <c r="AV16" s="848"/>
      <c r="AW16" s="2872">
        <f t="shared" si="5"/>
        <v>13198</v>
      </c>
      <c r="AX16" s="2891" t="s">
        <v>2367</v>
      </c>
      <c r="BB16" s="267"/>
      <c r="BC16" s="4117">
        <f t="shared" si="6"/>
        <v>0</v>
      </c>
      <c r="BD16" s="4117">
        <f t="shared" si="7"/>
        <v>0</v>
      </c>
    </row>
    <row r="17" spans="1:56" ht="51">
      <c r="A17" s="2418" t="s">
        <v>11139</v>
      </c>
      <c r="B17" s="338" t="s">
        <v>1719</v>
      </c>
      <c r="C17" s="321">
        <v>1</v>
      </c>
      <c r="D17" s="323" t="s">
        <v>2469</v>
      </c>
      <c r="E17" s="3012" t="s">
        <v>6383</v>
      </c>
      <c r="F17" s="324">
        <v>41821</v>
      </c>
      <c r="G17" s="325">
        <v>1</v>
      </c>
      <c r="H17" s="332" t="s">
        <v>2310</v>
      </c>
      <c r="I17" s="339" t="s">
        <v>1330</v>
      </c>
      <c r="J17" s="322" t="s">
        <v>1445</v>
      </c>
      <c r="K17" s="340">
        <v>42432</v>
      </c>
      <c r="L17" s="339" t="s">
        <v>2311</v>
      </c>
      <c r="M17" s="322" t="s">
        <v>2312</v>
      </c>
      <c r="N17" s="339" t="s">
        <v>2313</v>
      </c>
      <c r="O17" s="332" t="s">
        <v>2312</v>
      </c>
      <c r="P17" s="345" t="s">
        <v>2368</v>
      </c>
      <c r="Q17" s="322" t="s">
        <v>2314</v>
      </c>
      <c r="R17" s="322" t="s">
        <v>2315</v>
      </c>
      <c r="S17" s="346"/>
      <c r="T17" s="347">
        <v>0</v>
      </c>
      <c r="U17" s="326">
        <v>0</v>
      </c>
      <c r="V17" s="348">
        <f t="shared" si="0"/>
        <v>0</v>
      </c>
      <c r="W17" s="347">
        <v>0</v>
      </c>
      <c r="X17" s="326">
        <v>0</v>
      </c>
      <c r="Y17" s="348">
        <f t="shared" si="1"/>
        <v>0</v>
      </c>
      <c r="Z17" s="347">
        <v>0</v>
      </c>
      <c r="AA17" s="326">
        <v>0</v>
      </c>
      <c r="AB17" s="348">
        <f t="shared" si="2"/>
        <v>0</v>
      </c>
      <c r="AC17" s="820"/>
      <c r="AD17" s="821"/>
      <c r="AE17" s="822"/>
      <c r="AF17" s="820"/>
      <c r="AG17" s="821"/>
      <c r="AH17" s="822"/>
      <c r="AI17" s="482">
        <f t="shared" si="13"/>
        <v>0</v>
      </c>
      <c r="AJ17" s="326">
        <f t="shared" si="14"/>
        <v>0</v>
      </c>
      <c r="AK17" s="3899">
        <v>0</v>
      </c>
      <c r="AL17" s="349">
        <f t="shared" si="15"/>
        <v>0</v>
      </c>
      <c r="AM17" s="2002" t="s">
        <v>2369</v>
      </c>
      <c r="AN17" s="3357">
        <v>41862</v>
      </c>
      <c r="AO17" s="695" t="s">
        <v>175</v>
      </c>
      <c r="AP17" s="2722" t="s">
        <v>2140</v>
      </c>
      <c r="AQ17" s="3358">
        <v>1</v>
      </c>
      <c r="AR17" s="333">
        <f t="shared" si="8"/>
        <v>0</v>
      </c>
      <c r="AS17" s="330">
        <f t="shared" si="9"/>
        <v>0</v>
      </c>
      <c r="AT17" s="330">
        <f t="shared" si="10"/>
        <v>0</v>
      </c>
      <c r="AU17" s="849"/>
      <c r="AV17" s="849"/>
      <c r="AW17" s="2870">
        <f t="shared" si="5"/>
        <v>0</v>
      </c>
      <c r="AX17" s="3140"/>
      <c r="BB17" s="267"/>
      <c r="BC17" s="4117">
        <f t="shared" si="6"/>
        <v>0</v>
      </c>
      <c r="BD17" s="4117">
        <f t="shared" si="7"/>
        <v>0</v>
      </c>
    </row>
    <row r="18" spans="1:56" ht="51">
      <c r="A18" s="2418" t="s">
        <v>11139</v>
      </c>
      <c r="B18" s="338" t="s">
        <v>1721</v>
      </c>
      <c r="C18" s="321">
        <v>1</v>
      </c>
      <c r="D18" s="325" t="s">
        <v>2470</v>
      </c>
      <c r="E18" s="3043" t="s">
        <v>6383</v>
      </c>
      <c r="F18" s="324">
        <v>41821</v>
      </c>
      <c r="G18" s="325">
        <v>1</v>
      </c>
      <c r="H18" s="332" t="s">
        <v>2342</v>
      </c>
      <c r="I18" s="339" t="s">
        <v>1436</v>
      </c>
      <c r="J18" s="322" t="s">
        <v>1437</v>
      </c>
      <c r="K18" s="340">
        <v>41851</v>
      </c>
      <c r="L18" s="339" t="s">
        <v>2343</v>
      </c>
      <c r="M18" s="322" t="s">
        <v>2344</v>
      </c>
      <c r="N18" s="339" t="s">
        <v>2345</v>
      </c>
      <c r="O18" s="332" t="s">
        <v>2346</v>
      </c>
      <c r="P18" s="345" t="s">
        <v>2387</v>
      </c>
      <c r="Q18" s="322" t="s">
        <v>2347</v>
      </c>
      <c r="R18" s="322" t="s">
        <v>3157</v>
      </c>
      <c r="S18" s="346" t="s">
        <v>3156</v>
      </c>
      <c r="T18" s="347">
        <v>0</v>
      </c>
      <c r="U18" s="326">
        <v>0</v>
      </c>
      <c r="V18" s="348">
        <f t="shared" si="0"/>
        <v>0</v>
      </c>
      <c r="W18" s="347">
        <v>0</v>
      </c>
      <c r="X18" s="326">
        <v>0</v>
      </c>
      <c r="Y18" s="348">
        <v>0</v>
      </c>
      <c r="Z18" s="347">
        <v>0</v>
      </c>
      <c r="AA18" s="326">
        <v>0</v>
      </c>
      <c r="AB18" s="348">
        <f t="shared" si="2"/>
        <v>0</v>
      </c>
      <c r="AC18" s="820"/>
      <c r="AD18" s="821"/>
      <c r="AE18" s="822"/>
      <c r="AF18" s="820"/>
      <c r="AG18" s="821"/>
      <c r="AH18" s="822"/>
      <c r="AI18" s="482">
        <f t="shared" si="13"/>
        <v>0</v>
      </c>
      <c r="AJ18" s="326">
        <f t="shared" si="14"/>
        <v>0</v>
      </c>
      <c r="AK18" s="3899">
        <v>0</v>
      </c>
      <c r="AL18" s="349">
        <f t="shared" si="15"/>
        <v>0</v>
      </c>
      <c r="AM18" s="2002" t="s">
        <v>2389</v>
      </c>
      <c r="AN18" s="3357">
        <v>41866</v>
      </c>
      <c r="AO18" s="695" t="s">
        <v>175</v>
      </c>
      <c r="AP18" s="2722" t="s">
        <v>2140</v>
      </c>
      <c r="AQ18" s="3358">
        <v>1</v>
      </c>
      <c r="AR18" s="333">
        <f t="shared" si="8"/>
        <v>0</v>
      </c>
      <c r="AS18" s="330">
        <f t="shared" si="9"/>
        <v>0</v>
      </c>
      <c r="AT18" s="330">
        <f t="shared" si="10"/>
        <v>0</v>
      </c>
      <c r="AU18" s="849"/>
      <c r="AV18" s="849"/>
      <c r="AW18" s="2873">
        <f t="shared" si="5"/>
        <v>0</v>
      </c>
      <c r="AX18" s="3140"/>
      <c r="BB18" s="267"/>
      <c r="BC18" s="4117">
        <f t="shared" si="6"/>
        <v>0</v>
      </c>
      <c r="BD18" s="4117">
        <f t="shared" si="7"/>
        <v>0</v>
      </c>
    </row>
    <row r="19" spans="1:56" ht="64.5" thickBot="1">
      <c r="A19" s="5972" t="s">
        <v>11139</v>
      </c>
      <c r="B19" s="581" t="s">
        <v>1723</v>
      </c>
      <c r="C19" s="582">
        <v>0</v>
      </c>
      <c r="D19" s="583">
        <v>41863</v>
      </c>
      <c r="E19" s="2992" t="s">
        <v>6383</v>
      </c>
      <c r="F19" s="584">
        <v>41821</v>
      </c>
      <c r="G19" s="784">
        <v>1</v>
      </c>
      <c r="H19" s="586" t="s">
        <v>2379</v>
      </c>
      <c r="I19" s="587" t="s">
        <v>1433</v>
      </c>
      <c r="J19" s="588" t="s">
        <v>1434</v>
      </c>
      <c r="K19" s="589">
        <v>43324</v>
      </c>
      <c r="L19" s="587" t="s">
        <v>2380</v>
      </c>
      <c r="M19" s="588" t="s">
        <v>2381</v>
      </c>
      <c r="N19" s="587" t="s">
        <v>2382</v>
      </c>
      <c r="O19" s="586" t="s">
        <v>2383</v>
      </c>
      <c r="P19" s="590"/>
      <c r="Q19" s="588" t="s">
        <v>2384</v>
      </c>
      <c r="R19" s="588" t="s">
        <v>2385</v>
      </c>
      <c r="S19" s="591"/>
      <c r="T19" s="592">
        <v>7168</v>
      </c>
      <c r="U19" s="593">
        <v>0</v>
      </c>
      <c r="V19" s="594">
        <f t="shared" si="0"/>
        <v>7168</v>
      </c>
      <c r="W19" s="592">
        <v>8960</v>
      </c>
      <c r="X19" s="593">
        <v>0</v>
      </c>
      <c r="Y19" s="594">
        <f t="shared" ref="Y19:Y82" si="16">W19-X19</f>
        <v>8960</v>
      </c>
      <c r="Z19" s="592">
        <v>1792</v>
      </c>
      <c r="AA19" s="593">
        <v>0</v>
      </c>
      <c r="AB19" s="594">
        <f t="shared" si="2"/>
        <v>1792</v>
      </c>
      <c r="AC19" s="903"/>
      <c r="AD19" s="904"/>
      <c r="AE19" s="905"/>
      <c r="AF19" s="903"/>
      <c r="AG19" s="904"/>
      <c r="AH19" s="905"/>
      <c r="AI19" s="595">
        <f t="shared" si="13"/>
        <v>17920</v>
      </c>
      <c r="AJ19" s="593">
        <f t="shared" si="14"/>
        <v>0</v>
      </c>
      <c r="AK19" s="3903">
        <v>0</v>
      </c>
      <c r="AL19" s="596">
        <f t="shared" si="15"/>
        <v>17920</v>
      </c>
      <c r="AM19" s="1595" t="s">
        <v>2182</v>
      </c>
      <c r="AN19" s="3351">
        <v>41873</v>
      </c>
      <c r="AO19" s="3352">
        <v>1154175</v>
      </c>
      <c r="AP19" s="3353">
        <v>41821</v>
      </c>
      <c r="AQ19" s="3354">
        <v>1</v>
      </c>
      <c r="AR19" s="597">
        <f t="shared" si="8"/>
        <v>7168</v>
      </c>
      <c r="AS19" s="598">
        <f t="shared" si="9"/>
        <v>8960</v>
      </c>
      <c r="AT19" s="598">
        <f t="shared" si="10"/>
        <v>1792</v>
      </c>
      <c r="AU19" s="906"/>
      <c r="AV19" s="906"/>
      <c r="AW19" s="2869">
        <f t="shared" si="5"/>
        <v>17920</v>
      </c>
      <c r="AX19" s="2890"/>
      <c r="AY19" s="764" t="s">
        <v>2462</v>
      </c>
      <c r="AZ19" s="882">
        <f>SUM(AW16:AW19)</f>
        <v>31118</v>
      </c>
      <c r="BA19" s="883">
        <f>AZ19-BB19</f>
        <v>31118</v>
      </c>
      <c r="BB19" s="884">
        <f>SUM(AU16:AV19)</f>
        <v>0</v>
      </c>
      <c r="BC19" s="4117">
        <f t="shared" si="6"/>
        <v>0</v>
      </c>
      <c r="BD19" s="4117">
        <f t="shared" si="7"/>
        <v>0</v>
      </c>
    </row>
    <row r="20" spans="1:56" ht="51">
      <c r="A20" s="5968" t="s">
        <v>11138</v>
      </c>
      <c r="B20" s="908" t="s">
        <v>2481</v>
      </c>
      <c r="C20" s="909">
        <v>0</v>
      </c>
      <c r="D20" s="910">
        <v>41744</v>
      </c>
      <c r="E20" s="3044" t="s">
        <v>6383</v>
      </c>
      <c r="F20" s="1914">
        <v>41609</v>
      </c>
      <c r="G20" s="1722">
        <v>104.6</v>
      </c>
      <c r="H20" s="913" t="s">
        <v>2006</v>
      </c>
      <c r="I20" s="914" t="s">
        <v>1330</v>
      </c>
      <c r="J20" s="915" t="s">
        <v>1445</v>
      </c>
      <c r="K20" s="916">
        <v>42393</v>
      </c>
      <c r="L20" s="914" t="s">
        <v>1158</v>
      </c>
      <c r="M20" s="915" t="s">
        <v>2007</v>
      </c>
      <c r="N20" s="914" t="s">
        <v>2008</v>
      </c>
      <c r="O20" s="913" t="s">
        <v>2009</v>
      </c>
      <c r="P20" s="917" t="s">
        <v>2482</v>
      </c>
      <c r="Q20" s="915" t="s">
        <v>2010</v>
      </c>
      <c r="R20" s="915" t="s">
        <v>1257</v>
      </c>
      <c r="S20" s="918"/>
      <c r="T20" s="919">
        <v>335</v>
      </c>
      <c r="U20" s="920">
        <v>0</v>
      </c>
      <c r="V20" s="921">
        <f t="shared" si="0"/>
        <v>335</v>
      </c>
      <c r="W20" s="919">
        <v>0</v>
      </c>
      <c r="X20" s="920">
        <v>0</v>
      </c>
      <c r="Y20" s="921">
        <f t="shared" si="16"/>
        <v>0</v>
      </c>
      <c r="Z20" s="919">
        <v>11935</v>
      </c>
      <c r="AA20" s="920">
        <v>0</v>
      </c>
      <c r="AB20" s="921">
        <f t="shared" si="2"/>
        <v>11935</v>
      </c>
      <c r="AC20" s="820">
        <v>0</v>
      </c>
      <c r="AD20" s="821">
        <v>0</v>
      </c>
      <c r="AE20" s="822">
        <f t="shared" ref="AE20:AE25" si="17">AC20-AD20</f>
        <v>0</v>
      </c>
      <c r="AF20" s="820">
        <v>0</v>
      </c>
      <c r="AG20" s="821">
        <v>0</v>
      </c>
      <c r="AH20" s="822">
        <f t="shared" ref="AH20:AH25" si="18">AF20-AG20</f>
        <v>0</v>
      </c>
      <c r="AI20" s="559">
        <f t="shared" si="13"/>
        <v>12270</v>
      </c>
      <c r="AJ20" s="557">
        <f t="shared" si="14"/>
        <v>0</v>
      </c>
      <c r="AK20" s="3900">
        <v>0</v>
      </c>
      <c r="AL20" s="561">
        <f t="shared" si="15"/>
        <v>12270</v>
      </c>
      <c r="AM20" s="1605" t="s">
        <v>2479</v>
      </c>
      <c r="AN20" s="3364">
        <v>41890</v>
      </c>
      <c r="AO20" s="3365">
        <v>1154861</v>
      </c>
      <c r="AP20" s="3366">
        <v>42156</v>
      </c>
      <c r="AQ20" s="3367">
        <v>105.8</v>
      </c>
      <c r="AR20" s="924">
        <f t="shared" si="8"/>
        <v>339</v>
      </c>
      <c r="AS20" s="925">
        <f t="shared" si="9"/>
        <v>0</v>
      </c>
      <c r="AT20" s="925">
        <f t="shared" si="10"/>
        <v>12072</v>
      </c>
      <c r="AU20" s="849">
        <f>ROUND($AQ20/$G20*AE20,0)</f>
        <v>0</v>
      </c>
      <c r="AV20" s="849">
        <f>ROUND($AQ20/$G20*AH20,0)</f>
        <v>0</v>
      </c>
      <c r="AW20" s="2874">
        <f t="shared" si="5"/>
        <v>12411</v>
      </c>
      <c r="AX20" s="3142"/>
      <c r="BB20" s="267"/>
      <c r="BC20" s="4117">
        <f t="shared" si="6"/>
        <v>0</v>
      </c>
      <c r="BD20" s="4117">
        <f t="shared" si="7"/>
        <v>0</v>
      </c>
    </row>
    <row r="21" spans="1:56" ht="63.75">
      <c r="A21" s="5973" t="s">
        <v>11138</v>
      </c>
      <c r="B21" s="908" t="s">
        <v>2485</v>
      </c>
      <c r="C21" s="909" t="s">
        <v>1432</v>
      </c>
      <c r="D21" s="910">
        <v>41625</v>
      </c>
      <c r="E21" s="3044" t="s">
        <v>6389</v>
      </c>
      <c r="F21" s="1914">
        <v>41518</v>
      </c>
      <c r="G21" s="1722">
        <v>103.8</v>
      </c>
      <c r="H21" s="913" t="s">
        <v>1586</v>
      </c>
      <c r="I21" s="914" t="s">
        <v>1433</v>
      </c>
      <c r="J21" s="915" t="s">
        <v>1434</v>
      </c>
      <c r="K21" s="916">
        <v>41624</v>
      </c>
      <c r="L21" s="914" t="s">
        <v>1818</v>
      </c>
      <c r="M21" s="915" t="s">
        <v>1810</v>
      </c>
      <c r="N21" s="914" t="s">
        <v>2488</v>
      </c>
      <c r="O21" s="913" t="s">
        <v>2490</v>
      </c>
      <c r="P21" s="931" t="s">
        <v>2483</v>
      </c>
      <c r="Q21" s="915" t="s">
        <v>2388</v>
      </c>
      <c r="R21" s="915" t="s">
        <v>1448</v>
      </c>
      <c r="S21" s="918"/>
      <c r="T21" s="919">
        <v>21345</v>
      </c>
      <c r="U21" s="920">
        <v>0</v>
      </c>
      <c r="V21" s="921">
        <f t="shared" si="0"/>
        <v>21345</v>
      </c>
      <c r="W21" s="919">
        <v>3767</v>
      </c>
      <c r="X21" s="920">
        <v>0</v>
      </c>
      <c r="Y21" s="921">
        <f t="shared" si="16"/>
        <v>3767</v>
      </c>
      <c r="Z21" s="919">
        <v>1550</v>
      </c>
      <c r="AA21" s="920">
        <v>0</v>
      </c>
      <c r="AB21" s="921">
        <f t="shared" si="2"/>
        <v>1550</v>
      </c>
      <c r="AC21" s="820">
        <v>0</v>
      </c>
      <c r="AD21" s="821">
        <v>0</v>
      </c>
      <c r="AE21" s="822">
        <f t="shared" si="17"/>
        <v>0</v>
      </c>
      <c r="AF21" s="820">
        <v>0</v>
      </c>
      <c r="AG21" s="821">
        <v>0</v>
      </c>
      <c r="AH21" s="822">
        <f t="shared" si="18"/>
        <v>0</v>
      </c>
      <c r="AI21" s="922">
        <f t="shared" si="13"/>
        <v>26662</v>
      </c>
      <c r="AJ21" s="920">
        <f t="shared" si="14"/>
        <v>0</v>
      </c>
      <c r="AK21" s="3907">
        <v>0</v>
      </c>
      <c r="AL21" s="923">
        <f t="shared" si="15"/>
        <v>26662</v>
      </c>
      <c r="AM21" s="3368" t="s">
        <v>2487</v>
      </c>
      <c r="AN21" s="3364">
        <v>41890</v>
      </c>
      <c r="AO21" s="3365">
        <v>1154887</v>
      </c>
      <c r="AP21" s="3366">
        <v>41518</v>
      </c>
      <c r="AQ21" s="3367">
        <v>103.8</v>
      </c>
      <c r="AR21" s="924">
        <f t="shared" si="8"/>
        <v>21345</v>
      </c>
      <c r="AS21" s="925">
        <f t="shared" si="9"/>
        <v>3767</v>
      </c>
      <c r="AT21" s="925">
        <f t="shared" si="10"/>
        <v>1550</v>
      </c>
      <c r="AU21" s="849">
        <f>ROUND($AQ21/$G21*AE21,0)</f>
        <v>0</v>
      </c>
      <c r="AV21" s="849">
        <f>ROUND($AQ21/$G21*AH21,0)</f>
        <v>0</v>
      </c>
      <c r="AW21" s="2874">
        <f t="shared" si="5"/>
        <v>26662</v>
      </c>
      <c r="AX21" s="3143" t="s">
        <v>1728</v>
      </c>
      <c r="BB21" s="267"/>
      <c r="BC21" s="4117">
        <f t="shared" si="6"/>
        <v>0</v>
      </c>
      <c r="BD21" s="4117">
        <f t="shared" si="7"/>
        <v>0</v>
      </c>
    </row>
    <row r="22" spans="1:56" ht="76.5">
      <c r="A22" s="5974" t="s">
        <v>11138</v>
      </c>
      <c r="B22" s="926" t="s">
        <v>2499</v>
      </c>
      <c r="C22" s="1019" t="s">
        <v>1432</v>
      </c>
      <c r="D22" s="1020">
        <v>41625</v>
      </c>
      <c r="E22" s="3045" t="s">
        <v>6389</v>
      </c>
      <c r="F22" s="3124">
        <v>41518</v>
      </c>
      <c r="G22" s="3125">
        <v>103.8</v>
      </c>
      <c r="H22" s="1021" t="s">
        <v>1586</v>
      </c>
      <c r="I22" s="3336" t="s">
        <v>1433</v>
      </c>
      <c r="J22" s="3935" t="s">
        <v>1434</v>
      </c>
      <c r="K22" s="3936">
        <v>41624</v>
      </c>
      <c r="L22" s="3336" t="s">
        <v>1818</v>
      </c>
      <c r="M22" s="3935" t="s">
        <v>1810</v>
      </c>
      <c r="N22" s="3336" t="s">
        <v>2488</v>
      </c>
      <c r="O22" s="1021" t="s">
        <v>2489</v>
      </c>
      <c r="P22" s="3335"/>
      <c r="Q22" s="3935" t="s">
        <v>2388</v>
      </c>
      <c r="R22" s="3935" t="s">
        <v>1448</v>
      </c>
      <c r="S22" s="3937"/>
      <c r="T22" s="820">
        <v>0</v>
      </c>
      <c r="U22" s="821">
        <v>0</v>
      </c>
      <c r="V22" s="822">
        <f t="shared" si="0"/>
        <v>0</v>
      </c>
      <c r="W22" s="820">
        <v>0</v>
      </c>
      <c r="X22" s="821">
        <v>0</v>
      </c>
      <c r="Y22" s="822">
        <f t="shared" si="16"/>
        <v>0</v>
      </c>
      <c r="Z22" s="820">
        <v>0</v>
      </c>
      <c r="AA22" s="821">
        <v>0</v>
      </c>
      <c r="AB22" s="822">
        <f t="shared" si="2"/>
        <v>0</v>
      </c>
      <c r="AC22" s="820">
        <v>1289</v>
      </c>
      <c r="AD22" s="821">
        <v>0</v>
      </c>
      <c r="AE22" s="822">
        <f t="shared" si="17"/>
        <v>1289</v>
      </c>
      <c r="AF22" s="820">
        <v>1933</v>
      </c>
      <c r="AG22" s="821">
        <v>0</v>
      </c>
      <c r="AH22" s="822">
        <f t="shared" si="18"/>
        <v>1933</v>
      </c>
      <c r="AI22" s="3938">
        <f t="shared" si="13"/>
        <v>3222</v>
      </c>
      <c r="AJ22" s="821">
        <f t="shared" si="14"/>
        <v>0</v>
      </c>
      <c r="AK22" s="3939">
        <v>0</v>
      </c>
      <c r="AL22" s="3940">
        <f t="shared" si="15"/>
        <v>3222</v>
      </c>
      <c r="AM22" s="3941"/>
      <c r="AN22" s="3942"/>
      <c r="AO22" s="3943"/>
      <c r="AP22" s="3804"/>
      <c r="AQ22" s="3944"/>
      <c r="AR22" s="3945">
        <f t="shared" si="8"/>
        <v>0</v>
      </c>
      <c r="AS22" s="849">
        <f t="shared" si="9"/>
        <v>0</v>
      </c>
      <c r="AT22" s="849">
        <f t="shared" si="10"/>
        <v>0</v>
      </c>
      <c r="AU22" s="849">
        <f>ROUND($AQ22/$G22*AE22,0)</f>
        <v>0</v>
      </c>
      <c r="AV22" s="849">
        <f>ROUND($AQ22/$G22*AH22,0)</f>
        <v>0</v>
      </c>
      <c r="AW22" s="3946">
        <f t="shared" si="5"/>
        <v>0</v>
      </c>
      <c r="AX22" s="3144" t="s">
        <v>2501</v>
      </c>
      <c r="BC22" s="4117">
        <f t="shared" si="6"/>
        <v>0</v>
      </c>
      <c r="BD22" s="4117">
        <f t="shared" si="7"/>
        <v>0</v>
      </c>
    </row>
    <row r="23" spans="1:56" ht="51">
      <c r="A23" s="5973" t="s">
        <v>11138</v>
      </c>
      <c r="B23" s="908">
        <v>291</v>
      </c>
      <c r="C23" s="909" t="s">
        <v>1432</v>
      </c>
      <c r="D23" s="910">
        <v>41176</v>
      </c>
      <c r="E23" s="3044" t="s">
        <v>6393</v>
      </c>
      <c r="F23" s="1914">
        <v>41061</v>
      </c>
      <c r="G23" s="1722">
        <v>100.5</v>
      </c>
      <c r="H23" s="913" t="s">
        <v>1524</v>
      </c>
      <c r="I23" s="914" t="s">
        <v>1433</v>
      </c>
      <c r="J23" s="915" t="s">
        <v>1434</v>
      </c>
      <c r="K23" s="916">
        <v>42634</v>
      </c>
      <c r="L23" s="914" t="s">
        <v>1855</v>
      </c>
      <c r="M23" s="915" t="s">
        <v>1832</v>
      </c>
      <c r="N23" s="914" t="s">
        <v>1525</v>
      </c>
      <c r="O23" s="913" t="s">
        <v>1663</v>
      </c>
      <c r="P23" s="1018"/>
      <c r="Q23" s="915" t="s">
        <v>1662</v>
      </c>
      <c r="R23" s="915" t="s">
        <v>1526</v>
      </c>
      <c r="S23" s="918"/>
      <c r="T23" s="919">
        <v>0</v>
      </c>
      <c r="U23" s="920">
        <v>0</v>
      </c>
      <c r="V23" s="921">
        <f t="shared" si="0"/>
        <v>0</v>
      </c>
      <c r="W23" s="919">
        <v>4358</v>
      </c>
      <c r="X23" s="920">
        <v>0</v>
      </c>
      <c r="Y23" s="921">
        <f t="shared" si="16"/>
        <v>4358</v>
      </c>
      <c r="Z23" s="919">
        <v>2096</v>
      </c>
      <c r="AA23" s="920">
        <v>0</v>
      </c>
      <c r="AB23" s="921">
        <f t="shared" si="2"/>
        <v>2096</v>
      </c>
      <c r="AC23" s="820">
        <v>1993</v>
      </c>
      <c r="AD23" s="821">
        <v>0</v>
      </c>
      <c r="AE23" s="822">
        <f t="shared" si="17"/>
        <v>1993</v>
      </c>
      <c r="AF23" s="820">
        <v>2988</v>
      </c>
      <c r="AG23" s="821">
        <v>0</v>
      </c>
      <c r="AH23" s="822">
        <f t="shared" si="18"/>
        <v>2988</v>
      </c>
      <c r="AI23" s="922">
        <f t="shared" si="13"/>
        <v>11435</v>
      </c>
      <c r="AJ23" s="920">
        <f t="shared" si="14"/>
        <v>0</v>
      </c>
      <c r="AK23" s="3907">
        <v>0</v>
      </c>
      <c r="AL23" s="923">
        <f t="shared" si="15"/>
        <v>11435</v>
      </c>
      <c r="AM23" s="3368" t="s">
        <v>2519</v>
      </c>
      <c r="AN23" s="3364">
        <v>41892</v>
      </c>
      <c r="AO23" s="3365">
        <v>1155063</v>
      </c>
      <c r="AP23" s="3366">
        <v>41791</v>
      </c>
      <c r="AQ23" s="3367">
        <v>105.8</v>
      </c>
      <c r="AR23" s="924">
        <f t="shared" si="8"/>
        <v>0</v>
      </c>
      <c r="AS23" s="925">
        <f t="shared" si="9"/>
        <v>4588</v>
      </c>
      <c r="AT23" s="925">
        <f t="shared" si="10"/>
        <v>2207</v>
      </c>
      <c r="AU23" s="849">
        <v>0</v>
      </c>
      <c r="AV23" s="849">
        <v>0</v>
      </c>
      <c r="AW23" s="2874">
        <f t="shared" si="5"/>
        <v>6795</v>
      </c>
      <c r="AX23" s="3143" t="s">
        <v>2502</v>
      </c>
      <c r="BC23" s="4117">
        <f t="shared" si="6"/>
        <v>0</v>
      </c>
      <c r="BD23" s="4117">
        <f t="shared" si="7"/>
        <v>0</v>
      </c>
    </row>
    <row r="24" spans="1:56" ht="25.5">
      <c r="A24" s="5973" t="s">
        <v>11138</v>
      </c>
      <c r="B24" s="908" t="s">
        <v>2520</v>
      </c>
      <c r="C24" s="909">
        <v>0</v>
      </c>
      <c r="D24" s="910">
        <v>41883</v>
      </c>
      <c r="E24" s="3044" t="s">
        <v>6383</v>
      </c>
      <c r="F24" s="1914">
        <v>41699</v>
      </c>
      <c r="G24" s="1722">
        <v>105.2</v>
      </c>
      <c r="H24" s="913">
        <v>152006.86199999999</v>
      </c>
      <c r="I24" s="914" t="s">
        <v>1436</v>
      </c>
      <c r="J24" s="915" t="s">
        <v>1437</v>
      </c>
      <c r="K24" s="916">
        <v>41894</v>
      </c>
      <c r="L24" s="914" t="s">
        <v>2521</v>
      </c>
      <c r="M24" s="915" t="s">
        <v>2522</v>
      </c>
      <c r="N24" s="914" t="s">
        <v>2056</v>
      </c>
      <c r="O24" s="913" t="s">
        <v>2508</v>
      </c>
      <c r="P24" s="1018" t="s">
        <v>2525</v>
      </c>
      <c r="Q24" s="915" t="s">
        <v>2523</v>
      </c>
      <c r="R24" s="915" t="s">
        <v>2524</v>
      </c>
      <c r="S24" s="918"/>
      <c r="T24" s="919">
        <v>50</v>
      </c>
      <c r="U24" s="920">
        <v>0</v>
      </c>
      <c r="V24" s="921">
        <f t="shared" si="0"/>
        <v>50</v>
      </c>
      <c r="W24" s="919">
        <v>0</v>
      </c>
      <c r="X24" s="920">
        <v>0</v>
      </c>
      <c r="Y24" s="921">
        <f t="shared" si="16"/>
        <v>0</v>
      </c>
      <c r="Z24" s="919">
        <v>1792</v>
      </c>
      <c r="AA24" s="920">
        <v>0</v>
      </c>
      <c r="AB24" s="921">
        <f t="shared" si="2"/>
        <v>1792</v>
      </c>
      <c r="AC24" s="820">
        <v>0</v>
      </c>
      <c r="AD24" s="821">
        <v>0</v>
      </c>
      <c r="AE24" s="822">
        <f t="shared" si="17"/>
        <v>0</v>
      </c>
      <c r="AF24" s="820">
        <v>0</v>
      </c>
      <c r="AG24" s="821">
        <v>0</v>
      </c>
      <c r="AH24" s="822">
        <f t="shared" si="18"/>
        <v>0</v>
      </c>
      <c r="AI24" s="922">
        <f t="shared" si="13"/>
        <v>1842</v>
      </c>
      <c r="AJ24" s="920">
        <f t="shared" si="14"/>
        <v>0</v>
      </c>
      <c r="AK24" s="3907">
        <v>0</v>
      </c>
      <c r="AL24" s="923">
        <f t="shared" si="15"/>
        <v>1842</v>
      </c>
      <c r="AM24" s="3368" t="s">
        <v>909</v>
      </c>
      <c r="AN24" s="3364">
        <v>41898</v>
      </c>
      <c r="AO24" s="3365">
        <v>1155262</v>
      </c>
      <c r="AP24" s="3366">
        <v>41791</v>
      </c>
      <c r="AQ24" s="3367">
        <v>105.8</v>
      </c>
      <c r="AR24" s="924">
        <f t="shared" si="8"/>
        <v>50</v>
      </c>
      <c r="AS24" s="925">
        <f t="shared" si="9"/>
        <v>0</v>
      </c>
      <c r="AT24" s="925">
        <f t="shared" si="10"/>
        <v>1802</v>
      </c>
      <c r="AU24" s="849">
        <v>0</v>
      </c>
      <c r="AV24" s="849">
        <v>0</v>
      </c>
      <c r="AW24" s="2874">
        <f t="shared" si="5"/>
        <v>1852</v>
      </c>
      <c r="AX24" s="3143"/>
      <c r="BC24" s="4117">
        <f t="shared" si="6"/>
        <v>0</v>
      </c>
      <c r="BD24" s="4117">
        <f t="shared" si="7"/>
        <v>0</v>
      </c>
    </row>
    <row r="25" spans="1:56" ht="115.5" thickBot="1">
      <c r="A25" s="5975" t="s">
        <v>11138</v>
      </c>
      <c r="B25" s="494" t="s">
        <v>3293</v>
      </c>
      <c r="C25" s="495" t="s">
        <v>1439</v>
      </c>
      <c r="D25" s="496">
        <v>41564</v>
      </c>
      <c r="E25" s="3042" t="s">
        <v>6389</v>
      </c>
      <c r="F25" s="3118">
        <v>41426</v>
      </c>
      <c r="G25" s="3121">
        <v>102.5</v>
      </c>
      <c r="H25" s="498" t="s">
        <v>1587</v>
      </c>
      <c r="I25" s="499" t="s">
        <v>1433</v>
      </c>
      <c r="J25" s="500" t="s">
        <v>1434</v>
      </c>
      <c r="K25" s="501">
        <v>42949</v>
      </c>
      <c r="L25" s="499" t="s">
        <v>348</v>
      </c>
      <c r="M25" s="500" t="s">
        <v>1817</v>
      </c>
      <c r="N25" s="499" t="s">
        <v>1588</v>
      </c>
      <c r="O25" s="498" t="s">
        <v>1693</v>
      </c>
      <c r="P25" s="1022" t="s">
        <v>2304</v>
      </c>
      <c r="Q25" s="500" t="s">
        <v>2013</v>
      </c>
      <c r="R25" s="500" t="s">
        <v>1046</v>
      </c>
      <c r="S25" s="1023" t="s">
        <v>2532</v>
      </c>
      <c r="T25" s="504">
        <v>44398</v>
      </c>
      <c r="U25" s="505">
        <v>27677</v>
      </c>
      <c r="V25" s="506">
        <f t="shared" si="0"/>
        <v>16721</v>
      </c>
      <c r="W25" s="504">
        <v>7835</v>
      </c>
      <c r="X25" s="505">
        <v>4884</v>
      </c>
      <c r="Y25" s="506">
        <f t="shared" si="16"/>
        <v>2951</v>
      </c>
      <c r="Z25" s="504">
        <v>0</v>
      </c>
      <c r="AA25" s="505">
        <v>0</v>
      </c>
      <c r="AB25" s="506">
        <f t="shared" si="2"/>
        <v>0</v>
      </c>
      <c r="AC25" s="903">
        <v>4190</v>
      </c>
      <c r="AD25" s="904">
        <v>0</v>
      </c>
      <c r="AE25" s="905">
        <f t="shared" si="17"/>
        <v>4190</v>
      </c>
      <c r="AF25" s="903">
        <v>6286</v>
      </c>
      <c r="AG25" s="904">
        <v>0</v>
      </c>
      <c r="AH25" s="905">
        <f t="shared" si="18"/>
        <v>6286</v>
      </c>
      <c r="AI25" s="669">
        <f t="shared" si="13"/>
        <v>62709</v>
      </c>
      <c r="AJ25" s="505">
        <f t="shared" si="14"/>
        <v>32561</v>
      </c>
      <c r="AK25" s="3901">
        <v>0</v>
      </c>
      <c r="AL25" s="507">
        <f t="shared" si="15"/>
        <v>30148</v>
      </c>
      <c r="AM25" s="3341" t="s">
        <v>2529</v>
      </c>
      <c r="AN25" s="3342">
        <v>41904</v>
      </c>
      <c r="AO25" s="3343">
        <v>1155566</v>
      </c>
      <c r="AP25" s="3344">
        <v>41791</v>
      </c>
      <c r="AQ25" s="3345">
        <v>105.8</v>
      </c>
      <c r="AR25" s="508">
        <v>16721</v>
      </c>
      <c r="AS25" s="509">
        <v>2951</v>
      </c>
      <c r="AT25" s="509">
        <f t="shared" si="10"/>
        <v>0</v>
      </c>
      <c r="AU25" s="906">
        <v>0</v>
      </c>
      <c r="AV25" s="906">
        <v>0</v>
      </c>
      <c r="AW25" s="2867">
        <f t="shared" si="5"/>
        <v>19672</v>
      </c>
      <c r="AX25" s="2888" t="s">
        <v>2531</v>
      </c>
      <c r="AY25" s="743" t="s">
        <v>2480</v>
      </c>
      <c r="AZ25" s="927">
        <f>SUM(AW20:AW25)</f>
        <v>67392</v>
      </c>
      <c r="BA25" s="928">
        <f>AZ25-BB25</f>
        <v>67392</v>
      </c>
      <c r="BB25" s="929">
        <f>SUM(AU20:AV25)</f>
        <v>0</v>
      </c>
      <c r="BC25" s="4117">
        <f t="shared" si="6"/>
        <v>33609</v>
      </c>
      <c r="BD25" s="4117">
        <f t="shared" si="7"/>
        <v>0</v>
      </c>
    </row>
    <row r="26" spans="1:56" ht="51">
      <c r="A26" s="5966" t="s">
        <v>11139</v>
      </c>
      <c r="B26" s="827" t="s">
        <v>1724</v>
      </c>
      <c r="C26" s="828">
        <v>0</v>
      </c>
      <c r="D26" s="829">
        <v>41892</v>
      </c>
      <c r="E26" s="829" t="s">
        <v>6383</v>
      </c>
      <c r="F26" s="830">
        <v>41821</v>
      </c>
      <c r="G26" s="831">
        <v>1</v>
      </c>
      <c r="H26" s="832" t="s">
        <v>2493</v>
      </c>
      <c r="I26" s="833" t="s">
        <v>1433</v>
      </c>
      <c r="J26" s="834" t="s">
        <v>1434</v>
      </c>
      <c r="K26" s="835">
        <v>43352</v>
      </c>
      <c r="L26" s="833" t="s">
        <v>2494</v>
      </c>
      <c r="M26" s="834" t="s">
        <v>2323</v>
      </c>
      <c r="N26" s="833" t="s">
        <v>2495</v>
      </c>
      <c r="O26" s="832" t="s">
        <v>2496</v>
      </c>
      <c r="P26" s="836"/>
      <c r="Q26" s="834" t="s">
        <v>2497</v>
      </c>
      <c r="R26" s="834" t="s">
        <v>2498</v>
      </c>
      <c r="S26" s="837"/>
      <c r="T26" s="838">
        <v>1749</v>
      </c>
      <c r="U26" s="839">
        <v>0</v>
      </c>
      <c r="V26" s="840">
        <f t="shared" si="0"/>
        <v>1749</v>
      </c>
      <c r="W26" s="838">
        <v>309</v>
      </c>
      <c r="X26" s="839">
        <v>0</v>
      </c>
      <c r="Y26" s="840">
        <f t="shared" si="16"/>
        <v>309</v>
      </c>
      <c r="Z26" s="838">
        <v>600</v>
      </c>
      <c r="AA26" s="839">
        <v>0</v>
      </c>
      <c r="AB26" s="840">
        <f t="shared" si="2"/>
        <v>600</v>
      </c>
      <c r="AC26" s="823"/>
      <c r="AD26" s="824"/>
      <c r="AE26" s="825"/>
      <c r="AF26" s="823"/>
      <c r="AG26" s="824"/>
      <c r="AH26" s="825"/>
      <c r="AI26" s="841">
        <f t="shared" si="13"/>
        <v>2658</v>
      </c>
      <c r="AJ26" s="839">
        <f t="shared" si="14"/>
        <v>0</v>
      </c>
      <c r="AK26" s="3906">
        <v>0</v>
      </c>
      <c r="AL26" s="869">
        <f t="shared" si="15"/>
        <v>2658</v>
      </c>
      <c r="AM26" s="3369" t="s">
        <v>909</v>
      </c>
      <c r="AN26" s="3360">
        <v>41913</v>
      </c>
      <c r="AO26" s="3361">
        <v>1156190</v>
      </c>
      <c r="AP26" s="3362">
        <v>41821</v>
      </c>
      <c r="AQ26" s="3363">
        <v>1</v>
      </c>
      <c r="AR26" s="846">
        <v>1749</v>
      </c>
      <c r="AS26" s="847">
        <v>309</v>
      </c>
      <c r="AT26" s="847">
        <v>600</v>
      </c>
      <c r="AU26" s="848"/>
      <c r="AV26" s="848"/>
      <c r="AW26" s="2872">
        <f t="shared" si="5"/>
        <v>2658</v>
      </c>
      <c r="AX26" s="2891"/>
      <c r="BB26" s="267"/>
      <c r="BC26" s="4117">
        <f t="shared" si="6"/>
        <v>0</v>
      </c>
      <c r="BD26" s="4117">
        <f t="shared" si="7"/>
        <v>0</v>
      </c>
    </row>
    <row r="27" spans="1:56" ht="38.25">
      <c r="A27" s="5964" t="s">
        <v>11138</v>
      </c>
      <c r="B27" s="338">
        <v>455</v>
      </c>
      <c r="C27" s="321" t="s">
        <v>1432</v>
      </c>
      <c r="D27" s="323">
        <v>41465</v>
      </c>
      <c r="E27" s="3012" t="s">
        <v>6388</v>
      </c>
      <c r="F27" s="1203">
        <v>41334</v>
      </c>
      <c r="G27" s="1594">
        <v>102</v>
      </c>
      <c r="H27" s="332" t="s">
        <v>1555</v>
      </c>
      <c r="I27" s="339" t="s">
        <v>1433</v>
      </c>
      <c r="J27" s="322" t="s">
        <v>1434</v>
      </c>
      <c r="K27" s="340">
        <v>42925</v>
      </c>
      <c r="L27" s="339" t="s">
        <v>1554</v>
      </c>
      <c r="M27" s="322" t="s">
        <v>1827</v>
      </c>
      <c r="N27" s="339" t="s">
        <v>1556</v>
      </c>
      <c r="O27" s="332" t="s">
        <v>1689</v>
      </c>
      <c r="P27" s="345" t="s">
        <v>1763</v>
      </c>
      <c r="Q27" s="322" t="s">
        <v>1690</v>
      </c>
      <c r="R27" s="322" t="s">
        <v>1435</v>
      </c>
      <c r="S27" s="346"/>
      <c r="T27" s="347">
        <v>12091</v>
      </c>
      <c r="U27" s="326">
        <v>0</v>
      </c>
      <c r="V27" s="348">
        <f t="shared" si="0"/>
        <v>12091</v>
      </c>
      <c r="W27" s="347">
        <v>15114</v>
      </c>
      <c r="X27" s="326">
        <v>0</v>
      </c>
      <c r="Y27" s="348">
        <f t="shared" si="16"/>
        <v>15114</v>
      </c>
      <c r="Z27" s="347">
        <v>3023</v>
      </c>
      <c r="AA27" s="326">
        <v>0</v>
      </c>
      <c r="AB27" s="348">
        <f t="shared" si="2"/>
        <v>3023</v>
      </c>
      <c r="AC27" s="820">
        <v>7150</v>
      </c>
      <c r="AD27" s="821">
        <v>0</v>
      </c>
      <c r="AE27" s="822">
        <f t="shared" ref="AE27:AE37" si="19">AC27-AD27</f>
        <v>7150</v>
      </c>
      <c r="AF27" s="820">
        <v>10726</v>
      </c>
      <c r="AG27" s="821">
        <v>0</v>
      </c>
      <c r="AH27" s="822">
        <f t="shared" ref="AH27:AH37" si="20">AF27-AG27</f>
        <v>10726</v>
      </c>
      <c r="AI27" s="482">
        <f t="shared" si="13"/>
        <v>48104</v>
      </c>
      <c r="AJ27" s="326">
        <f t="shared" si="14"/>
        <v>0</v>
      </c>
      <c r="AK27" s="3899">
        <v>0</v>
      </c>
      <c r="AL27" s="349">
        <f t="shared" si="15"/>
        <v>48104</v>
      </c>
      <c r="AM27" s="3356" t="s">
        <v>2371</v>
      </c>
      <c r="AN27" s="3357">
        <v>41919</v>
      </c>
      <c r="AO27" s="695">
        <v>1156394</v>
      </c>
      <c r="AP27" s="2722">
        <v>41791</v>
      </c>
      <c r="AQ27" s="3358">
        <v>105.8</v>
      </c>
      <c r="AR27" s="333">
        <f>ROUND($AQ27/$G27*V27,0)</f>
        <v>12541</v>
      </c>
      <c r="AS27" s="330">
        <f t="shared" ref="AS27:AS43" si="21">ROUND($AQ27/$G27*Y27,0)</f>
        <v>15677</v>
      </c>
      <c r="AT27" s="330">
        <f t="shared" ref="AT27:AT32" si="22">ROUND($AQ27/$G27*AB27,0)</f>
        <v>3136</v>
      </c>
      <c r="AU27" s="849"/>
      <c r="AV27" s="849"/>
      <c r="AW27" s="2870">
        <f t="shared" si="5"/>
        <v>31354</v>
      </c>
      <c r="AX27" s="3140" t="s">
        <v>2550</v>
      </c>
      <c r="BB27" s="267"/>
      <c r="BC27" s="4117">
        <f t="shared" si="6"/>
        <v>0</v>
      </c>
      <c r="BD27" s="4117">
        <f t="shared" si="7"/>
        <v>0</v>
      </c>
    </row>
    <row r="28" spans="1:56" ht="63.75">
      <c r="A28" s="5964" t="s">
        <v>11138</v>
      </c>
      <c r="B28" s="338" t="s">
        <v>2486</v>
      </c>
      <c r="C28" s="321" t="s">
        <v>1432</v>
      </c>
      <c r="D28" s="323">
        <v>41625</v>
      </c>
      <c r="E28" s="3012" t="s">
        <v>6389</v>
      </c>
      <c r="F28" s="1203">
        <v>41518</v>
      </c>
      <c r="G28" s="1204">
        <v>103.8</v>
      </c>
      <c r="H28" s="332" t="s">
        <v>1586</v>
      </c>
      <c r="I28" s="339" t="s">
        <v>1433</v>
      </c>
      <c r="J28" s="322" t="s">
        <v>1434</v>
      </c>
      <c r="K28" s="340">
        <v>41624</v>
      </c>
      <c r="L28" s="339" t="s">
        <v>1818</v>
      </c>
      <c r="M28" s="322" t="s">
        <v>1810</v>
      </c>
      <c r="N28" s="339" t="s">
        <v>2488</v>
      </c>
      <c r="O28" s="332" t="s">
        <v>2491</v>
      </c>
      <c r="P28" s="930" t="s">
        <v>2484</v>
      </c>
      <c r="Q28" s="322" t="s">
        <v>2388</v>
      </c>
      <c r="R28" s="322" t="s">
        <v>1448</v>
      </c>
      <c r="S28" s="346"/>
      <c r="T28" s="347">
        <v>3303</v>
      </c>
      <c r="U28" s="326">
        <v>0</v>
      </c>
      <c r="V28" s="348">
        <f t="shared" si="0"/>
        <v>3303</v>
      </c>
      <c r="W28" s="347">
        <v>583</v>
      </c>
      <c r="X28" s="326">
        <v>0</v>
      </c>
      <c r="Y28" s="348">
        <f t="shared" si="16"/>
        <v>583</v>
      </c>
      <c r="Z28" s="347">
        <v>240</v>
      </c>
      <c r="AA28" s="326">
        <v>0</v>
      </c>
      <c r="AB28" s="348">
        <f t="shared" si="2"/>
        <v>240</v>
      </c>
      <c r="AC28" s="820">
        <v>0</v>
      </c>
      <c r="AD28" s="821">
        <v>0</v>
      </c>
      <c r="AE28" s="822">
        <f t="shared" si="19"/>
        <v>0</v>
      </c>
      <c r="AF28" s="820">
        <v>0</v>
      </c>
      <c r="AG28" s="821">
        <v>0</v>
      </c>
      <c r="AH28" s="822">
        <f t="shared" si="20"/>
        <v>0</v>
      </c>
      <c r="AI28" s="482">
        <f t="shared" si="13"/>
        <v>4126</v>
      </c>
      <c r="AJ28" s="326">
        <f t="shared" si="14"/>
        <v>0</v>
      </c>
      <c r="AK28" s="3899">
        <v>0</v>
      </c>
      <c r="AL28" s="349">
        <f t="shared" si="15"/>
        <v>4126</v>
      </c>
      <c r="AM28" s="3356" t="s">
        <v>2594</v>
      </c>
      <c r="AN28" s="3357">
        <v>41920</v>
      </c>
      <c r="AO28" s="695">
        <v>1156486</v>
      </c>
      <c r="AP28" s="2722">
        <v>41334</v>
      </c>
      <c r="AQ28" s="3358">
        <v>103.8</v>
      </c>
      <c r="AR28" s="333">
        <f>ROUND($AQ28/$G28*V28,0)</f>
        <v>3303</v>
      </c>
      <c r="AS28" s="330">
        <f t="shared" si="21"/>
        <v>583</v>
      </c>
      <c r="AT28" s="330">
        <f t="shared" si="22"/>
        <v>240</v>
      </c>
      <c r="AU28" s="849">
        <f>ROUND($AQ28/$G28*AE28,0)</f>
        <v>0</v>
      </c>
      <c r="AV28" s="849">
        <f>ROUND($AQ28/$G28*AH28,0)</f>
        <v>0</v>
      </c>
      <c r="AW28" s="2870">
        <f t="shared" si="5"/>
        <v>4126</v>
      </c>
      <c r="AX28" s="3140" t="s">
        <v>1728</v>
      </c>
      <c r="BB28" s="267"/>
      <c r="BC28" s="4117">
        <f t="shared" si="6"/>
        <v>0</v>
      </c>
      <c r="BD28" s="4117">
        <f t="shared" si="7"/>
        <v>0</v>
      </c>
    </row>
    <row r="29" spans="1:56" ht="64.5" thickBot="1">
      <c r="A29" s="5976" t="s">
        <v>11138</v>
      </c>
      <c r="B29" s="581">
        <v>350</v>
      </c>
      <c r="C29" s="582" t="s">
        <v>1439</v>
      </c>
      <c r="D29" s="583">
        <v>41550</v>
      </c>
      <c r="E29" s="2992" t="s">
        <v>6389</v>
      </c>
      <c r="F29" s="3120">
        <v>41426</v>
      </c>
      <c r="G29" s="3122">
        <v>102.5</v>
      </c>
      <c r="H29" s="586" t="s">
        <v>1538</v>
      </c>
      <c r="I29" s="587" t="s">
        <v>1433</v>
      </c>
      <c r="J29" s="588" t="s">
        <v>1434</v>
      </c>
      <c r="K29" s="589">
        <v>42802</v>
      </c>
      <c r="L29" s="587" t="s">
        <v>1537</v>
      </c>
      <c r="M29" s="588" t="s">
        <v>1833</v>
      </c>
      <c r="N29" s="587" t="s">
        <v>1539</v>
      </c>
      <c r="O29" s="586" t="s">
        <v>1675</v>
      </c>
      <c r="P29" s="590" t="s">
        <v>1762</v>
      </c>
      <c r="Q29" s="588" t="s">
        <v>1674</v>
      </c>
      <c r="R29" s="588" t="s">
        <v>1435</v>
      </c>
      <c r="S29" s="591"/>
      <c r="T29" s="592">
        <v>8040</v>
      </c>
      <c r="U29" s="593">
        <v>0</v>
      </c>
      <c r="V29" s="594">
        <f t="shared" si="0"/>
        <v>8040</v>
      </c>
      <c r="W29" s="592">
        <v>13400</v>
      </c>
      <c r="X29" s="593">
        <v>0</v>
      </c>
      <c r="Y29" s="594">
        <f t="shared" si="16"/>
        <v>13400</v>
      </c>
      <c r="Z29" s="592">
        <v>5360</v>
      </c>
      <c r="AA29" s="593">
        <v>0</v>
      </c>
      <c r="AB29" s="594">
        <f t="shared" si="2"/>
        <v>5360</v>
      </c>
      <c r="AC29" s="903">
        <v>7784</v>
      </c>
      <c r="AD29" s="904">
        <v>0</v>
      </c>
      <c r="AE29" s="905">
        <f t="shared" si="19"/>
        <v>7784</v>
      </c>
      <c r="AF29" s="903">
        <v>11676</v>
      </c>
      <c r="AG29" s="904">
        <v>0</v>
      </c>
      <c r="AH29" s="905">
        <f t="shared" si="20"/>
        <v>11676</v>
      </c>
      <c r="AI29" s="595">
        <f t="shared" si="13"/>
        <v>46260</v>
      </c>
      <c r="AJ29" s="593">
        <f t="shared" si="14"/>
        <v>0</v>
      </c>
      <c r="AK29" s="3903">
        <v>0</v>
      </c>
      <c r="AL29" s="596">
        <f t="shared" si="15"/>
        <v>46260</v>
      </c>
      <c r="AM29" s="3350" t="s">
        <v>2594</v>
      </c>
      <c r="AN29" s="3351">
        <v>41928</v>
      </c>
      <c r="AO29" s="3352">
        <v>1156900</v>
      </c>
      <c r="AP29" s="3353">
        <v>41791</v>
      </c>
      <c r="AQ29" s="3354">
        <v>105.8</v>
      </c>
      <c r="AR29" s="597">
        <f>ROUND($AQ29/$G29*V29,0)</f>
        <v>8299</v>
      </c>
      <c r="AS29" s="598">
        <f t="shared" si="21"/>
        <v>13831</v>
      </c>
      <c r="AT29" s="598">
        <f t="shared" si="22"/>
        <v>5533</v>
      </c>
      <c r="AU29" s="906"/>
      <c r="AV29" s="906"/>
      <c r="AW29" s="2869">
        <f t="shared" si="5"/>
        <v>27663</v>
      </c>
      <c r="AX29" s="2890" t="s">
        <v>2550</v>
      </c>
      <c r="AY29" s="764" t="s">
        <v>2549</v>
      </c>
      <c r="AZ29" s="882">
        <f>SUM(AW26:AW29)</f>
        <v>65801</v>
      </c>
      <c r="BA29" s="883">
        <f>AZ29-BB29</f>
        <v>65801</v>
      </c>
      <c r="BB29" s="884">
        <f>SUM(AU26:AV29)</f>
        <v>0</v>
      </c>
      <c r="BC29" s="4117">
        <f t="shared" si="6"/>
        <v>0</v>
      </c>
      <c r="BD29" s="4117">
        <f t="shared" si="7"/>
        <v>0</v>
      </c>
    </row>
    <row r="30" spans="1:56" ht="51">
      <c r="A30" s="5968" t="s">
        <v>11138</v>
      </c>
      <c r="B30" s="546" t="s">
        <v>2669</v>
      </c>
      <c r="C30" s="547" t="s">
        <v>1432</v>
      </c>
      <c r="D30" s="548">
        <v>40738</v>
      </c>
      <c r="E30" s="548" t="s">
        <v>6391</v>
      </c>
      <c r="F30" s="3116">
        <v>40603</v>
      </c>
      <c r="G30" s="3117">
        <v>98.6</v>
      </c>
      <c r="H30" s="550" t="s">
        <v>1452</v>
      </c>
      <c r="I30" s="551" t="s">
        <v>1436</v>
      </c>
      <c r="J30" s="552" t="s">
        <v>1437</v>
      </c>
      <c r="K30" s="553">
        <v>42199</v>
      </c>
      <c r="L30" s="551" t="s">
        <v>1798</v>
      </c>
      <c r="M30" s="552" t="s">
        <v>1799</v>
      </c>
      <c r="N30" s="551" t="s">
        <v>1453</v>
      </c>
      <c r="O30" s="550" t="s">
        <v>1624</v>
      </c>
      <c r="P30" s="554"/>
      <c r="Q30" s="552" t="s">
        <v>1622</v>
      </c>
      <c r="R30" s="552" t="s">
        <v>1438</v>
      </c>
      <c r="S30" s="555"/>
      <c r="T30" s="556">
        <v>4860</v>
      </c>
      <c r="U30" s="557">
        <v>0</v>
      </c>
      <c r="V30" s="558">
        <f t="shared" si="0"/>
        <v>4860</v>
      </c>
      <c r="W30" s="556">
        <v>8100</v>
      </c>
      <c r="X30" s="557">
        <v>0</v>
      </c>
      <c r="Y30" s="558">
        <f t="shared" si="16"/>
        <v>8100</v>
      </c>
      <c r="Z30" s="556">
        <v>3240</v>
      </c>
      <c r="AA30" s="557">
        <v>0</v>
      </c>
      <c r="AB30" s="558">
        <f t="shared" si="2"/>
        <v>3240</v>
      </c>
      <c r="AC30" s="823">
        <v>0</v>
      </c>
      <c r="AD30" s="824">
        <v>0</v>
      </c>
      <c r="AE30" s="825">
        <f t="shared" si="19"/>
        <v>0</v>
      </c>
      <c r="AF30" s="823">
        <v>0</v>
      </c>
      <c r="AG30" s="824">
        <v>0</v>
      </c>
      <c r="AH30" s="825">
        <f t="shared" si="20"/>
        <v>0</v>
      </c>
      <c r="AI30" s="559">
        <f t="shared" si="13"/>
        <v>16200</v>
      </c>
      <c r="AJ30" s="557">
        <f t="shared" si="14"/>
        <v>0</v>
      </c>
      <c r="AK30" s="3900">
        <v>0</v>
      </c>
      <c r="AL30" s="561">
        <f t="shared" si="15"/>
        <v>16200</v>
      </c>
      <c r="AM30" s="3340" t="s">
        <v>2665</v>
      </c>
      <c r="AN30" s="3355" t="s">
        <v>2666</v>
      </c>
      <c r="AO30" s="3370" t="s">
        <v>2667</v>
      </c>
      <c r="AP30" s="3371">
        <v>41883</v>
      </c>
      <c r="AQ30" s="3372">
        <v>106.5</v>
      </c>
      <c r="AR30" s="562">
        <f>5000+249</f>
        <v>5249</v>
      </c>
      <c r="AS30" s="925">
        <f t="shared" si="21"/>
        <v>8749</v>
      </c>
      <c r="AT30" s="925">
        <f t="shared" si="22"/>
        <v>3500</v>
      </c>
      <c r="AU30" s="848"/>
      <c r="AV30" s="848"/>
      <c r="AW30" s="2866">
        <f t="shared" si="5"/>
        <v>17498</v>
      </c>
      <c r="AX30" s="2887" t="s">
        <v>2668</v>
      </c>
      <c r="BB30" s="267"/>
      <c r="BC30" s="4117">
        <f t="shared" si="6"/>
        <v>0</v>
      </c>
      <c r="BD30" s="4117">
        <f t="shared" si="7"/>
        <v>0</v>
      </c>
    </row>
    <row r="31" spans="1:56" ht="51">
      <c r="A31" s="5973" t="s">
        <v>11138</v>
      </c>
      <c r="B31" s="908" t="s">
        <v>1717</v>
      </c>
      <c r="C31" s="909">
        <v>0</v>
      </c>
      <c r="D31" s="910">
        <v>41794</v>
      </c>
      <c r="E31" s="3044" t="s">
        <v>6383</v>
      </c>
      <c r="F31" s="1914">
        <v>41699</v>
      </c>
      <c r="G31" s="1722">
        <v>105.2</v>
      </c>
      <c r="H31" s="913" t="s">
        <v>2129</v>
      </c>
      <c r="I31" s="914" t="s">
        <v>1330</v>
      </c>
      <c r="J31" s="915" t="s">
        <v>1445</v>
      </c>
      <c r="K31" s="916">
        <v>42513</v>
      </c>
      <c r="L31" s="914" t="s">
        <v>1169</v>
      </c>
      <c r="M31" s="915" t="s">
        <v>2131</v>
      </c>
      <c r="N31" s="914" t="s">
        <v>2132</v>
      </c>
      <c r="O31" s="913" t="s">
        <v>2133</v>
      </c>
      <c r="P31" s="1018" t="s">
        <v>2137</v>
      </c>
      <c r="Q31" s="915" t="s">
        <v>2134</v>
      </c>
      <c r="R31" s="915" t="s">
        <v>1052</v>
      </c>
      <c r="S31" s="918"/>
      <c r="T31" s="919">
        <v>447</v>
      </c>
      <c r="U31" s="920">
        <v>0</v>
      </c>
      <c r="V31" s="921">
        <f t="shared" si="0"/>
        <v>447</v>
      </c>
      <c r="W31" s="919">
        <v>0</v>
      </c>
      <c r="X31" s="920">
        <v>0</v>
      </c>
      <c r="Y31" s="921">
        <f t="shared" si="16"/>
        <v>0</v>
      </c>
      <c r="Z31" s="919">
        <v>1255</v>
      </c>
      <c r="AA31" s="920">
        <v>0</v>
      </c>
      <c r="AB31" s="921">
        <f t="shared" si="2"/>
        <v>1255</v>
      </c>
      <c r="AC31" s="820">
        <v>0</v>
      </c>
      <c r="AD31" s="821">
        <v>0</v>
      </c>
      <c r="AE31" s="822">
        <f t="shared" si="19"/>
        <v>0</v>
      </c>
      <c r="AF31" s="820">
        <v>0</v>
      </c>
      <c r="AG31" s="821">
        <v>0</v>
      </c>
      <c r="AH31" s="822">
        <f t="shared" si="20"/>
        <v>0</v>
      </c>
      <c r="AI31" s="922">
        <f t="shared" si="13"/>
        <v>1702</v>
      </c>
      <c r="AJ31" s="920">
        <f t="shared" si="14"/>
        <v>0</v>
      </c>
      <c r="AK31" s="3907">
        <v>0</v>
      </c>
      <c r="AL31" s="923">
        <f t="shared" si="15"/>
        <v>1702</v>
      </c>
      <c r="AM31" s="1605" t="s">
        <v>2594</v>
      </c>
      <c r="AN31" s="3364">
        <v>41955</v>
      </c>
      <c r="AO31" s="3365">
        <v>1157822</v>
      </c>
      <c r="AP31" s="3366">
        <v>41883</v>
      </c>
      <c r="AQ31" s="3367">
        <v>106.5</v>
      </c>
      <c r="AR31" s="924">
        <f t="shared" ref="AR31:AR43" si="23">ROUND($AQ31/$G31*V31,0)</f>
        <v>453</v>
      </c>
      <c r="AS31" s="925">
        <f t="shared" si="21"/>
        <v>0</v>
      </c>
      <c r="AT31" s="925">
        <f t="shared" si="22"/>
        <v>1271</v>
      </c>
      <c r="AU31" s="849"/>
      <c r="AV31" s="849"/>
      <c r="AW31" s="2874">
        <f t="shared" si="5"/>
        <v>1724</v>
      </c>
      <c r="AX31" s="3143"/>
      <c r="BB31" s="267"/>
      <c r="BC31" s="4117">
        <f t="shared" si="6"/>
        <v>0</v>
      </c>
      <c r="BD31" s="4117">
        <f t="shared" si="7"/>
        <v>0</v>
      </c>
    </row>
    <row r="32" spans="1:56" ht="51">
      <c r="A32" s="5973" t="s">
        <v>11138</v>
      </c>
      <c r="B32" s="908" t="s">
        <v>1718</v>
      </c>
      <c r="C32" s="909">
        <v>0</v>
      </c>
      <c r="D32" s="910">
        <v>41794</v>
      </c>
      <c r="E32" s="3044" t="s">
        <v>6383</v>
      </c>
      <c r="F32" s="1914">
        <v>41699</v>
      </c>
      <c r="G32" s="1722">
        <v>105.2</v>
      </c>
      <c r="H32" s="913" t="s">
        <v>2130</v>
      </c>
      <c r="I32" s="914" t="s">
        <v>1330</v>
      </c>
      <c r="J32" s="915" t="s">
        <v>1445</v>
      </c>
      <c r="K32" s="916">
        <v>42513</v>
      </c>
      <c r="L32" s="914" t="s">
        <v>1169</v>
      </c>
      <c r="M32" s="915" t="s">
        <v>2131</v>
      </c>
      <c r="N32" s="914" t="s">
        <v>2186</v>
      </c>
      <c r="O32" s="913" t="s">
        <v>2185</v>
      </c>
      <c r="P32" s="1018" t="s">
        <v>2138</v>
      </c>
      <c r="Q32" s="915" t="s">
        <v>2134</v>
      </c>
      <c r="R32" s="915" t="s">
        <v>1052</v>
      </c>
      <c r="S32" s="918"/>
      <c r="T32" s="919">
        <v>447</v>
      </c>
      <c r="U32" s="920">
        <v>0</v>
      </c>
      <c r="V32" s="921">
        <f t="shared" si="0"/>
        <v>447</v>
      </c>
      <c r="W32" s="919">
        <v>0</v>
      </c>
      <c r="X32" s="920">
        <v>0</v>
      </c>
      <c r="Y32" s="921">
        <f t="shared" si="16"/>
        <v>0</v>
      </c>
      <c r="Z32" s="919">
        <v>1255</v>
      </c>
      <c r="AA32" s="920">
        <v>0</v>
      </c>
      <c r="AB32" s="921">
        <f t="shared" si="2"/>
        <v>1255</v>
      </c>
      <c r="AC32" s="820">
        <v>0</v>
      </c>
      <c r="AD32" s="821">
        <v>0</v>
      </c>
      <c r="AE32" s="822">
        <f t="shared" si="19"/>
        <v>0</v>
      </c>
      <c r="AF32" s="820">
        <v>0</v>
      </c>
      <c r="AG32" s="821">
        <v>0</v>
      </c>
      <c r="AH32" s="822">
        <f t="shared" si="20"/>
        <v>0</v>
      </c>
      <c r="AI32" s="922">
        <f t="shared" si="13"/>
        <v>1702</v>
      </c>
      <c r="AJ32" s="920">
        <f t="shared" si="14"/>
        <v>0</v>
      </c>
      <c r="AK32" s="3907">
        <v>0</v>
      </c>
      <c r="AL32" s="923">
        <f t="shared" si="15"/>
        <v>1702</v>
      </c>
      <c r="AM32" s="1605" t="s">
        <v>2594</v>
      </c>
      <c r="AN32" s="3364">
        <v>41955</v>
      </c>
      <c r="AO32" s="3365">
        <v>1157822</v>
      </c>
      <c r="AP32" s="3366">
        <v>41883</v>
      </c>
      <c r="AQ32" s="3367">
        <v>106.5</v>
      </c>
      <c r="AR32" s="924">
        <f t="shared" si="23"/>
        <v>453</v>
      </c>
      <c r="AS32" s="925">
        <f t="shared" si="21"/>
        <v>0</v>
      </c>
      <c r="AT32" s="925">
        <f t="shared" si="22"/>
        <v>1271</v>
      </c>
      <c r="AU32" s="849"/>
      <c r="AV32" s="849"/>
      <c r="AW32" s="2874">
        <f t="shared" si="5"/>
        <v>1724</v>
      </c>
      <c r="AX32" s="3143"/>
      <c r="BC32" s="4117">
        <f t="shared" si="6"/>
        <v>0</v>
      </c>
      <c r="BD32" s="4117">
        <f t="shared" si="7"/>
        <v>0</v>
      </c>
    </row>
    <row r="33" spans="1:56" ht="64.5" thickBot="1">
      <c r="A33" s="5975" t="s">
        <v>11138</v>
      </c>
      <c r="B33" s="494" t="s">
        <v>2686</v>
      </c>
      <c r="C33" s="495" t="s">
        <v>1432</v>
      </c>
      <c r="D33" s="496">
        <v>41234</v>
      </c>
      <c r="E33" s="3042" t="s">
        <v>6393</v>
      </c>
      <c r="F33" s="3118">
        <v>41153</v>
      </c>
      <c r="G33" s="3121">
        <v>101.6</v>
      </c>
      <c r="H33" s="498" t="s">
        <v>1528</v>
      </c>
      <c r="I33" s="499" t="s">
        <v>1330</v>
      </c>
      <c r="J33" s="500" t="s">
        <v>1445</v>
      </c>
      <c r="K33" s="501">
        <v>41964</v>
      </c>
      <c r="L33" s="499" t="s">
        <v>1527</v>
      </c>
      <c r="M33" s="500" t="s">
        <v>1838</v>
      </c>
      <c r="N33" s="499" t="s">
        <v>1529</v>
      </c>
      <c r="O33" s="498" t="s">
        <v>1664</v>
      </c>
      <c r="P33" s="502" t="s">
        <v>2900</v>
      </c>
      <c r="Q33" s="500" t="s">
        <v>1665</v>
      </c>
      <c r="R33" s="500" t="s">
        <v>1530</v>
      </c>
      <c r="S33" s="503"/>
      <c r="T33" s="504">
        <v>0</v>
      </c>
      <c r="U33" s="505">
        <v>0</v>
      </c>
      <c r="V33" s="506">
        <f t="shared" si="0"/>
        <v>0</v>
      </c>
      <c r="W33" s="504">
        <v>0</v>
      </c>
      <c r="X33" s="505">
        <v>0</v>
      </c>
      <c r="Y33" s="506">
        <f t="shared" si="16"/>
        <v>0</v>
      </c>
      <c r="Z33" s="504">
        <v>12660</v>
      </c>
      <c r="AA33" s="505">
        <v>0</v>
      </c>
      <c r="AB33" s="506">
        <f t="shared" si="2"/>
        <v>12660</v>
      </c>
      <c r="AC33" s="903">
        <v>0</v>
      </c>
      <c r="AD33" s="904">
        <v>0</v>
      </c>
      <c r="AE33" s="905">
        <f t="shared" si="19"/>
        <v>0</v>
      </c>
      <c r="AF33" s="903">
        <v>0</v>
      </c>
      <c r="AG33" s="904">
        <v>0</v>
      </c>
      <c r="AH33" s="905">
        <f t="shared" si="20"/>
        <v>0</v>
      </c>
      <c r="AI33" s="669">
        <f t="shared" si="13"/>
        <v>12660</v>
      </c>
      <c r="AJ33" s="505">
        <f t="shared" si="14"/>
        <v>0</v>
      </c>
      <c r="AK33" s="3901">
        <v>0</v>
      </c>
      <c r="AL33" s="507">
        <f t="shared" si="15"/>
        <v>12660</v>
      </c>
      <c r="AM33" s="3341" t="s">
        <v>2594</v>
      </c>
      <c r="AN33" s="3342">
        <v>41962</v>
      </c>
      <c r="AO33" s="3343">
        <v>1158069</v>
      </c>
      <c r="AP33" s="3344" t="s">
        <v>2671</v>
      </c>
      <c r="AQ33" s="3345"/>
      <c r="AR33" s="508">
        <f t="shared" si="23"/>
        <v>0</v>
      </c>
      <c r="AS33" s="509">
        <f t="shared" si="21"/>
        <v>0</v>
      </c>
      <c r="AT33" s="509">
        <v>13484</v>
      </c>
      <c r="AU33" s="906"/>
      <c r="AV33" s="906"/>
      <c r="AW33" s="2867">
        <f t="shared" si="5"/>
        <v>13484</v>
      </c>
      <c r="AX33" s="2888" t="s">
        <v>2687</v>
      </c>
      <c r="AY33" s="743" t="s">
        <v>2664</v>
      </c>
      <c r="AZ33" s="927">
        <f>SUM(AW30:AW33)</f>
        <v>34430</v>
      </c>
      <c r="BA33" s="928">
        <f>AZ33-BB33</f>
        <v>34430</v>
      </c>
      <c r="BB33" s="929">
        <f>SUM(AU30:AV33)</f>
        <v>0</v>
      </c>
      <c r="BC33" s="4117">
        <f t="shared" si="6"/>
        <v>0</v>
      </c>
      <c r="BD33" s="4117">
        <f t="shared" si="7"/>
        <v>0</v>
      </c>
    </row>
    <row r="34" spans="1:56" ht="26.25" thickBot="1">
      <c r="A34" s="5976" t="s">
        <v>11138</v>
      </c>
      <c r="B34" s="1124">
        <v>539</v>
      </c>
      <c r="C34" s="1125" t="s">
        <v>1432</v>
      </c>
      <c r="D34" s="1126">
        <v>41572</v>
      </c>
      <c r="E34" s="1126" t="s">
        <v>6389</v>
      </c>
      <c r="F34" s="3126">
        <v>41518</v>
      </c>
      <c r="G34" s="3127">
        <v>103.8</v>
      </c>
      <c r="H34" s="1128" t="s">
        <v>1570</v>
      </c>
      <c r="I34" s="1129" t="s">
        <v>1436</v>
      </c>
      <c r="J34" s="1130" t="s">
        <v>1437</v>
      </c>
      <c r="K34" s="1131">
        <v>43032</v>
      </c>
      <c r="L34" s="1129" t="s">
        <v>1183</v>
      </c>
      <c r="M34" s="1130" t="s">
        <v>1825</v>
      </c>
      <c r="N34" s="1129" t="s">
        <v>1569</v>
      </c>
      <c r="O34" s="1128" t="s">
        <v>1696</v>
      </c>
      <c r="P34" s="1132"/>
      <c r="Q34" s="1130" t="s">
        <v>1697</v>
      </c>
      <c r="R34" s="1130" t="s">
        <v>1435</v>
      </c>
      <c r="S34" s="1133"/>
      <c r="T34" s="1134">
        <v>49875</v>
      </c>
      <c r="U34" s="1135">
        <v>0</v>
      </c>
      <c r="V34" s="1136">
        <f t="shared" si="0"/>
        <v>49875</v>
      </c>
      <c r="W34" s="1134">
        <v>62343</v>
      </c>
      <c r="X34" s="1135">
        <v>0</v>
      </c>
      <c r="Y34" s="1136">
        <f t="shared" si="16"/>
        <v>62343</v>
      </c>
      <c r="Z34" s="1134">
        <v>12469</v>
      </c>
      <c r="AA34" s="1135">
        <v>0</v>
      </c>
      <c r="AB34" s="1136">
        <f t="shared" si="2"/>
        <v>12469</v>
      </c>
      <c r="AC34" s="1137">
        <v>29712</v>
      </c>
      <c r="AD34" s="1138">
        <v>0</v>
      </c>
      <c r="AE34" s="1139">
        <f t="shared" si="19"/>
        <v>29712</v>
      </c>
      <c r="AF34" s="1137">
        <v>44569</v>
      </c>
      <c r="AG34" s="1138">
        <v>0</v>
      </c>
      <c r="AH34" s="1139">
        <f t="shared" si="20"/>
        <v>44569</v>
      </c>
      <c r="AI34" s="1140">
        <f t="shared" si="13"/>
        <v>198968</v>
      </c>
      <c r="AJ34" s="1135">
        <f t="shared" si="14"/>
        <v>0</v>
      </c>
      <c r="AK34" s="3908">
        <v>0</v>
      </c>
      <c r="AL34" s="1141">
        <f t="shared" si="15"/>
        <v>198968</v>
      </c>
      <c r="AM34" s="3373" t="s">
        <v>2594</v>
      </c>
      <c r="AN34" s="3374">
        <v>41982</v>
      </c>
      <c r="AO34" s="3375">
        <v>1158725</v>
      </c>
      <c r="AP34" s="3376">
        <v>41883</v>
      </c>
      <c r="AQ34" s="3377">
        <v>106.5</v>
      </c>
      <c r="AR34" s="1142">
        <f t="shared" si="23"/>
        <v>51172</v>
      </c>
      <c r="AS34" s="1143">
        <f t="shared" si="21"/>
        <v>63965</v>
      </c>
      <c r="AT34" s="1143">
        <f t="shared" ref="AT34:AT43" si="24">ROUND($AQ34/$G34*AB34,0)</f>
        <v>12793</v>
      </c>
      <c r="AU34" s="1144"/>
      <c r="AV34" s="1144"/>
      <c r="AW34" s="2875">
        <f t="shared" si="5"/>
        <v>127930</v>
      </c>
      <c r="AX34" s="2892" t="s">
        <v>1728</v>
      </c>
      <c r="AY34" s="764" t="s">
        <v>2716</v>
      </c>
      <c r="AZ34" s="882">
        <f>SUM(AW34)</f>
        <v>127930</v>
      </c>
      <c r="BA34" s="883">
        <f>AZ34-BB34</f>
        <v>127930</v>
      </c>
      <c r="BB34" s="884">
        <f>SUM(AU34:AV34)</f>
        <v>0</v>
      </c>
      <c r="BC34" s="4117">
        <f t="shared" si="6"/>
        <v>0</v>
      </c>
      <c r="BD34" s="4117">
        <f t="shared" si="7"/>
        <v>0</v>
      </c>
    </row>
    <row r="35" spans="1:56" ht="51.75" thickBot="1">
      <c r="A35" s="5975" t="s">
        <v>11138</v>
      </c>
      <c r="B35" s="1189" t="s">
        <v>1714</v>
      </c>
      <c r="C35" s="1190">
        <v>0</v>
      </c>
      <c r="D35" s="1191">
        <v>41764</v>
      </c>
      <c r="E35" s="1191" t="s">
        <v>6383</v>
      </c>
      <c r="F35" s="872">
        <v>41699</v>
      </c>
      <c r="G35" s="3128">
        <v>105.2</v>
      </c>
      <c r="H35" s="1192" t="s">
        <v>2041</v>
      </c>
      <c r="I35" s="1193" t="s">
        <v>1433</v>
      </c>
      <c r="J35" s="1194" t="s">
        <v>1434</v>
      </c>
      <c r="K35" s="1195">
        <v>43225</v>
      </c>
      <c r="L35" s="1193" t="s">
        <v>2045</v>
      </c>
      <c r="M35" s="1194" t="s">
        <v>2046</v>
      </c>
      <c r="N35" s="1193" t="s">
        <v>2042</v>
      </c>
      <c r="O35" s="1192" t="s">
        <v>2043</v>
      </c>
      <c r="P35" s="1196"/>
      <c r="Q35" s="1194" t="s">
        <v>2044</v>
      </c>
      <c r="R35" s="1194" t="s">
        <v>1100</v>
      </c>
      <c r="S35" s="1197"/>
      <c r="T35" s="1198">
        <v>5463</v>
      </c>
      <c r="U35" s="873">
        <v>0</v>
      </c>
      <c r="V35" s="1199">
        <f t="shared" si="0"/>
        <v>5463</v>
      </c>
      <c r="W35" s="1198">
        <v>6828</v>
      </c>
      <c r="X35" s="873">
        <v>0</v>
      </c>
      <c r="Y35" s="1199">
        <f t="shared" si="16"/>
        <v>6828</v>
      </c>
      <c r="Z35" s="1198">
        <v>1366</v>
      </c>
      <c r="AA35" s="873">
        <v>0</v>
      </c>
      <c r="AB35" s="1199">
        <f t="shared" si="2"/>
        <v>1366</v>
      </c>
      <c r="AC35" s="1137">
        <v>3073</v>
      </c>
      <c r="AD35" s="1138">
        <v>0</v>
      </c>
      <c r="AE35" s="1139">
        <f t="shared" si="19"/>
        <v>3073</v>
      </c>
      <c r="AF35" s="1137">
        <v>4609</v>
      </c>
      <c r="AG35" s="1138">
        <v>0</v>
      </c>
      <c r="AH35" s="1139">
        <f t="shared" si="20"/>
        <v>4609</v>
      </c>
      <c r="AI35" s="1200">
        <f t="shared" si="13"/>
        <v>21339</v>
      </c>
      <c r="AJ35" s="873">
        <f t="shared" si="14"/>
        <v>0</v>
      </c>
      <c r="AK35" s="3909">
        <v>0</v>
      </c>
      <c r="AL35" s="1201">
        <f t="shared" si="15"/>
        <v>21339</v>
      </c>
      <c r="AM35" s="3378" t="s">
        <v>2594</v>
      </c>
      <c r="AN35" s="3379">
        <v>42027</v>
      </c>
      <c r="AO35" s="3380">
        <v>1159846</v>
      </c>
      <c r="AP35" s="3381">
        <v>41883</v>
      </c>
      <c r="AQ35" s="3382">
        <v>106.5</v>
      </c>
      <c r="AR35" s="874">
        <f t="shared" si="23"/>
        <v>5531</v>
      </c>
      <c r="AS35" s="875">
        <f t="shared" si="21"/>
        <v>6912</v>
      </c>
      <c r="AT35" s="875">
        <f t="shared" si="24"/>
        <v>1383</v>
      </c>
      <c r="AU35" s="1144"/>
      <c r="AV35" s="1144"/>
      <c r="AW35" s="2871">
        <f t="shared" si="5"/>
        <v>13826</v>
      </c>
      <c r="AX35" s="2893"/>
      <c r="AY35" s="899" t="s">
        <v>2838</v>
      </c>
      <c r="AZ35" s="900">
        <f>SUM(AW35)</f>
        <v>13826</v>
      </c>
      <c r="BA35" s="901">
        <f>AZ35-BB35</f>
        <v>13826</v>
      </c>
      <c r="BB35" s="902">
        <f>SUM(AU35:AV35)</f>
        <v>0</v>
      </c>
      <c r="BC35" s="4117">
        <f t="shared" si="6"/>
        <v>0</v>
      </c>
      <c r="BD35" s="4117">
        <f t="shared" si="7"/>
        <v>0</v>
      </c>
    </row>
    <row r="36" spans="1:56" ht="38.25">
      <c r="A36" s="5967" t="s">
        <v>11138</v>
      </c>
      <c r="B36" s="338">
        <v>475</v>
      </c>
      <c r="C36" s="321" t="s">
        <v>1432</v>
      </c>
      <c r="D36" s="323">
        <v>41494</v>
      </c>
      <c r="E36" s="3012" t="s">
        <v>6390</v>
      </c>
      <c r="F36" s="1203">
        <v>41426</v>
      </c>
      <c r="G36" s="1204">
        <v>102.5</v>
      </c>
      <c r="H36" s="332" t="s">
        <v>1589</v>
      </c>
      <c r="I36" s="339" t="s">
        <v>1436</v>
      </c>
      <c r="J36" s="322" t="s">
        <v>1437</v>
      </c>
      <c r="K36" s="340">
        <v>42952</v>
      </c>
      <c r="L36" s="339" t="s">
        <v>1806</v>
      </c>
      <c r="M36" s="322" t="s">
        <v>1799</v>
      </c>
      <c r="N36" s="339" t="s">
        <v>1590</v>
      </c>
      <c r="O36" s="332" t="s">
        <v>1694</v>
      </c>
      <c r="P36" s="345"/>
      <c r="Q36" s="322" t="s">
        <v>1442</v>
      </c>
      <c r="R36" s="322" t="s">
        <v>1435</v>
      </c>
      <c r="S36" s="346"/>
      <c r="T36" s="347">
        <v>6736</v>
      </c>
      <c r="U36" s="326">
        <v>0</v>
      </c>
      <c r="V36" s="348">
        <f t="shared" si="0"/>
        <v>6736</v>
      </c>
      <c r="W36" s="347">
        <v>8420</v>
      </c>
      <c r="X36" s="326">
        <v>0</v>
      </c>
      <c r="Y36" s="348">
        <f t="shared" si="16"/>
        <v>8420</v>
      </c>
      <c r="Z36" s="347">
        <v>1684</v>
      </c>
      <c r="AA36" s="326">
        <v>0</v>
      </c>
      <c r="AB36" s="348">
        <f t="shared" si="2"/>
        <v>1684</v>
      </c>
      <c r="AC36" s="820">
        <v>0</v>
      </c>
      <c r="AD36" s="821">
        <v>0</v>
      </c>
      <c r="AE36" s="822">
        <f t="shared" si="19"/>
        <v>0</v>
      </c>
      <c r="AF36" s="820">
        <v>0</v>
      </c>
      <c r="AG36" s="821">
        <v>0</v>
      </c>
      <c r="AH36" s="822">
        <f t="shared" si="20"/>
        <v>0</v>
      </c>
      <c r="AI36" s="482">
        <f t="shared" si="13"/>
        <v>16840</v>
      </c>
      <c r="AJ36" s="326">
        <f t="shared" si="14"/>
        <v>0</v>
      </c>
      <c r="AK36" s="3899">
        <v>0</v>
      </c>
      <c r="AL36" s="349">
        <f t="shared" si="15"/>
        <v>16840</v>
      </c>
      <c r="AM36" s="3356" t="s">
        <v>2594</v>
      </c>
      <c r="AN36" s="3357">
        <v>42044</v>
      </c>
      <c r="AO36" s="695">
        <v>1161318</v>
      </c>
      <c r="AP36" s="2722">
        <v>41974</v>
      </c>
      <c r="AQ36" s="3358">
        <v>106.7</v>
      </c>
      <c r="AR36" s="333">
        <f t="shared" si="23"/>
        <v>7012</v>
      </c>
      <c r="AS36" s="330">
        <f t="shared" si="21"/>
        <v>8765</v>
      </c>
      <c r="AT36" s="330">
        <f t="shared" si="24"/>
        <v>1753</v>
      </c>
      <c r="AU36" s="849">
        <f>ROUND($AQ36/$G36*AE36,0)</f>
        <v>0</v>
      </c>
      <c r="AV36" s="849">
        <f>ROUND($AQ36/$G36*AH36,0)</f>
        <v>0</v>
      </c>
      <c r="AW36" s="2870">
        <f t="shared" si="5"/>
        <v>17530</v>
      </c>
      <c r="AX36" s="3140" t="s">
        <v>1728</v>
      </c>
      <c r="BB36" s="267"/>
      <c r="BC36" s="4117">
        <f t="shared" ref="BC36:BC67" si="25">ROUND($AJ36*$AQ36/$G36,0)</f>
        <v>0</v>
      </c>
      <c r="BD36" s="4117">
        <f t="shared" si="7"/>
        <v>0</v>
      </c>
    </row>
    <row r="37" spans="1:56" ht="114.75">
      <c r="A37" s="2418" t="s">
        <v>11139</v>
      </c>
      <c r="B37" s="338" t="s">
        <v>2863</v>
      </c>
      <c r="C37" s="321" t="s">
        <v>1439</v>
      </c>
      <c r="D37" s="323">
        <v>41564</v>
      </c>
      <c r="E37" s="3012" t="s">
        <v>6395</v>
      </c>
      <c r="F37" s="324">
        <v>41791</v>
      </c>
      <c r="G37" s="325">
        <v>1</v>
      </c>
      <c r="H37" s="332" t="s">
        <v>1587</v>
      </c>
      <c r="I37" s="339" t="s">
        <v>1433</v>
      </c>
      <c r="J37" s="322" t="s">
        <v>1434</v>
      </c>
      <c r="K37" s="340">
        <v>42949</v>
      </c>
      <c r="L37" s="339" t="s">
        <v>348</v>
      </c>
      <c r="M37" s="322" t="s">
        <v>1817</v>
      </c>
      <c r="N37" s="339" t="s">
        <v>1588</v>
      </c>
      <c r="O37" s="332" t="s">
        <v>1693</v>
      </c>
      <c r="P37" s="667" t="s">
        <v>2852</v>
      </c>
      <c r="Q37" s="322" t="s">
        <v>2530</v>
      </c>
      <c r="R37" s="322" t="s">
        <v>2849</v>
      </c>
      <c r="S37" s="761" t="s">
        <v>2864</v>
      </c>
      <c r="T37" s="347">
        <v>27677</v>
      </c>
      <c r="U37" s="326">
        <f>T37</f>
        <v>27677</v>
      </c>
      <c r="V37" s="348">
        <f t="shared" si="0"/>
        <v>0</v>
      </c>
      <c r="W37" s="347">
        <v>4884</v>
      </c>
      <c r="X37" s="326">
        <f>W37</f>
        <v>4884</v>
      </c>
      <c r="Y37" s="348">
        <f t="shared" si="16"/>
        <v>0</v>
      </c>
      <c r="Z37" s="347">
        <v>0</v>
      </c>
      <c r="AA37" s="326">
        <v>0</v>
      </c>
      <c r="AB37" s="348">
        <f t="shared" si="2"/>
        <v>0</v>
      </c>
      <c r="AC37" s="820">
        <v>0</v>
      </c>
      <c r="AD37" s="821">
        <v>0</v>
      </c>
      <c r="AE37" s="822">
        <f t="shared" si="19"/>
        <v>0</v>
      </c>
      <c r="AF37" s="820">
        <v>0</v>
      </c>
      <c r="AG37" s="821">
        <v>0</v>
      </c>
      <c r="AH37" s="822">
        <f t="shared" si="20"/>
        <v>0</v>
      </c>
      <c r="AI37" s="482">
        <f t="shared" si="13"/>
        <v>32561</v>
      </c>
      <c r="AJ37" s="326">
        <f t="shared" si="14"/>
        <v>32561</v>
      </c>
      <c r="AK37" s="3899">
        <v>0</v>
      </c>
      <c r="AL37" s="349">
        <f t="shared" si="15"/>
        <v>0</v>
      </c>
      <c r="AM37" s="3356" t="s">
        <v>2865</v>
      </c>
      <c r="AN37" s="3357" t="s">
        <v>175</v>
      </c>
      <c r="AO37" s="695" t="s">
        <v>175</v>
      </c>
      <c r="AP37" s="2722" t="s">
        <v>175</v>
      </c>
      <c r="AQ37" s="3358"/>
      <c r="AR37" s="333">
        <f t="shared" si="23"/>
        <v>0</v>
      </c>
      <c r="AS37" s="330">
        <f t="shared" si="21"/>
        <v>0</v>
      </c>
      <c r="AT37" s="330">
        <f t="shared" si="24"/>
        <v>0</v>
      </c>
      <c r="AU37" s="849">
        <f>ROUND($AQ37/$G37*AE37,0)</f>
        <v>0</v>
      </c>
      <c r="AV37" s="849">
        <f>ROUND($AQ37/$G37*AH37,0)</f>
        <v>0</v>
      </c>
      <c r="AW37" s="2870">
        <f t="shared" si="5"/>
        <v>0</v>
      </c>
      <c r="AX37" s="3140" t="s">
        <v>2867</v>
      </c>
      <c r="BB37" s="267"/>
      <c r="BC37" s="4117">
        <f t="shared" si="25"/>
        <v>0</v>
      </c>
      <c r="BD37" s="4117">
        <f t="shared" si="7"/>
        <v>0</v>
      </c>
    </row>
    <row r="38" spans="1:56" ht="76.5">
      <c r="A38" s="2418" t="s">
        <v>11139</v>
      </c>
      <c r="B38" s="338" t="s">
        <v>2810</v>
      </c>
      <c r="C38" s="321">
        <v>0</v>
      </c>
      <c r="D38" s="323">
        <v>42040</v>
      </c>
      <c r="E38" s="3012" t="s">
        <v>6383</v>
      </c>
      <c r="F38" s="324">
        <v>41821</v>
      </c>
      <c r="G38" s="325">
        <v>1</v>
      </c>
      <c r="H38" s="332" t="s">
        <v>2857</v>
      </c>
      <c r="I38" s="339" t="s">
        <v>1433</v>
      </c>
      <c r="J38" s="322" t="s">
        <v>1434</v>
      </c>
      <c r="K38" s="340">
        <v>43501</v>
      </c>
      <c r="L38" s="339" t="s">
        <v>2858</v>
      </c>
      <c r="M38" s="322" t="s">
        <v>2859</v>
      </c>
      <c r="N38" s="339" t="s">
        <v>2860</v>
      </c>
      <c r="O38" s="322" t="s">
        <v>2873</v>
      </c>
      <c r="P38" s="345"/>
      <c r="Q38" s="322" t="s">
        <v>2861</v>
      </c>
      <c r="R38" s="322" t="s">
        <v>2862</v>
      </c>
      <c r="S38" s="346"/>
      <c r="T38" s="347">
        <v>1261</v>
      </c>
      <c r="U38" s="326">
        <v>0</v>
      </c>
      <c r="V38" s="348">
        <f t="shared" si="0"/>
        <v>1261</v>
      </c>
      <c r="W38" s="347">
        <v>223</v>
      </c>
      <c r="X38" s="326">
        <v>0</v>
      </c>
      <c r="Y38" s="348">
        <f t="shared" si="16"/>
        <v>223</v>
      </c>
      <c r="Z38" s="347">
        <v>300</v>
      </c>
      <c r="AA38" s="326">
        <v>0</v>
      </c>
      <c r="AB38" s="348">
        <f t="shared" si="2"/>
        <v>300</v>
      </c>
      <c r="AC38" s="820"/>
      <c r="AD38" s="821"/>
      <c r="AE38" s="822"/>
      <c r="AF38" s="820"/>
      <c r="AG38" s="821"/>
      <c r="AH38" s="822"/>
      <c r="AI38" s="482">
        <f t="shared" si="13"/>
        <v>1784</v>
      </c>
      <c r="AJ38" s="326">
        <f t="shared" si="14"/>
        <v>0</v>
      </c>
      <c r="AK38" s="3899">
        <v>0</v>
      </c>
      <c r="AL38" s="349">
        <f t="shared" si="15"/>
        <v>1784</v>
      </c>
      <c r="AM38" s="2002" t="s">
        <v>2594</v>
      </c>
      <c r="AN38" s="3357">
        <v>42054</v>
      </c>
      <c r="AO38" s="695">
        <v>1162918</v>
      </c>
      <c r="AP38" s="2722">
        <v>41821</v>
      </c>
      <c r="AQ38" s="3358">
        <v>1</v>
      </c>
      <c r="AR38" s="333">
        <f t="shared" si="23"/>
        <v>1261</v>
      </c>
      <c r="AS38" s="330">
        <f t="shared" si="21"/>
        <v>223</v>
      </c>
      <c r="AT38" s="330">
        <f t="shared" si="24"/>
        <v>300</v>
      </c>
      <c r="AU38" s="849"/>
      <c r="AV38" s="849"/>
      <c r="AW38" s="2870">
        <f t="shared" si="5"/>
        <v>1784</v>
      </c>
      <c r="AX38" s="3140"/>
      <c r="AY38" s="2006"/>
      <c r="BC38" s="4117">
        <f t="shared" si="25"/>
        <v>0</v>
      </c>
      <c r="BD38" s="4117">
        <f t="shared" si="7"/>
        <v>0</v>
      </c>
    </row>
    <row r="39" spans="1:56" ht="64.5" thickBot="1">
      <c r="A39" s="5972" t="s">
        <v>11139</v>
      </c>
      <c r="B39" s="581" t="s">
        <v>2811</v>
      </c>
      <c r="C39" s="582">
        <v>1</v>
      </c>
      <c r="D39" s="583">
        <v>42046</v>
      </c>
      <c r="E39" s="2992" t="s">
        <v>6383</v>
      </c>
      <c r="F39" s="584">
        <v>41821</v>
      </c>
      <c r="G39" s="784">
        <v>1</v>
      </c>
      <c r="H39" s="586" t="s">
        <v>2901</v>
      </c>
      <c r="I39" s="587" t="s">
        <v>1433</v>
      </c>
      <c r="J39" s="588" t="s">
        <v>1434</v>
      </c>
      <c r="K39" s="589">
        <v>43507</v>
      </c>
      <c r="L39" s="587" t="s">
        <v>2902</v>
      </c>
      <c r="M39" s="588" t="s">
        <v>1957</v>
      </c>
      <c r="N39" s="587" t="s">
        <v>2892</v>
      </c>
      <c r="O39" s="586" t="s">
        <v>2893</v>
      </c>
      <c r="P39" s="590"/>
      <c r="Q39" s="588" t="s">
        <v>2894</v>
      </c>
      <c r="R39" s="588" t="s">
        <v>2895</v>
      </c>
      <c r="S39" s="591"/>
      <c r="T39" s="592">
        <v>4451</v>
      </c>
      <c r="U39" s="593">
        <v>0</v>
      </c>
      <c r="V39" s="594">
        <f t="shared" si="0"/>
        <v>4451</v>
      </c>
      <c r="W39" s="592">
        <v>785</v>
      </c>
      <c r="X39" s="593">
        <v>0</v>
      </c>
      <c r="Y39" s="594">
        <f t="shared" si="16"/>
        <v>785</v>
      </c>
      <c r="Z39" s="592">
        <v>410</v>
      </c>
      <c r="AA39" s="593">
        <v>0</v>
      </c>
      <c r="AB39" s="594">
        <f t="shared" si="2"/>
        <v>410</v>
      </c>
      <c r="AC39" s="903"/>
      <c r="AD39" s="904"/>
      <c r="AE39" s="905"/>
      <c r="AF39" s="903"/>
      <c r="AG39" s="904"/>
      <c r="AH39" s="905"/>
      <c r="AI39" s="595">
        <f t="shared" si="13"/>
        <v>5646</v>
      </c>
      <c r="AJ39" s="593">
        <f t="shared" si="14"/>
        <v>0</v>
      </c>
      <c r="AK39" s="3903">
        <v>0</v>
      </c>
      <c r="AL39" s="596">
        <f t="shared" si="15"/>
        <v>5646</v>
      </c>
      <c r="AM39" s="1595" t="s">
        <v>2594</v>
      </c>
      <c r="AN39" s="3351">
        <v>42059</v>
      </c>
      <c r="AO39" s="3352">
        <v>1163292</v>
      </c>
      <c r="AP39" s="3353">
        <v>41821</v>
      </c>
      <c r="AQ39" s="3354">
        <v>1</v>
      </c>
      <c r="AR39" s="597">
        <f t="shared" si="23"/>
        <v>4451</v>
      </c>
      <c r="AS39" s="598">
        <f t="shared" si="21"/>
        <v>785</v>
      </c>
      <c r="AT39" s="598">
        <f t="shared" si="24"/>
        <v>410</v>
      </c>
      <c r="AU39" s="906"/>
      <c r="AV39" s="906"/>
      <c r="AW39" s="2869">
        <f t="shared" si="5"/>
        <v>5646</v>
      </c>
      <c r="AX39" s="2890"/>
      <c r="AY39" s="764" t="s">
        <v>2866</v>
      </c>
      <c r="AZ39" s="882">
        <f>SUM(AW36:AW39)</f>
        <v>24960</v>
      </c>
      <c r="BA39" s="883">
        <f>AZ39-BB39</f>
        <v>24960</v>
      </c>
      <c r="BB39" s="884">
        <f>SUM(AU36:AV39)</f>
        <v>0</v>
      </c>
      <c r="BC39" s="4117">
        <f t="shared" si="25"/>
        <v>0</v>
      </c>
      <c r="BD39" s="4117">
        <f t="shared" si="7"/>
        <v>0</v>
      </c>
    </row>
    <row r="40" spans="1:56" ht="51">
      <c r="A40" s="5977" t="s">
        <v>11139</v>
      </c>
      <c r="B40" s="908" t="s">
        <v>1722</v>
      </c>
      <c r="C40" s="909">
        <v>0</v>
      </c>
      <c r="D40" s="910">
        <v>41855</v>
      </c>
      <c r="E40" s="3044" t="s">
        <v>6384</v>
      </c>
      <c r="F40" s="911">
        <v>41821</v>
      </c>
      <c r="G40" s="1218">
        <v>1</v>
      </c>
      <c r="H40" s="913" t="s">
        <v>2348</v>
      </c>
      <c r="I40" s="914" t="s">
        <v>1433</v>
      </c>
      <c r="J40" s="915" t="s">
        <v>1434</v>
      </c>
      <c r="K40" s="916">
        <v>43313</v>
      </c>
      <c r="L40" s="914" t="s">
        <v>2349</v>
      </c>
      <c r="M40" s="915" t="s">
        <v>2350</v>
      </c>
      <c r="N40" s="914" t="s">
        <v>1559</v>
      </c>
      <c r="O40" s="913" t="s">
        <v>2351</v>
      </c>
      <c r="P40" s="1018"/>
      <c r="Q40" s="915" t="s">
        <v>2352</v>
      </c>
      <c r="R40" s="915" t="s">
        <v>2315</v>
      </c>
      <c r="S40" s="918"/>
      <c r="T40" s="919">
        <v>1515</v>
      </c>
      <c r="U40" s="920">
        <v>0</v>
      </c>
      <c r="V40" s="921">
        <f t="shared" si="0"/>
        <v>1515</v>
      </c>
      <c r="W40" s="919">
        <v>267</v>
      </c>
      <c r="X40" s="920">
        <v>0</v>
      </c>
      <c r="Y40" s="921">
        <f t="shared" si="16"/>
        <v>267</v>
      </c>
      <c r="Z40" s="919">
        <v>0</v>
      </c>
      <c r="AA40" s="920">
        <v>0</v>
      </c>
      <c r="AB40" s="921">
        <f t="shared" si="2"/>
        <v>0</v>
      </c>
      <c r="AC40" s="820"/>
      <c r="AD40" s="821"/>
      <c r="AE40" s="822"/>
      <c r="AF40" s="820"/>
      <c r="AG40" s="821"/>
      <c r="AH40" s="822"/>
      <c r="AI40" s="922">
        <f t="shared" si="13"/>
        <v>1782</v>
      </c>
      <c r="AJ40" s="920">
        <f t="shared" si="14"/>
        <v>0</v>
      </c>
      <c r="AK40" s="3907">
        <v>0</v>
      </c>
      <c r="AL40" s="923">
        <f t="shared" si="15"/>
        <v>1782</v>
      </c>
      <c r="AM40" s="1605" t="s">
        <v>2594</v>
      </c>
      <c r="AN40" s="3364">
        <v>42075</v>
      </c>
      <c r="AO40" s="3365">
        <v>1163981</v>
      </c>
      <c r="AP40" s="3366">
        <v>41821</v>
      </c>
      <c r="AQ40" s="3367">
        <v>1</v>
      </c>
      <c r="AR40" s="924">
        <f t="shared" si="23"/>
        <v>1515</v>
      </c>
      <c r="AS40" s="925">
        <f t="shared" si="21"/>
        <v>267</v>
      </c>
      <c r="AT40" s="925">
        <f t="shared" si="24"/>
        <v>0</v>
      </c>
      <c r="AU40" s="849"/>
      <c r="AV40" s="849"/>
      <c r="AW40" s="2876">
        <f t="shared" si="5"/>
        <v>1782</v>
      </c>
      <c r="AX40" s="3143"/>
      <c r="BB40" s="267"/>
      <c r="BC40" s="4117">
        <f t="shared" si="25"/>
        <v>0</v>
      </c>
      <c r="BD40" s="4117">
        <f t="shared" si="7"/>
        <v>0</v>
      </c>
    </row>
    <row r="41" spans="1:56" ht="51">
      <c r="A41" s="5973" t="s">
        <v>11138</v>
      </c>
      <c r="B41" s="908" t="s">
        <v>3037</v>
      </c>
      <c r="C41" s="909">
        <v>0</v>
      </c>
      <c r="D41" s="910">
        <v>41782</v>
      </c>
      <c r="E41" s="3044" t="s">
        <v>6384</v>
      </c>
      <c r="F41" s="1914">
        <v>41609</v>
      </c>
      <c r="G41" s="1607">
        <v>104.6</v>
      </c>
      <c r="H41" s="913" t="s">
        <v>2979</v>
      </c>
      <c r="I41" s="914" t="s">
        <v>1433</v>
      </c>
      <c r="J41" s="915" t="s">
        <v>1434</v>
      </c>
      <c r="K41" s="916">
        <v>42626</v>
      </c>
      <c r="L41" s="914" t="s">
        <v>2980</v>
      </c>
      <c r="M41" s="915" t="s">
        <v>2981</v>
      </c>
      <c r="N41" s="914" t="s">
        <v>553</v>
      </c>
      <c r="O41" s="913" t="s">
        <v>554</v>
      </c>
      <c r="P41" s="1018" t="s">
        <v>2525</v>
      </c>
      <c r="Q41" s="915" t="s">
        <v>388</v>
      </c>
      <c r="R41" s="915" t="s">
        <v>361</v>
      </c>
      <c r="S41" s="918"/>
      <c r="T41" s="919">
        <v>297</v>
      </c>
      <c r="U41" s="920">
        <v>0</v>
      </c>
      <c r="V41" s="921">
        <f t="shared" si="0"/>
        <v>297</v>
      </c>
      <c r="W41" s="919">
        <v>0</v>
      </c>
      <c r="X41" s="920">
        <v>0</v>
      </c>
      <c r="Y41" s="921">
        <f t="shared" si="16"/>
        <v>0</v>
      </c>
      <c r="Z41" s="919">
        <v>1901</v>
      </c>
      <c r="AA41" s="920">
        <v>0</v>
      </c>
      <c r="AB41" s="921">
        <f t="shared" si="2"/>
        <v>1901</v>
      </c>
      <c r="AC41" s="820"/>
      <c r="AD41" s="821"/>
      <c r="AE41" s="822"/>
      <c r="AF41" s="820"/>
      <c r="AG41" s="821"/>
      <c r="AH41" s="822"/>
      <c r="AI41" s="922">
        <f t="shared" si="13"/>
        <v>2198</v>
      </c>
      <c r="AJ41" s="920">
        <f t="shared" si="14"/>
        <v>0</v>
      </c>
      <c r="AK41" s="3907">
        <v>0</v>
      </c>
      <c r="AL41" s="923">
        <f t="shared" si="15"/>
        <v>2198</v>
      </c>
      <c r="AM41" s="1605" t="s">
        <v>2594</v>
      </c>
      <c r="AN41" s="3364">
        <v>42080</v>
      </c>
      <c r="AO41" s="3365">
        <v>1164127</v>
      </c>
      <c r="AP41" s="3366">
        <v>41974</v>
      </c>
      <c r="AQ41" s="3367">
        <v>106.7</v>
      </c>
      <c r="AR41" s="924">
        <f t="shared" si="23"/>
        <v>303</v>
      </c>
      <c r="AS41" s="925">
        <f t="shared" si="21"/>
        <v>0</v>
      </c>
      <c r="AT41" s="925">
        <f t="shared" si="24"/>
        <v>1939</v>
      </c>
      <c r="AU41" s="849"/>
      <c r="AV41" s="849"/>
      <c r="AW41" s="2866">
        <f t="shared" si="5"/>
        <v>2242</v>
      </c>
      <c r="AX41" s="3143"/>
      <c r="AY41" s="2006"/>
      <c r="AZ41" s="1220"/>
      <c r="BA41" s="1221"/>
      <c r="BB41" s="1222"/>
      <c r="BC41" s="4117">
        <f t="shared" si="25"/>
        <v>0</v>
      </c>
      <c r="BD41" s="4117">
        <f t="shared" si="7"/>
        <v>0</v>
      </c>
    </row>
    <row r="42" spans="1:56" ht="102">
      <c r="A42" s="5973" t="s">
        <v>11138</v>
      </c>
      <c r="B42" s="908" t="s">
        <v>2909</v>
      </c>
      <c r="C42" s="909" t="s">
        <v>1432</v>
      </c>
      <c r="D42" s="910">
        <v>41550</v>
      </c>
      <c r="E42" s="3044" t="s">
        <v>6389</v>
      </c>
      <c r="F42" s="1914">
        <v>40603</v>
      </c>
      <c r="G42" s="1722">
        <v>98.6</v>
      </c>
      <c r="H42" s="913" t="s">
        <v>1564</v>
      </c>
      <c r="I42" s="914" t="s">
        <v>1433</v>
      </c>
      <c r="J42" s="915" t="s">
        <v>1434</v>
      </c>
      <c r="K42" s="916">
        <v>43008</v>
      </c>
      <c r="L42" s="914" t="s">
        <v>1563</v>
      </c>
      <c r="M42" s="915" t="s">
        <v>1826</v>
      </c>
      <c r="N42" s="914" t="s">
        <v>1540</v>
      </c>
      <c r="O42" s="913" t="s">
        <v>2907</v>
      </c>
      <c r="P42" s="1018" t="s">
        <v>1565</v>
      </c>
      <c r="Q42" s="915" t="s">
        <v>2905</v>
      </c>
      <c r="R42" s="915" t="s">
        <v>1566</v>
      </c>
      <c r="S42" s="918"/>
      <c r="T42" s="919">
        <v>46001</v>
      </c>
      <c r="U42" s="920">
        <v>0</v>
      </c>
      <c r="V42" s="921">
        <f t="shared" si="0"/>
        <v>46001</v>
      </c>
      <c r="W42" s="919">
        <v>8118</v>
      </c>
      <c r="X42" s="920">
        <v>0</v>
      </c>
      <c r="Y42" s="921">
        <f t="shared" si="16"/>
        <v>8118</v>
      </c>
      <c r="Z42" s="919">
        <v>35137</v>
      </c>
      <c r="AA42" s="920">
        <v>0</v>
      </c>
      <c r="AB42" s="921">
        <f t="shared" si="2"/>
        <v>35137</v>
      </c>
      <c r="AC42" s="820"/>
      <c r="AD42" s="821"/>
      <c r="AE42" s="822"/>
      <c r="AF42" s="820"/>
      <c r="AG42" s="821"/>
      <c r="AH42" s="822"/>
      <c r="AI42" s="922">
        <f t="shared" si="13"/>
        <v>89256</v>
      </c>
      <c r="AJ42" s="920">
        <f t="shared" si="14"/>
        <v>0</v>
      </c>
      <c r="AK42" s="3907">
        <v>0</v>
      </c>
      <c r="AL42" s="923">
        <f t="shared" si="15"/>
        <v>89256</v>
      </c>
      <c r="AM42" s="3368" t="s">
        <v>2371</v>
      </c>
      <c r="AN42" s="3364">
        <v>42086</v>
      </c>
      <c r="AO42" s="3365">
        <v>1164355</v>
      </c>
      <c r="AP42" s="3366">
        <v>41974</v>
      </c>
      <c r="AQ42" s="3367">
        <v>106.7</v>
      </c>
      <c r="AR42" s="924">
        <f t="shared" si="23"/>
        <v>49780</v>
      </c>
      <c r="AS42" s="925">
        <f t="shared" si="21"/>
        <v>8785</v>
      </c>
      <c r="AT42" s="925">
        <f t="shared" si="24"/>
        <v>38024</v>
      </c>
      <c r="AU42" s="849"/>
      <c r="AV42" s="849"/>
      <c r="AW42" s="2874">
        <f t="shared" si="5"/>
        <v>96589</v>
      </c>
      <c r="AX42" s="3143" t="s">
        <v>1728</v>
      </c>
      <c r="BC42" s="4117">
        <f t="shared" si="25"/>
        <v>0</v>
      </c>
      <c r="BD42" s="4117">
        <f t="shared" si="7"/>
        <v>0</v>
      </c>
    </row>
    <row r="43" spans="1:56" ht="127.5">
      <c r="A43" s="5973" t="s">
        <v>11138</v>
      </c>
      <c r="B43" s="908" t="s">
        <v>2989</v>
      </c>
      <c r="C43" s="909" t="s">
        <v>1439</v>
      </c>
      <c r="D43" s="910">
        <v>41563</v>
      </c>
      <c r="E43" s="3044" t="s">
        <v>6389</v>
      </c>
      <c r="F43" s="1914">
        <v>41426</v>
      </c>
      <c r="G43" s="1722">
        <v>102.5</v>
      </c>
      <c r="H43" s="913" t="s">
        <v>1472</v>
      </c>
      <c r="I43" s="914" t="s">
        <v>1433</v>
      </c>
      <c r="J43" s="915" t="s">
        <v>1434</v>
      </c>
      <c r="K43" s="916">
        <v>42739</v>
      </c>
      <c r="L43" s="914" t="s">
        <v>1471</v>
      </c>
      <c r="M43" s="915" t="s">
        <v>1836</v>
      </c>
      <c r="N43" s="914" t="s">
        <v>1473</v>
      </c>
      <c r="O43" s="913" t="s">
        <v>1670</v>
      </c>
      <c r="P43" s="1018" t="s">
        <v>1474</v>
      </c>
      <c r="Q43" s="915" t="s">
        <v>1671</v>
      </c>
      <c r="R43" s="915" t="s">
        <v>1475</v>
      </c>
      <c r="S43" s="918"/>
      <c r="T43" s="919">
        <v>137</v>
      </c>
      <c r="U43" s="920">
        <v>0</v>
      </c>
      <c r="V43" s="921">
        <f t="shared" si="0"/>
        <v>137</v>
      </c>
      <c r="W43" s="919">
        <v>229</v>
      </c>
      <c r="X43" s="920">
        <v>0</v>
      </c>
      <c r="Y43" s="921">
        <f t="shared" si="16"/>
        <v>229</v>
      </c>
      <c r="Z43" s="919">
        <v>91</v>
      </c>
      <c r="AA43" s="920">
        <v>0</v>
      </c>
      <c r="AB43" s="921">
        <f t="shared" si="2"/>
        <v>91</v>
      </c>
      <c r="AC43" s="820">
        <v>31835</v>
      </c>
      <c r="AD43" s="821">
        <v>0</v>
      </c>
      <c r="AE43" s="822">
        <f t="shared" ref="AE43:AE49" si="26">AC43-AD43</f>
        <v>31835</v>
      </c>
      <c r="AF43" s="820">
        <v>47753</v>
      </c>
      <c r="AG43" s="821">
        <v>0</v>
      </c>
      <c r="AH43" s="822">
        <f t="shared" ref="AH43:AH49" si="27">AF43-AG43</f>
        <v>47753</v>
      </c>
      <c r="AI43" s="922">
        <f t="shared" si="13"/>
        <v>80045</v>
      </c>
      <c r="AJ43" s="920">
        <f t="shared" si="14"/>
        <v>0</v>
      </c>
      <c r="AK43" s="3907">
        <v>0</v>
      </c>
      <c r="AL43" s="923">
        <f t="shared" si="15"/>
        <v>80045</v>
      </c>
      <c r="AM43" s="3368" t="s">
        <v>2594</v>
      </c>
      <c r="AN43" s="3364">
        <v>42093</v>
      </c>
      <c r="AO43" s="3365">
        <v>1164706</v>
      </c>
      <c r="AP43" s="3366">
        <v>41974</v>
      </c>
      <c r="AQ43" s="3367">
        <v>106.7</v>
      </c>
      <c r="AR43" s="924">
        <f t="shared" si="23"/>
        <v>143</v>
      </c>
      <c r="AS43" s="925">
        <f t="shared" si="21"/>
        <v>238</v>
      </c>
      <c r="AT43" s="925">
        <f t="shared" si="24"/>
        <v>95</v>
      </c>
      <c r="AU43" s="849"/>
      <c r="AV43" s="849"/>
      <c r="AW43" s="2874">
        <f t="shared" si="5"/>
        <v>476</v>
      </c>
      <c r="AX43" s="3143" t="s">
        <v>1728</v>
      </c>
      <c r="BB43" s="267"/>
      <c r="BC43" s="4117">
        <f t="shared" si="25"/>
        <v>0</v>
      </c>
      <c r="BD43" s="4117">
        <f t="shared" si="7"/>
        <v>0</v>
      </c>
    </row>
    <row r="44" spans="1:56" ht="77.25" thickBot="1">
      <c r="A44" s="5975" t="s">
        <v>11138</v>
      </c>
      <c r="B44" s="494" t="s">
        <v>2995</v>
      </c>
      <c r="C44" s="495" t="s">
        <v>1432</v>
      </c>
      <c r="D44" s="496">
        <v>41163</v>
      </c>
      <c r="E44" s="3042" t="s">
        <v>6393</v>
      </c>
      <c r="F44" s="3118">
        <v>41061</v>
      </c>
      <c r="G44" s="3121">
        <v>100.5</v>
      </c>
      <c r="H44" s="498" t="s">
        <v>1522</v>
      </c>
      <c r="I44" s="499" t="s">
        <v>1433</v>
      </c>
      <c r="J44" s="500" t="s">
        <v>1434</v>
      </c>
      <c r="K44" s="501">
        <v>42619</v>
      </c>
      <c r="L44" s="499" t="s">
        <v>1814</v>
      </c>
      <c r="M44" s="500" t="s">
        <v>1810</v>
      </c>
      <c r="N44" s="499" t="s">
        <v>2830</v>
      </c>
      <c r="O44" s="498" t="s">
        <v>2831</v>
      </c>
      <c r="P44" s="502" t="s">
        <v>3001</v>
      </c>
      <c r="Q44" s="500" t="s">
        <v>1660</v>
      </c>
      <c r="R44" s="500" t="s">
        <v>1523</v>
      </c>
      <c r="S44" s="1023" t="s">
        <v>7225</v>
      </c>
      <c r="T44" s="504">
        <v>429</v>
      </c>
      <c r="U44" s="505">
        <v>0</v>
      </c>
      <c r="V44" s="506">
        <f t="shared" si="0"/>
        <v>429</v>
      </c>
      <c r="W44" s="504">
        <v>76</v>
      </c>
      <c r="X44" s="505">
        <v>0</v>
      </c>
      <c r="Y44" s="506">
        <f t="shared" si="16"/>
        <v>76</v>
      </c>
      <c r="Z44" s="504">
        <v>31</v>
      </c>
      <c r="AA44" s="505">
        <v>0</v>
      </c>
      <c r="AB44" s="506">
        <f t="shared" si="2"/>
        <v>31</v>
      </c>
      <c r="AC44" s="903">
        <v>131</v>
      </c>
      <c r="AD44" s="904">
        <v>0</v>
      </c>
      <c r="AE44" s="905">
        <f t="shared" si="26"/>
        <v>131</v>
      </c>
      <c r="AF44" s="903">
        <v>196</v>
      </c>
      <c r="AG44" s="904">
        <v>0</v>
      </c>
      <c r="AH44" s="905">
        <f t="shared" si="27"/>
        <v>196</v>
      </c>
      <c r="AI44" s="669">
        <f t="shared" ref="AI44:AI75" si="28">T44+W44+Z44+AC44+AF44</f>
        <v>863</v>
      </c>
      <c r="AJ44" s="505">
        <f t="shared" ref="AJ44:AJ75" si="29">U44+X44+AA44+AD44+AG44</f>
        <v>0</v>
      </c>
      <c r="AK44" s="3901">
        <v>0</v>
      </c>
      <c r="AL44" s="507">
        <f t="shared" si="15"/>
        <v>863</v>
      </c>
      <c r="AM44" s="3341" t="s">
        <v>2594</v>
      </c>
      <c r="AN44" s="3342">
        <v>42094</v>
      </c>
      <c r="AO44" s="3343">
        <v>1164753</v>
      </c>
      <c r="AP44" s="3344" t="s">
        <v>2998</v>
      </c>
      <c r="AQ44" s="3345">
        <v>106.7</v>
      </c>
      <c r="AR44" s="508">
        <v>429</v>
      </c>
      <c r="AS44" s="509">
        <v>76</v>
      </c>
      <c r="AT44" s="509">
        <v>31</v>
      </c>
      <c r="AU44" s="906">
        <v>131</v>
      </c>
      <c r="AV44" s="906">
        <v>196</v>
      </c>
      <c r="AW44" s="2867">
        <f t="shared" si="5"/>
        <v>863</v>
      </c>
      <c r="AX44" s="2888" t="s">
        <v>3002</v>
      </c>
      <c r="AY44" s="743" t="s">
        <v>2937</v>
      </c>
      <c r="AZ44" s="927">
        <f>SUM(AW40:AW44)</f>
        <v>101952</v>
      </c>
      <c r="BA44" s="928">
        <f>AZ44-BB44</f>
        <v>101625</v>
      </c>
      <c r="BB44" s="929">
        <f>SUM(AU40:AV44)</f>
        <v>327</v>
      </c>
      <c r="BC44" s="4117">
        <f t="shared" si="25"/>
        <v>0</v>
      </c>
      <c r="BD44" s="4117">
        <f t="shared" si="7"/>
        <v>0</v>
      </c>
    </row>
    <row r="45" spans="1:56" ht="51">
      <c r="A45" s="5967" t="s">
        <v>11138</v>
      </c>
      <c r="B45" s="827" t="s">
        <v>2906</v>
      </c>
      <c r="C45" s="828">
        <v>0</v>
      </c>
      <c r="D45" s="829">
        <v>41737</v>
      </c>
      <c r="E45" s="829" t="s">
        <v>6383</v>
      </c>
      <c r="F45" s="1865">
        <v>41609</v>
      </c>
      <c r="G45" s="3123">
        <v>104.6</v>
      </c>
      <c r="H45" s="832" t="s">
        <v>1976</v>
      </c>
      <c r="I45" s="833" t="s">
        <v>1330</v>
      </c>
      <c r="J45" s="834" t="s">
        <v>1445</v>
      </c>
      <c r="K45" s="835">
        <v>42096</v>
      </c>
      <c r="L45" s="833" t="s">
        <v>1978</v>
      </c>
      <c r="M45" s="834" t="s">
        <v>1979</v>
      </c>
      <c r="N45" s="833" t="s">
        <v>505</v>
      </c>
      <c r="O45" s="832" t="s">
        <v>1980</v>
      </c>
      <c r="P45" s="836"/>
      <c r="Q45" s="834" t="s">
        <v>1981</v>
      </c>
      <c r="R45" s="834" t="s">
        <v>1982</v>
      </c>
      <c r="S45" s="837"/>
      <c r="T45" s="838">
        <v>1521</v>
      </c>
      <c r="U45" s="839">
        <v>0</v>
      </c>
      <c r="V45" s="840">
        <f t="shared" si="0"/>
        <v>1521</v>
      </c>
      <c r="W45" s="838">
        <v>1901</v>
      </c>
      <c r="X45" s="839">
        <v>0</v>
      </c>
      <c r="Y45" s="840">
        <f t="shared" si="16"/>
        <v>1901</v>
      </c>
      <c r="Z45" s="838">
        <v>543</v>
      </c>
      <c r="AA45" s="839">
        <v>0</v>
      </c>
      <c r="AB45" s="840">
        <f t="shared" si="2"/>
        <v>543</v>
      </c>
      <c r="AC45" s="823">
        <v>1222</v>
      </c>
      <c r="AD45" s="824">
        <v>0</v>
      </c>
      <c r="AE45" s="825">
        <f t="shared" si="26"/>
        <v>1222</v>
      </c>
      <c r="AF45" s="823">
        <v>1833</v>
      </c>
      <c r="AG45" s="824">
        <v>0</v>
      </c>
      <c r="AH45" s="825">
        <f t="shared" si="27"/>
        <v>1833</v>
      </c>
      <c r="AI45" s="841">
        <f t="shared" si="28"/>
        <v>7020</v>
      </c>
      <c r="AJ45" s="839">
        <f t="shared" si="29"/>
        <v>0</v>
      </c>
      <c r="AK45" s="3906">
        <v>0</v>
      </c>
      <c r="AL45" s="869">
        <f t="shared" si="15"/>
        <v>7020</v>
      </c>
      <c r="AM45" s="3369" t="s">
        <v>2594</v>
      </c>
      <c r="AN45" s="3360">
        <v>42095</v>
      </c>
      <c r="AO45" s="3361">
        <v>1164774</v>
      </c>
      <c r="AP45" s="3362">
        <v>41974</v>
      </c>
      <c r="AQ45" s="3363">
        <v>106.7</v>
      </c>
      <c r="AR45" s="846">
        <f>ROUND($AQ45/$G45*V45,0)</f>
        <v>1552</v>
      </c>
      <c r="AS45" s="847">
        <f>ROUND($AQ45/$G45*Y45,0)</f>
        <v>1939</v>
      </c>
      <c r="AT45" s="847">
        <f>ROUND($AQ45/$G45*AB45,0)</f>
        <v>554</v>
      </c>
      <c r="AU45" s="848">
        <f>ROUND($AQ45/$G45*AE45,0)</f>
        <v>1247</v>
      </c>
      <c r="AV45" s="848">
        <f>ROUND($AQ45/$G45*AH45,0)</f>
        <v>1870</v>
      </c>
      <c r="AW45" s="2872">
        <f t="shared" si="5"/>
        <v>7162</v>
      </c>
      <c r="AX45" s="2891"/>
      <c r="BC45" s="4117">
        <f t="shared" si="25"/>
        <v>0</v>
      </c>
      <c r="BD45" s="4117">
        <f t="shared" si="7"/>
        <v>0</v>
      </c>
    </row>
    <row r="46" spans="1:56" ht="51">
      <c r="A46" s="5964" t="s">
        <v>11138</v>
      </c>
      <c r="B46" s="1259" t="s">
        <v>3142</v>
      </c>
      <c r="C46" s="1260">
        <v>0</v>
      </c>
      <c r="D46" s="1261">
        <v>41823</v>
      </c>
      <c r="E46" s="1261" t="s">
        <v>6383</v>
      </c>
      <c r="F46" s="3129">
        <v>41699</v>
      </c>
      <c r="G46" s="3130">
        <v>105.2</v>
      </c>
      <c r="H46" s="1262" t="s">
        <v>3889</v>
      </c>
      <c r="I46" s="1263" t="s">
        <v>1436</v>
      </c>
      <c r="J46" s="1264" t="s">
        <v>1437</v>
      </c>
      <c r="K46" s="1265">
        <v>42515</v>
      </c>
      <c r="L46" s="1263" t="s">
        <v>573</v>
      </c>
      <c r="M46" s="1264" t="s">
        <v>546</v>
      </c>
      <c r="N46" s="1263" t="s">
        <v>831</v>
      </c>
      <c r="O46" s="1262" t="s">
        <v>547</v>
      </c>
      <c r="P46" s="1266" t="s">
        <v>3143</v>
      </c>
      <c r="Q46" s="1264" t="s">
        <v>833</v>
      </c>
      <c r="R46" s="1264" t="s">
        <v>832</v>
      </c>
      <c r="S46" s="1267"/>
      <c r="T46" s="347">
        <v>5522</v>
      </c>
      <c r="U46" s="326">
        <v>0</v>
      </c>
      <c r="V46" s="1243">
        <f t="shared" si="0"/>
        <v>5522</v>
      </c>
      <c r="W46" s="347">
        <v>0</v>
      </c>
      <c r="X46" s="326">
        <v>0</v>
      </c>
      <c r="Y46" s="1243">
        <f t="shared" si="16"/>
        <v>0</v>
      </c>
      <c r="Z46" s="347">
        <v>36327</v>
      </c>
      <c r="AA46" s="326">
        <v>0</v>
      </c>
      <c r="AB46" s="1243">
        <f t="shared" si="2"/>
        <v>36327</v>
      </c>
      <c r="AC46" s="820">
        <v>0</v>
      </c>
      <c r="AD46" s="821">
        <v>0</v>
      </c>
      <c r="AE46" s="1244">
        <f t="shared" si="26"/>
        <v>0</v>
      </c>
      <c r="AF46" s="820">
        <v>0</v>
      </c>
      <c r="AG46" s="821">
        <v>0</v>
      </c>
      <c r="AH46" s="1244">
        <f t="shared" si="27"/>
        <v>0</v>
      </c>
      <c r="AI46" s="482">
        <f t="shared" si="28"/>
        <v>41849</v>
      </c>
      <c r="AJ46" s="326">
        <f t="shared" si="29"/>
        <v>0</v>
      </c>
      <c r="AK46" s="3899">
        <v>0</v>
      </c>
      <c r="AL46" s="1245">
        <f t="shared" si="15"/>
        <v>41849</v>
      </c>
      <c r="AM46" s="3356" t="s">
        <v>2594</v>
      </c>
      <c r="AN46" s="3357">
        <v>42114</v>
      </c>
      <c r="AO46" s="695">
        <v>1165323</v>
      </c>
      <c r="AP46" s="2722">
        <v>41974</v>
      </c>
      <c r="AQ46" s="3383">
        <v>106.7</v>
      </c>
      <c r="AR46" s="333">
        <f>ROUND($AQ46/$G46*V46,0)</f>
        <v>5601</v>
      </c>
      <c r="AS46" s="330">
        <f>ROUND($AQ46/$G46*Y46,0)</f>
        <v>0</v>
      </c>
      <c r="AT46" s="330">
        <f>ROUND($AQ46/$G46*AB46,0)</f>
        <v>36845</v>
      </c>
      <c r="AU46" s="849">
        <f>ROUND($AQ46/$G46*AE46,0)</f>
        <v>0</v>
      </c>
      <c r="AV46" s="849">
        <f>ROUND($AQ46/$G46*AH46,0)</f>
        <v>0</v>
      </c>
      <c r="AW46" s="2870">
        <f t="shared" si="5"/>
        <v>42446</v>
      </c>
      <c r="BC46" s="4117">
        <f t="shared" si="25"/>
        <v>0</v>
      </c>
      <c r="BD46" s="4117">
        <f t="shared" si="7"/>
        <v>0</v>
      </c>
    </row>
    <row r="47" spans="1:56" ht="51.75" thickBot="1">
      <c r="A47" s="5976" t="s">
        <v>11138</v>
      </c>
      <c r="B47" s="581" t="s">
        <v>2904</v>
      </c>
      <c r="C47" s="582" t="s">
        <v>1432</v>
      </c>
      <c r="D47" s="583">
        <v>41318</v>
      </c>
      <c r="E47" s="2992" t="s">
        <v>6393</v>
      </c>
      <c r="F47" s="3120">
        <v>41244</v>
      </c>
      <c r="G47" s="3122">
        <v>101.9</v>
      </c>
      <c r="H47" s="586" t="s">
        <v>1542</v>
      </c>
      <c r="I47" s="587" t="s">
        <v>1330</v>
      </c>
      <c r="J47" s="588" t="s">
        <v>1445</v>
      </c>
      <c r="K47" s="589">
        <v>42779</v>
      </c>
      <c r="L47" s="587" t="s">
        <v>1541</v>
      </c>
      <c r="M47" s="588" t="s">
        <v>1834</v>
      </c>
      <c r="N47" s="587" t="s">
        <v>1543</v>
      </c>
      <c r="O47" s="586" t="s">
        <v>1676</v>
      </c>
      <c r="P47" s="1258" t="s">
        <v>2850</v>
      </c>
      <c r="Q47" s="588" t="s">
        <v>2851</v>
      </c>
      <c r="R47" s="588" t="s">
        <v>2849</v>
      </c>
      <c r="S47" s="591"/>
      <c r="T47" s="1268">
        <v>469</v>
      </c>
      <c r="U47" s="1269">
        <v>0</v>
      </c>
      <c r="V47" s="1270">
        <f t="shared" si="0"/>
        <v>469</v>
      </c>
      <c r="W47" s="1268">
        <v>83</v>
      </c>
      <c r="X47" s="1269">
        <v>0</v>
      </c>
      <c r="Y47" s="1270">
        <f t="shared" si="16"/>
        <v>83</v>
      </c>
      <c r="Z47" s="1268">
        <v>0</v>
      </c>
      <c r="AA47" s="1269">
        <v>0</v>
      </c>
      <c r="AB47" s="1270">
        <f t="shared" si="2"/>
        <v>0</v>
      </c>
      <c r="AC47" s="1271">
        <v>99</v>
      </c>
      <c r="AD47" s="1272">
        <v>0</v>
      </c>
      <c r="AE47" s="1273">
        <f t="shared" si="26"/>
        <v>99</v>
      </c>
      <c r="AF47" s="1271">
        <v>149</v>
      </c>
      <c r="AG47" s="1272">
        <v>0</v>
      </c>
      <c r="AH47" s="1273">
        <f t="shared" si="27"/>
        <v>149</v>
      </c>
      <c r="AI47" s="1274">
        <f t="shared" si="28"/>
        <v>800</v>
      </c>
      <c r="AJ47" s="1269">
        <f t="shared" si="29"/>
        <v>0</v>
      </c>
      <c r="AK47" s="3910">
        <v>0</v>
      </c>
      <c r="AL47" s="1275">
        <f t="shared" si="15"/>
        <v>800</v>
      </c>
      <c r="AM47" s="3384" t="s">
        <v>2594</v>
      </c>
      <c r="AN47" s="3385">
        <v>42095</v>
      </c>
      <c r="AO47" s="3386">
        <v>1164775</v>
      </c>
      <c r="AP47" s="3387">
        <v>41244</v>
      </c>
      <c r="AQ47" s="3388">
        <v>101.9</v>
      </c>
      <c r="AR47" s="1276">
        <f>ROUND($AQ47/$G47*V47,0)</f>
        <v>469</v>
      </c>
      <c r="AS47" s="1277">
        <f>ROUND($AQ47/$G47*Y47,0)</f>
        <v>83</v>
      </c>
      <c r="AT47" s="1277">
        <f>ROUND($AQ47/$G47*AB47,0)</f>
        <v>0</v>
      </c>
      <c r="AU47" s="1278">
        <f>ROUND($AQ47/$G47*AE47,0)</f>
        <v>99</v>
      </c>
      <c r="AV47" s="1278">
        <f>ROUND($AQ47/$G47*AH47,0)</f>
        <v>149</v>
      </c>
      <c r="AW47" s="2877">
        <f t="shared" si="5"/>
        <v>800</v>
      </c>
      <c r="AX47" s="2890" t="s">
        <v>2012</v>
      </c>
      <c r="AY47" s="764" t="s">
        <v>2990</v>
      </c>
      <c r="AZ47" s="882">
        <f>SUM(AW45:AW47)</f>
        <v>50408</v>
      </c>
      <c r="BA47" s="883">
        <f>AZ47-BB47</f>
        <v>47043</v>
      </c>
      <c r="BB47" s="884">
        <f>SUM(AU45:AV47)</f>
        <v>3365</v>
      </c>
      <c r="BC47" s="4117">
        <f t="shared" si="25"/>
        <v>0</v>
      </c>
      <c r="BD47" s="4117">
        <f t="shared" si="7"/>
        <v>0</v>
      </c>
    </row>
    <row r="48" spans="1:56" ht="76.5">
      <c r="A48" s="5978" t="s">
        <v>11140</v>
      </c>
      <c r="B48" s="4056" t="s">
        <v>4042</v>
      </c>
      <c r="C48" s="4057">
        <v>0</v>
      </c>
      <c r="D48" s="4058">
        <v>41801</v>
      </c>
      <c r="E48" s="4059" t="s">
        <v>6383</v>
      </c>
      <c r="F48" s="4084">
        <v>41699</v>
      </c>
      <c r="G48" s="4085">
        <v>105.2</v>
      </c>
      <c r="H48" s="4062" t="s">
        <v>2141</v>
      </c>
      <c r="I48" s="1514" t="s">
        <v>1330</v>
      </c>
      <c r="J48" s="1515" t="s">
        <v>1445</v>
      </c>
      <c r="K48" s="1516">
        <v>42519</v>
      </c>
      <c r="L48" s="4063" t="s">
        <v>2142</v>
      </c>
      <c r="M48" s="1515" t="s">
        <v>2143</v>
      </c>
      <c r="N48" s="1514" t="s">
        <v>2144</v>
      </c>
      <c r="O48" s="1513" t="s">
        <v>2145</v>
      </c>
      <c r="P48" s="1517" t="s">
        <v>2146</v>
      </c>
      <c r="Q48" s="1515" t="s">
        <v>2147</v>
      </c>
      <c r="R48" s="1515" t="s">
        <v>2148</v>
      </c>
      <c r="S48" s="4055" t="s">
        <v>3476</v>
      </c>
      <c r="T48" s="1519">
        <v>859</v>
      </c>
      <c r="U48" s="1504">
        <v>859</v>
      </c>
      <c r="V48" s="1520">
        <f t="shared" si="0"/>
        <v>0</v>
      </c>
      <c r="W48" s="1519">
        <v>0</v>
      </c>
      <c r="X48" s="1504">
        <v>0</v>
      </c>
      <c r="Y48" s="1520">
        <f t="shared" si="16"/>
        <v>0</v>
      </c>
      <c r="Z48" s="1519">
        <v>202</v>
      </c>
      <c r="AA48" s="1504">
        <v>202</v>
      </c>
      <c r="AB48" s="1520">
        <f t="shared" si="2"/>
        <v>0</v>
      </c>
      <c r="AC48" s="1519">
        <v>227</v>
      </c>
      <c r="AD48" s="1504">
        <v>0</v>
      </c>
      <c r="AE48" s="1520">
        <f t="shared" si="26"/>
        <v>227</v>
      </c>
      <c r="AF48" s="1519">
        <v>341</v>
      </c>
      <c r="AG48" s="1504">
        <v>0</v>
      </c>
      <c r="AH48" s="1520">
        <f t="shared" si="27"/>
        <v>341</v>
      </c>
      <c r="AI48" s="1503">
        <f t="shared" si="28"/>
        <v>1629</v>
      </c>
      <c r="AJ48" s="1504">
        <f t="shared" si="29"/>
        <v>1061</v>
      </c>
      <c r="AK48" s="3912"/>
      <c r="AL48" s="1505">
        <f t="shared" si="15"/>
        <v>568</v>
      </c>
      <c r="AM48" s="4032" t="s">
        <v>7274</v>
      </c>
      <c r="AN48" s="4033" t="s">
        <v>4917</v>
      </c>
      <c r="AO48" s="4034"/>
      <c r="AP48" s="4035"/>
      <c r="AQ48" s="4082"/>
      <c r="AR48" s="1506">
        <f>ROUND($AQ48/$G48*V48,0)</f>
        <v>0</v>
      </c>
      <c r="AS48" s="1507">
        <f>ROUND($AQ48/$G48*Y48,0)</f>
        <v>0</v>
      </c>
      <c r="AT48" s="1507">
        <f>ROUND($AQ48/$G48*AB48,0)</f>
        <v>0</v>
      </c>
      <c r="AU48" s="1507">
        <f>ROUND($AQ48/$G48*AE48,0)</f>
        <v>0</v>
      </c>
      <c r="AV48" s="1507">
        <f>ROUND($AQ48/$G48*AH48,0)</f>
        <v>0</v>
      </c>
      <c r="AW48" s="4083">
        <f t="shared" si="5"/>
        <v>0</v>
      </c>
      <c r="AX48" s="1515"/>
      <c r="BA48" s="267"/>
      <c r="BB48" s="267"/>
      <c r="BC48" s="4117">
        <f t="shared" si="25"/>
        <v>0</v>
      </c>
      <c r="BD48" s="4117">
        <f t="shared" si="7"/>
        <v>0</v>
      </c>
    </row>
    <row r="49" spans="1:61" ht="102">
      <c r="A49" s="5968" t="s">
        <v>11138</v>
      </c>
      <c r="B49" s="546" t="s">
        <v>3090</v>
      </c>
      <c r="C49" s="547" t="s">
        <v>1432</v>
      </c>
      <c r="D49" s="548">
        <v>41291</v>
      </c>
      <c r="E49" s="548" t="s">
        <v>6393</v>
      </c>
      <c r="F49" s="3116">
        <v>41153</v>
      </c>
      <c r="G49" s="3117">
        <v>101.6</v>
      </c>
      <c r="H49" s="550" t="s">
        <v>1534</v>
      </c>
      <c r="I49" s="551" t="s">
        <v>1433</v>
      </c>
      <c r="J49" s="552" t="s">
        <v>1434</v>
      </c>
      <c r="K49" s="553">
        <v>42746</v>
      </c>
      <c r="L49" s="551" t="s">
        <v>1533</v>
      </c>
      <c r="M49" s="552" t="s">
        <v>1835</v>
      </c>
      <c r="N49" s="551" t="s">
        <v>1535</v>
      </c>
      <c r="O49" s="550" t="s">
        <v>1673</v>
      </c>
      <c r="P49" s="554" t="s">
        <v>3079</v>
      </c>
      <c r="Q49" s="552" t="s">
        <v>1672</v>
      </c>
      <c r="R49" s="552" t="s">
        <v>1536</v>
      </c>
      <c r="S49" s="555"/>
      <c r="T49" s="556">
        <v>3802</v>
      </c>
      <c r="U49" s="557">
        <v>0</v>
      </c>
      <c r="V49" s="558">
        <f t="shared" si="0"/>
        <v>3802</v>
      </c>
      <c r="W49" s="556">
        <v>6337</v>
      </c>
      <c r="X49" s="557">
        <v>0</v>
      </c>
      <c r="Y49" s="558">
        <f t="shared" si="16"/>
        <v>6337</v>
      </c>
      <c r="Z49" s="556">
        <v>2535</v>
      </c>
      <c r="AA49" s="557">
        <v>0</v>
      </c>
      <c r="AB49" s="558">
        <f t="shared" si="2"/>
        <v>2535</v>
      </c>
      <c r="AC49" s="823">
        <v>2968</v>
      </c>
      <c r="AD49" s="824">
        <v>0</v>
      </c>
      <c r="AE49" s="825">
        <f t="shared" si="26"/>
        <v>2968</v>
      </c>
      <c r="AF49" s="823">
        <v>4451</v>
      </c>
      <c r="AG49" s="824">
        <v>0</v>
      </c>
      <c r="AH49" s="825">
        <f t="shared" si="27"/>
        <v>4451</v>
      </c>
      <c r="AI49" s="559">
        <f t="shared" si="28"/>
        <v>20093</v>
      </c>
      <c r="AJ49" s="557">
        <f t="shared" si="29"/>
        <v>0</v>
      </c>
      <c r="AK49" s="3900">
        <v>0</v>
      </c>
      <c r="AL49" s="561">
        <f t="shared" si="15"/>
        <v>20093</v>
      </c>
      <c r="AM49" s="3340" t="s">
        <v>3091</v>
      </c>
      <c r="AN49" s="682" t="s">
        <v>3092</v>
      </c>
      <c r="AO49" s="683" t="s">
        <v>3093</v>
      </c>
      <c r="AP49" s="684">
        <v>42339</v>
      </c>
      <c r="AQ49" s="685">
        <v>106.7</v>
      </c>
      <c r="AR49" s="562">
        <f>ROUND($AQ49/$G49*V49,0)</f>
        <v>3993</v>
      </c>
      <c r="AS49" s="563">
        <v>6655</v>
      </c>
      <c r="AT49" s="563">
        <f>ROUND($AQ49/$G49*AB49,0)</f>
        <v>2662</v>
      </c>
      <c r="AU49" s="848">
        <v>0</v>
      </c>
      <c r="AV49" s="848">
        <v>0</v>
      </c>
      <c r="AW49" s="2866">
        <f t="shared" si="5"/>
        <v>13310</v>
      </c>
      <c r="AX49" s="2887" t="s">
        <v>1728</v>
      </c>
      <c r="BB49" s="267"/>
      <c r="BC49" s="4117">
        <f t="shared" si="25"/>
        <v>0</v>
      </c>
      <c r="BD49" s="4117">
        <f t="shared" si="7"/>
        <v>0</v>
      </c>
    </row>
    <row r="50" spans="1:61" ht="63.75">
      <c r="A50" s="5979" t="s">
        <v>11139</v>
      </c>
      <c r="B50" s="908" t="s">
        <v>2386</v>
      </c>
      <c r="C50" s="909">
        <v>0</v>
      </c>
      <c r="D50" s="910">
        <v>41919</v>
      </c>
      <c r="E50" s="3044" t="s">
        <v>6383</v>
      </c>
      <c r="F50" s="911">
        <v>41821</v>
      </c>
      <c r="G50" s="1218">
        <v>1</v>
      </c>
      <c r="H50" s="913" t="s">
        <v>2551</v>
      </c>
      <c r="I50" s="914" t="s">
        <v>1433</v>
      </c>
      <c r="J50" s="915" t="s">
        <v>1434</v>
      </c>
      <c r="K50" s="916">
        <v>41915</v>
      </c>
      <c r="L50" s="914" t="s">
        <v>2552</v>
      </c>
      <c r="M50" s="915" t="s">
        <v>2553</v>
      </c>
      <c r="N50" s="914" t="s">
        <v>2554</v>
      </c>
      <c r="O50" s="913" t="s">
        <v>2555</v>
      </c>
      <c r="P50" s="1018"/>
      <c r="Q50" s="915" t="s">
        <v>2556</v>
      </c>
      <c r="R50" s="915" t="s">
        <v>2545</v>
      </c>
      <c r="S50" s="918"/>
      <c r="T50" s="919">
        <v>7168</v>
      </c>
      <c r="U50" s="920">
        <v>0</v>
      </c>
      <c r="V50" s="921">
        <f t="shared" si="0"/>
        <v>7168</v>
      </c>
      <c r="W50" s="919">
        <v>8960</v>
      </c>
      <c r="X50" s="920">
        <v>0</v>
      </c>
      <c r="Y50" s="921">
        <f t="shared" si="16"/>
        <v>8960</v>
      </c>
      <c r="Z50" s="919">
        <v>1792</v>
      </c>
      <c r="AA50" s="920">
        <v>0</v>
      </c>
      <c r="AB50" s="921">
        <f t="shared" si="2"/>
        <v>1792</v>
      </c>
      <c r="AC50" s="820"/>
      <c r="AD50" s="821"/>
      <c r="AE50" s="822"/>
      <c r="AF50" s="820">
        <v>0</v>
      </c>
      <c r="AG50" s="821">
        <v>0</v>
      </c>
      <c r="AH50" s="822">
        <v>0</v>
      </c>
      <c r="AI50" s="922">
        <f t="shared" si="28"/>
        <v>17920</v>
      </c>
      <c r="AJ50" s="920">
        <f t="shared" si="29"/>
        <v>0</v>
      </c>
      <c r="AK50" s="3907">
        <v>0</v>
      </c>
      <c r="AL50" s="923">
        <f t="shared" si="15"/>
        <v>17920</v>
      </c>
      <c r="AM50" s="1605" t="s">
        <v>2594</v>
      </c>
      <c r="AN50" s="3364">
        <v>42159</v>
      </c>
      <c r="AO50" s="3365">
        <v>1166793</v>
      </c>
      <c r="AP50" s="3366">
        <v>41821</v>
      </c>
      <c r="AQ50" s="3367">
        <v>1</v>
      </c>
      <c r="AR50" s="924">
        <v>7168</v>
      </c>
      <c r="AS50" s="925">
        <v>8960</v>
      </c>
      <c r="AT50" s="925">
        <v>1792</v>
      </c>
      <c r="AU50" s="849">
        <v>0</v>
      </c>
      <c r="AV50" s="849">
        <v>0</v>
      </c>
      <c r="AW50" s="2874">
        <f t="shared" si="5"/>
        <v>17920</v>
      </c>
      <c r="AX50" s="3143"/>
      <c r="BB50" s="267"/>
      <c r="BC50" s="4117">
        <f t="shared" si="25"/>
        <v>0</v>
      </c>
      <c r="BD50" s="4117">
        <f t="shared" si="7"/>
        <v>0</v>
      </c>
    </row>
    <row r="51" spans="1:61" s="307" customFormat="1" ht="51.75" thickBot="1">
      <c r="A51" s="5969" t="s">
        <v>11138</v>
      </c>
      <c r="B51" s="4410" t="s">
        <v>1710</v>
      </c>
      <c r="C51" s="4411">
        <v>0</v>
      </c>
      <c r="D51" s="4412">
        <v>41717</v>
      </c>
      <c r="E51" s="4412" t="s">
        <v>6383</v>
      </c>
      <c r="F51" s="4413">
        <v>41609</v>
      </c>
      <c r="G51" s="4414">
        <v>104.6</v>
      </c>
      <c r="H51" s="4415" t="s">
        <v>1891</v>
      </c>
      <c r="I51" s="4416" t="s">
        <v>1433</v>
      </c>
      <c r="J51" s="4417" t="s">
        <v>1434</v>
      </c>
      <c r="K51" s="4418">
        <v>42813</v>
      </c>
      <c r="L51" s="4416" t="s">
        <v>1892</v>
      </c>
      <c r="M51" s="4417" t="s">
        <v>1893</v>
      </c>
      <c r="N51" s="4416" t="s">
        <v>1894</v>
      </c>
      <c r="O51" s="4415" t="s">
        <v>1895</v>
      </c>
      <c r="P51" s="4419" t="s">
        <v>3080</v>
      </c>
      <c r="Q51" s="4417" t="s">
        <v>1897</v>
      </c>
      <c r="R51" s="4417" t="s">
        <v>1896</v>
      </c>
      <c r="S51" s="4420"/>
      <c r="T51" s="4421">
        <v>7604</v>
      </c>
      <c r="U51" s="4422">
        <v>0</v>
      </c>
      <c r="V51" s="4423">
        <f t="shared" si="0"/>
        <v>7604</v>
      </c>
      <c r="W51" s="4421">
        <v>9505</v>
      </c>
      <c r="X51" s="4422">
        <v>0</v>
      </c>
      <c r="Y51" s="4423">
        <f t="shared" si="16"/>
        <v>9505</v>
      </c>
      <c r="Z51" s="4421">
        <v>1901</v>
      </c>
      <c r="AA51" s="4422">
        <v>0</v>
      </c>
      <c r="AB51" s="4423">
        <f t="shared" si="2"/>
        <v>1901</v>
      </c>
      <c r="AC51" s="3736">
        <v>4277</v>
      </c>
      <c r="AD51" s="4451">
        <v>0</v>
      </c>
      <c r="AE51" s="4452">
        <f>AC51-AD51</f>
        <v>4277</v>
      </c>
      <c r="AF51" s="3736">
        <v>6416</v>
      </c>
      <c r="AG51" s="4451">
        <v>0</v>
      </c>
      <c r="AH51" s="4452">
        <f>AF51-AG51</f>
        <v>6416</v>
      </c>
      <c r="AI51" s="4424">
        <f t="shared" si="28"/>
        <v>29703</v>
      </c>
      <c r="AJ51" s="4422">
        <f t="shared" si="29"/>
        <v>0</v>
      </c>
      <c r="AK51" s="4425">
        <v>0</v>
      </c>
      <c r="AL51" s="4426">
        <f t="shared" si="15"/>
        <v>29703</v>
      </c>
      <c r="AM51" s="4427" t="s">
        <v>2594</v>
      </c>
      <c r="AN51" s="4428">
        <v>42164</v>
      </c>
      <c r="AO51" s="4429">
        <v>1166883</v>
      </c>
      <c r="AP51" s="4430">
        <v>42339</v>
      </c>
      <c r="AQ51" s="4431">
        <v>106.7</v>
      </c>
      <c r="AR51" s="4432">
        <f t="shared" ref="AR51:AR87" si="30">ROUND($AQ51/$G51*V51,0)</f>
        <v>7757</v>
      </c>
      <c r="AS51" s="4433">
        <f t="shared" ref="AS51:AS82" si="31">ROUND($AQ51/$G51*Y51,0)</f>
        <v>9696</v>
      </c>
      <c r="AT51" s="4433">
        <f t="shared" ref="AT51:AT82" si="32">ROUND($AQ51/$G51*AB51,0)</f>
        <v>1939</v>
      </c>
      <c r="AU51" s="4453">
        <v>0</v>
      </c>
      <c r="AV51" s="4453">
        <v>0</v>
      </c>
      <c r="AW51" s="4434">
        <f t="shared" si="5"/>
        <v>19392</v>
      </c>
      <c r="AX51" s="4435"/>
      <c r="AY51" s="743" t="s">
        <v>3081</v>
      </c>
      <c r="AZ51" s="927">
        <f>SUM(AW48:AW51)</f>
        <v>50622</v>
      </c>
      <c r="BA51" s="928">
        <f>AZ51-BB51</f>
        <v>50622</v>
      </c>
      <c r="BB51" s="929">
        <f>SUM(AU48:AV51)</f>
        <v>0</v>
      </c>
      <c r="BC51" s="4118">
        <f t="shared" si="25"/>
        <v>0</v>
      </c>
      <c r="BD51" s="4118">
        <f t="shared" si="7"/>
        <v>0</v>
      </c>
      <c r="BE51" s="4112"/>
      <c r="BF51" s="4523">
        <f>SUM(BA15:BA51)</f>
        <v>540632</v>
      </c>
      <c r="BG51" s="4518">
        <f>SUM(BC15:BC51)</f>
        <v>57724</v>
      </c>
      <c r="BH51" s="4518">
        <f>SUM(BD15:BD51)</f>
        <v>0</v>
      </c>
      <c r="BI51" s="4527">
        <f>SUM(BE15:BE51)</f>
        <v>-24115</v>
      </c>
    </row>
    <row r="52" spans="1:61" ht="63.75">
      <c r="A52" s="5966" t="s">
        <v>11139</v>
      </c>
      <c r="B52" s="827" t="s">
        <v>2996</v>
      </c>
      <c r="C52" s="828" t="s">
        <v>1432</v>
      </c>
      <c r="D52" s="829">
        <v>41163</v>
      </c>
      <c r="E52" s="829" t="s">
        <v>6390</v>
      </c>
      <c r="F52" s="830">
        <v>41061</v>
      </c>
      <c r="G52" s="831">
        <v>1</v>
      </c>
      <c r="H52" s="832" t="s">
        <v>1522</v>
      </c>
      <c r="I52" s="833" t="s">
        <v>1433</v>
      </c>
      <c r="J52" s="834" t="s">
        <v>1434</v>
      </c>
      <c r="K52" s="835">
        <v>42619</v>
      </c>
      <c r="L52" s="833" t="s">
        <v>1814</v>
      </c>
      <c r="M52" s="834" t="s">
        <v>1810</v>
      </c>
      <c r="N52" s="833" t="s">
        <v>2830</v>
      </c>
      <c r="O52" s="832" t="s">
        <v>2831</v>
      </c>
      <c r="P52" s="836" t="s">
        <v>2997</v>
      </c>
      <c r="Q52" s="834" t="s">
        <v>1660</v>
      </c>
      <c r="R52" s="834" t="s">
        <v>1523</v>
      </c>
      <c r="S52" s="2405" t="s">
        <v>7226</v>
      </c>
      <c r="T52" s="838">
        <v>576</v>
      </c>
      <c r="U52" s="839">
        <v>0</v>
      </c>
      <c r="V52" s="840">
        <f t="shared" si="0"/>
        <v>576</v>
      </c>
      <c r="W52" s="838">
        <v>102</v>
      </c>
      <c r="X52" s="839">
        <v>0</v>
      </c>
      <c r="Y52" s="840">
        <f t="shared" si="16"/>
        <v>102</v>
      </c>
      <c r="Z52" s="838">
        <v>42</v>
      </c>
      <c r="AA52" s="839">
        <v>0</v>
      </c>
      <c r="AB52" s="840">
        <f t="shared" si="2"/>
        <v>42</v>
      </c>
      <c r="AC52" s="823"/>
      <c r="AD52" s="824"/>
      <c r="AE52" s="825"/>
      <c r="AF52" s="823"/>
      <c r="AG52" s="824"/>
      <c r="AH52" s="825"/>
      <c r="AI52" s="841">
        <f t="shared" si="28"/>
        <v>720</v>
      </c>
      <c r="AJ52" s="839">
        <f t="shared" si="29"/>
        <v>0</v>
      </c>
      <c r="AK52" s="3906">
        <v>0</v>
      </c>
      <c r="AL52" s="869">
        <f t="shared" si="15"/>
        <v>720</v>
      </c>
      <c r="AM52" s="3359" t="s">
        <v>2594</v>
      </c>
      <c r="AN52" s="3360" t="s">
        <v>3115</v>
      </c>
      <c r="AO52" s="3361">
        <v>1167604</v>
      </c>
      <c r="AP52" s="3362" t="s">
        <v>3004</v>
      </c>
      <c r="AQ52" s="3363">
        <v>1</v>
      </c>
      <c r="AR52" s="846">
        <f t="shared" si="30"/>
        <v>576</v>
      </c>
      <c r="AS52" s="847">
        <f t="shared" si="31"/>
        <v>102</v>
      </c>
      <c r="AT52" s="847">
        <f t="shared" si="32"/>
        <v>42</v>
      </c>
      <c r="AU52" s="848"/>
      <c r="AV52" s="848"/>
      <c r="AW52" s="2872">
        <f t="shared" si="5"/>
        <v>720</v>
      </c>
      <c r="AX52" s="2891" t="s">
        <v>3116</v>
      </c>
      <c r="AY52" s="2006"/>
      <c r="AZ52" s="1220"/>
      <c r="BA52" s="1221"/>
      <c r="BB52" s="1222"/>
      <c r="BC52" s="4117">
        <f t="shared" si="25"/>
        <v>0</v>
      </c>
      <c r="BD52" s="4117">
        <f t="shared" si="7"/>
        <v>0</v>
      </c>
    </row>
    <row r="53" spans="1:61" ht="51">
      <c r="A53" s="2418" t="s">
        <v>11139</v>
      </c>
      <c r="B53" s="1298" t="s">
        <v>3228</v>
      </c>
      <c r="C53" s="321">
        <v>1</v>
      </c>
      <c r="D53" s="323" t="s">
        <v>2546</v>
      </c>
      <c r="E53" s="3012" t="s">
        <v>6389</v>
      </c>
      <c r="F53" s="324">
        <v>41821</v>
      </c>
      <c r="G53" s="331">
        <v>1</v>
      </c>
      <c r="H53" s="1202" t="s">
        <v>2270</v>
      </c>
      <c r="I53" s="339" t="s">
        <v>1433</v>
      </c>
      <c r="J53" s="322" t="s">
        <v>1434</v>
      </c>
      <c r="K53" s="1242" t="s">
        <v>2547</v>
      </c>
      <c r="L53" s="339" t="s">
        <v>500</v>
      </c>
      <c r="M53" s="322" t="s">
        <v>2271</v>
      </c>
      <c r="N53" s="339" t="s">
        <v>2272</v>
      </c>
      <c r="O53" s="1202" t="s">
        <v>2273</v>
      </c>
      <c r="P53" s="345" t="s">
        <v>3223</v>
      </c>
      <c r="Q53" s="322" t="s">
        <v>2275</v>
      </c>
      <c r="R53" s="322" t="s">
        <v>2274</v>
      </c>
      <c r="S53" s="1299"/>
      <c r="T53" s="347">
        <v>16422</v>
      </c>
      <c r="U53" s="326">
        <v>0</v>
      </c>
      <c r="V53" s="1243">
        <f t="shared" si="0"/>
        <v>16422</v>
      </c>
      <c r="W53" s="347">
        <v>2898</v>
      </c>
      <c r="X53" s="326">
        <v>0</v>
      </c>
      <c r="Y53" s="1243">
        <f t="shared" si="16"/>
        <v>2898</v>
      </c>
      <c r="Z53" s="347">
        <v>0</v>
      </c>
      <c r="AA53" s="326">
        <v>0</v>
      </c>
      <c r="AB53" s="1243">
        <f t="shared" si="2"/>
        <v>0</v>
      </c>
      <c r="AC53" s="1300"/>
      <c r="AD53" s="821"/>
      <c r="AE53" s="1301"/>
      <c r="AF53" s="1300"/>
      <c r="AG53" s="821"/>
      <c r="AH53" s="1301"/>
      <c r="AI53" s="482">
        <f t="shared" si="28"/>
        <v>19320</v>
      </c>
      <c r="AJ53" s="326">
        <f t="shared" si="29"/>
        <v>0</v>
      </c>
      <c r="AK53" s="3899">
        <v>0</v>
      </c>
      <c r="AL53" s="1245">
        <f t="shared" si="15"/>
        <v>19320</v>
      </c>
      <c r="AM53" s="2002" t="s">
        <v>2594</v>
      </c>
      <c r="AN53" s="3357">
        <v>42192</v>
      </c>
      <c r="AO53" s="695">
        <v>1167759</v>
      </c>
      <c r="AP53" s="2722">
        <v>42339</v>
      </c>
      <c r="AQ53" s="3383">
        <v>1</v>
      </c>
      <c r="AR53" s="333">
        <f t="shared" si="30"/>
        <v>16422</v>
      </c>
      <c r="AS53" s="330">
        <f t="shared" si="31"/>
        <v>2898</v>
      </c>
      <c r="AT53" s="330">
        <f t="shared" si="32"/>
        <v>0</v>
      </c>
      <c r="AU53" s="1302"/>
      <c r="AV53" s="1302"/>
      <c r="AW53" s="2870">
        <f t="shared" si="5"/>
        <v>19320</v>
      </c>
      <c r="AX53" s="3145" t="s">
        <v>3224</v>
      </c>
      <c r="BC53" s="4117">
        <f t="shared" si="25"/>
        <v>0</v>
      </c>
      <c r="BD53" s="4117">
        <f t="shared" si="7"/>
        <v>0</v>
      </c>
    </row>
    <row r="54" spans="1:61" ht="76.5">
      <c r="A54" s="2418" t="s">
        <v>11139</v>
      </c>
      <c r="B54" s="338" t="s">
        <v>2814</v>
      </c>
      <c r="C54" s="321">
        <v>1</v>
      </c>
      <c r="D54" s="323" t="s">
        <v>3147</v>
      </c>
      <c r="E54" s="3012" t="s">
        <v>6394</v>
      </c>
      <c r="F54" s="324">
        <v>41821</v>
      </c>
      <c r="G54" s="331">
        <v>1</v>
      </c>
      <c r="H54" s="332" t="s">
        <v>3028</v>
      </c>
      <c r="I54" s="339" t="s">
        <v>1436</v>
      </c>
      <c r="J54" s="322" t="s">
        <v>2712</v>
      </c>
      <c r="K54" s="340">
        <v>42842</v>
      </c>
      <c r="L54" s="339" t="s">
        <v>3029</v>
      </c>
      <c r="M54" s="322" t="s">
        <v>2912</v>
      </c>
      <c r="N54" s="339" t="s">
        <v>3030</v>
      </c>
      <c r="O54" s="332" t="s">
        <v>3031</v>
      </c>
      <c r="P54" s="345" t="s">
        <v>3148</v>
      </c>
      <c r="Q54" s="322" t="s">
        <v>2966</v>
      </c>
      <c r="R54" s="322" t="s">
        <v>3032</v>
      </c>
      <c r="S54" s="346" t="s">
        <v>3149</v>
      </c>
      <c r="T54" s="347">
        <v>0</v>
      </c>
      <c r="U54" s="326">
        <v>0</v>
      </c>
      <c r="V54" s="348">
        <f t="shared" si="0"/>
        <v>0</v>
      </c>
      <c r="W54" s="347">
        <v>0</v>
      </c>
      <c r="X54" s="326">
        <v>0</v>
      </c>
      <c r="Y54" s="348">
        <f t="shared" si="16"/>
        <v>0</v>
      </c>
      <c r="Z54" s="347">
        <v>0</v>
      </c>
      <c r="AA54" s="326">
        <v>0</v>
      </c>
      <c r="AB54" s="348">
        <f t="shared" si="2"/>
        <v>0</v>
      </c>
      <c r="AC54" s="820"/>
      <c r="AD54" s="821"/>
      <c r="AE54" s="822"/>
      <c r="AF54" s="820"/>
      <c r="AG54" s="821"/>
      <c r="AH54" s="822"/>
      <c r="AI54" s="482">
        <f t="shared" si="28"/>
        <v>0</v>
      </c>
      <c r="AJ54" s="326">
        <f t="shared" si="29"/>
        <v>0</v>
      </c>
      <c r="AK54" s="3899">
        <v>0</v>
      </c>
      <c r="AL54" s="349">
        <f t="shared" si="15"/>
        <v>0</v>
      </c>
      <c r="AM54" s="2002" t="s">
        <v>175</v>
      </c>
      <c r="AN54" s="3357" t="s">
        <v>175</v>
      </c>
      <c r="AO54" s="695" t="s">
        <v>175</v>
      </c>
      <c r="AP54" s="2722" t="s">
        <v>175</v>
      </c>
      <c r="AQ54" s="3358">
        <v>1</v>
      </c>
      <c r="AR54" s="333">
        <f t="shared" si="30"/>
        <v>0</v>
      </c>
      <c r="AS54" s="330">
        <f t="shared" si="31"/>
        <v>0</v>
      </c>
      <c r="AT54" s="330">
        <f t="shared" si="32"/>
        <v>0</v>
      </c>
      <c r="AU54" s="849"/>
      <c r="AV54" s="849"/>
      <c r="AW54" s="2870">
        <f t="shared" si="5"/>
        <v>0</v>
      </c>
      <c r="AX54" s="3140"/>
      <c r="BB54" s="267"/>
      <c r="BC54" s="4117">
        <f t="shared" si="25"/>
        <v>0</v>
      </c>
      <c r="BD54" s="4117">
        <f t="shared" si="7"/>
        <v>0</v>
      </c>
    </row>
    <row r="55" spans="1:61" ht="63.75">
      <c r="A55" s="5964" t="s">
        <v>11138</v>
      </c>
      <c r="B55" s="338">
        <v>166</v>
      </c>
      <c r="C55" s="321" t="s">
        <v>1432</v>
      </c>
      <c r="D55" s="323">
        <v>40989</v>
      </c>
      <c r="E55" s="3012" t="s">
        <v>6390</v>
      </c>
      <c r="F55" s="1203">
        <v>40878</v>
      </c>
      <c r="G55" s="1204">
        <v>99.7</v>
      </c>
      <c r="H55" s="332" t="s">
        <v>1490</v>
      </c>
      <c r="I55" s="339" t="s">
        <v>1436</v>
      </c>
      <c r="J55" s="322" t="s">
        <v>1434</v>
      </c>
      <c r="K55" s="340">
        <v>41713</v>
      </c>
      <c r="L55" s="339" t="s">
        <v>500</v>
      </c>
      <c r="M55" s="322" t="s">
        <v>1845</v>
      </c>
      <c r="N55" s="339" t="s">
        <v>1491</v>
      </c>
      <c r="O55" s="332" t="s">
        <v>1644</v>
      </c>
      <c r="P55" s="345"/>
      <c r="Q55" s="322" t="s">
        <v>1645</v>
      </c>
      <c r="R55" s="322" t="s">
        <v>1492</v>
      </c>
      <c r="S55" s="346"/>
      <c r="T55" s="347">
        <v>15572</v>
      </c>
      <c r="U55" s="326">
        <v>0</v>
      </c>
      <c r="V55" s="348">
        <f t="shared" si="0"/>
        <v>15572</v>
      </c>
      <c r="W55" s="347">
        <v>2748</v>
      </c>
      <c r="X55" s="326">
        <v>0</v>
      </c>
      <c r="Y55" s="348">
        <f t="shared" si="16"/>
        <v>2748</v>
      </c>
      <c r="Z55" s="347">
        <v>0</v>
      </c>
      <c r="AA55" s="326">
        <v>0</v>
      </c>
      <c r="AB55" s="348">
        <f t="shared" si="2"/>
        <v>0</v>
      </c>
      <c r="AC55" s="820">
        <v>3472</v>
      </c>
      <c r="AD55" s="821">
        <v>0</v>
      </c>
      <c r="AE55" s="822">
        <f>AC55-AD55</f>
        <v>3472</v>
      </c>
      <c r="AF55" s="820">
        <v>5208</v>
      </c>
      <c r="AG55" s="821">
        <v>0</v>
      </c>
      <c r="AH55" s="822">
        <f>AF55-AG55</f>
        <v>5208</v>
      </c>
      <c r="AI55" s="482">
        <f t="shared" si="28"/>
        <v>27000</v>
      </c>
      <c r="AJ55" s="326">
        <f t="shared" si="29"/>
        <v>0</v>
      </c>
      <c r="AK55" s="3899">
        <v>0</v>
      </c>
      <c r="AL55" s="349">
        <f t="shared" si="15"/>
        <v>27000</v>
      </c>
      <c r="AM55" s="3356" t="s">
        <v>2594</v>
      </c>
      <c r="AN55" s="3357">
        <v>42207</v>
      </c>
      <c r="AO55" s="695">
        <v>1168457</v>
      </c>
      <c r="AP55" s="2722">
        <v>42064</v>
      </c>
      <c r="AQ55" s="3358">
        <v>106.7</v>
      </c>
      <c r="AR55" s="333">
        <f t="shared" si="30"/>
        <v>16665</v>
      </c>
      <c r="AS55" s="330">
        <f t="shared" si="31"/>
        <v>2941</v>
      </c>
      <c r="AT55" s="330">
        <f t="shared" si="32"/>
        <v>0</v>
      </c>
      <c r="AU55" s="849">
        <v>0</v>
      </c>
      <c r="AV55" s="849">
        <v>0</v>
      </c>
      <c r="AW55" s="2870">
        <f t="shared" si="5"/>
        <v>19606</v>
      </c>
      <c r="AX55" s="3140" t="s">
        <v>1728</v>
      </c>
      <c r="BC55" s="4117">
        <f t="shared" si="25"/>
        <v>0</v>
      </c>
      <c r="BD55" s="4117">
        <f t="shared" si="7"/>
        <v>0</v>
      </c>
    </row>
    <row r="56" spans="1:61" ht="153">
      <c r="A56" s="2418" t="s">
        <v>11139</v>
      </c>
      <c r="B56" s="338" t="s">
        <v>2813</v>
      </c>
      <c r="C56" s="321">
        <v>0</v>
      </c>
      <c r="D56" s="323">
        <v>42083</v>
      </c>
      <c r="E56" s="3012" t="s">
        <v>6387</v>
      </c>
      <c r="F56" s="324">
        <v>41821</v>
      </c>
      <c r="G56" s="331">
        <v>1</v>
      </c>
      <c r="H56" s="332" t="s">
        <v>2982</v>
      </c>
      <c r="I56" s="339" t="s">
        <v>1433</v>
      </c>
      <c r="J56" s="322" t="s">
        <v>1434</v>
      </c>
      <c r="K56" s="340">
        <v>43544</v>
      </c>
      <c r="L56" s="339" t="s">
        <v>2983</v>
      </c>
      <c r="M56" s="322" t="s">
        <v>2984</v>
      </c>
      <c r="N56" s="339" t="s">
        <v>2985</v>
      </c>
      <c r="O56" s="332" t="s">
        <v>2986</v>
      </c>
      <c r="P56" s="345" t="s">
        <v>3155</v>
      </c>
      <c r="Q56" s="322" t="s">
        <v>2987</v>
      </c>
      <c r="R56" s="322" t="s">
        <v>2988</v>
      </c>
      <c r="S56" s="346"/>
      <c r="T56" s="347">
        <v>0</v>
      </c>
      <c r="U56" s="326">
        <v>0</v>
      </c>
      <c r="V56" s="348">
        <f t="shared" si="0"/>
        <v>0</v>
      </c>
      <c r="W56" s="347">
        <v>0</v>
      </c>
      <c r="X56" s="326">
        <v>0</v>
      </c>
      <c r="Y56" s="348">
        <f t="shared" si="16"/>
        <v>0</v>
      </c>
      <c r="Z56" s="347">
        <v>0</v>
      </c>
      <c r="AA56" s="326">
        <v>0</v>
      </c>
      <c r="AB56" s="348">
        <f t="shared" si="2"/>
        <v>0</v>
      </c>
      <c r="AC56" s="820"/>
      <c r="AD56" s="821"/>
      <c r="AE56" s="822"/>
      <c r="AF56" s="820"/>
      <c r="AG56" s="821"/>
      <c r="AH56" s="822"/>
      <c r="AI56" s="482">
        <f t="shared" si="28"/>
        <v>0</v>
      </c>
      <c r="AJ56" s="326">
        <f t="shared" si="29"/>
        <v>0</v>
      </c>
      <c r="AK56" s="3899">
        <v>0</v>
      </c>
      <c r="AL56" s="349">
        <f t="shared" si="15"/>
        <v>0</v>
      </c>
      <c r="AM56" s="3389" t="s">
        <v>175</v>
      </c>
      <c r="AN56" s="695" t="s">
        <v>175</v>
      </c>
      <c r="AO56" s="695" t="s">
        <v>175</v>
      </c>
      <c r="AP56" s="3390" t="s">
        <v>175</v>
      </c>
      <c r="AQ56" s="3358">
        <v>1</v>
      </c>
      <c r="AR56" s="333">
        <f t="shared" si="30"/>
        <v>0</v>
      </c>
      <c r="AS56" s="330">
        <f t="shared" si="31"/>
        <v>0</v>
      </c>
      <c r="AT56" s="330">
        <f t="shared" si="32"/>
        <v>0</v>
      </c>
      <c r="AU56" s="849"/>
      <c r="AV56" s="849"/>
      <c r="AW56" s="2870">
        <f t="shared" si="5"/>
        <v>0</v>
      </c>
      <c r="AX56" s="3140"/>
      <c r="BC56" s="4117">
        <f t="shared" si="25"/>
        <v>0</v>
      </c>
      <c r="BD56" s="4117">
        <f t="shared" si="7"/>
        <v>0</v>
      </c>
    </row>
    <row r="57" spans="1:61" ht="38.25">
      <c r="A57" s="2418" t="s">
        <v>11139</v>
      </c>
      <c r="B57" s="338" t="s">
        <v>2919</v>
      </c>
      <c r="C57" s="321">
        <v>0</v>
      </c>
      <c r="D57" s="323">
        <v>42188</v>
      </c>
      <c r="E57" s="3012" t="s">
        <v>6387</v>
      </c>
      <c r="F57" s="324">
        <v>41821</v>
      </c>
      <c r="G57" s="331">
        <v>1</v>
      </c>
      <c r="H57" s="332" t="s">
        <v>3118</v>
      </c>
      <c r="I57" s="339" t="s">
        <v>1436</v>
      </c>
      <c r="J57" s="322" t="s">
        <v>2712</v>
      </c>
      <c r="K57" s="340">
        <v>43649</v>
      </c>
      <c r="L57" s="339" t="s">
        <v>3119</v>
      </c>
      <c r="M57" s="322" t="s">
        <v>3120</v>
      </c>
      <c r="N57" s="339" t="s">
        <v>3121</v>
      </c>
      <c r="O57" s="332" t="s">
        <v>3122</v>
      </c>
      <c r="P57" s="345" t="s">
        <v>3123</v>
      </c>
      <c r="Q57" s="322" t="s">
        <v>2544</v>
      </c>
      <c r="R57" s="322" t="s">
        <v>5593</v>
      </c>
      <c r="S57" s="346"/>
      <c r="T57" s="347">
        <v>0</v>
      </c>
      <c r="U57" s="326">
        <v>0</v>
      </c>
      <c r="V57" s="348">
        <f t="shared" si="0"/>
        <v>0</v>
      </c>
      <c r="W57" s="347">
        <v>0</v>
      </c>
      <c r="X57" s="326">
        <v>0</v>
      </c>
      <c r="Y57" s="348">
        <f t="shared" si="16"/>
        <v>0</v>
      </c>
      <c r="Z57" s="347">
        <v>0</v>
      </c>
      <c r="AA57" s="326">
        <v>0</v>
      </c>
      <c r="AB57" s="348">
        <f t="shared" si="2"/>
        <v>0</v>
      </c>
      <c r="AC57" s="820"/>
      <c r="AD57" s="821"/>
      <c r="AE57" s="822"/>
      <c r="AF57" s="820"/>
      <c r="AG57" s="821"/>
      <c r="AH57" s="822"/>
      <c r="AI57" s="482">
        <f t="shared" si="28"/>
        <v>0</v>
      </c>
      <c r="AJ57" s="326">
        <f t="shared" si="29"/>
        <v>0</v>
      </c>
      <c r="AK57" s="3899">
        <v>0</v>
      </c>
      <c r="AL57" s="349">
        <f t="shared" si="15"/>
        <v>0</v>
      </c>
      <c r="AM57" s="2002"/>
      <c r="AN57" s="3357"/>
      <c r="AO57" s="695"/>
      <c r="AP57" s="2722"/>
      <c r="AQ57" s="3358"/>
      <c r="AR57" s="333">
        <f t="shared" si="30"/>
        <v>0</v>
      </c>
      <c r="AS57" s="330">
        <f t="shared" si="31"/>
        <v>0</v>
      </c>
      <c r="AT57" s="330">
        <f t="shared" si="32"/>
        <v>0</v>
      </c>
      <c r="AU57" s="849"/>
      <c r="AV57" s="849"/>
      <c r="AW57" s="2870">
        <f t="shared" si="5"/>
        <v>0</v>
      </c>
      <c r="AX57" s="3140"/>
      <c r="BC57" s="4117">
        <f t="shared" si="25"/>
        <v>0</v>
      </c>
      <c r="BD57" s="4117">
        <f t="shared" si="7"/>
        <v>0</v>
      </c>
    </row>
    <row r="58" spans="1:61" ht="39" thickBot="1">
      <c r="A58" s="5976" t="s">
        <v>11138</v>
      </c>
      <c r="B58" s="581" t="s">
        <v>1711</v>
      </c>
      <c r="C58" s="582">
        <v>0</v>
      </c>
      <c r="D58" s="583">
        <v>41733</v>
      </c>
      <c r="E58" s="2992" t="s">
        <v>6383</v>
      </c>
      <c r="F58" s="3120">
        <v>41609</v>
      </c>
      <c r="G58" s="3122">
        <v>104.6</v>
      </c>
      <c r="H58" s="586" t="s">
        <v>1955</v>
      </c>
      <c r="I58" s="587" t="s">
        <v>1433</v>
      </c>
      <c r="J58" s="588" t="s">
        <v>1434</v>
      </c>
      <c r="K58" s="589">
        <v>43194</v>
      </c>
      <c r="L58" s="587" t="s">
        <v>1956</v>
      </c>
      <c r="M58" s="588" t="s">
        <v>1957</v>
      </c>
      <c r="N58" s="587" t="s">
        <v>1958</v>
      </c>
      <c r="O58" s="586" t="s">
        <v>1959</v>
      </c>
      <c r="P58" s="590"/>
      <c r="Q58" s="588" t="s">
        <v>1960</v>
      </c>
      <c r="R58" s="588" t="s">
        <v>1961</v>
      </c>
      <c r="S58" s="591"/>
      <c r="T58" s="592">
        <v>25728</v>
      </c>
      <c r="U58" s="593">
        <v>0</v>
      </c>
      <c r="V58" s="594">
        <f t="shared" si="0"/>
        <v>25728</v>
      </c>
      <c r="W58" s="592">
        <v>4540</v>
      </c>
      <c r="X58" s="593">
        <v>0</v>
      </c>
      <c r="Y58" s="594">
        <f t="shared" si="16"/>
        <v>4540</v>
      </c>
      <c r="Z58" s="592">
        <v>17865</v>
      </c>
      <c r="AA58" s="593">
        <v>0</v>
      </c>
      <c r="AB58" s="594">
        <f t="shared" si="2"/>
        <v>17865</v>
      </c>
      <c r="AC58" s="903">
        <v>5440</v>
      </c>
      <c r="AD58" s="904">
        <v>0</v>
      </c>
      <c r="AE58" s="905">
        <f>AC58-AD58</f>
        <v>5440</v>
      </c>
      <c r="AF58" s="903">
        <v>8159</v>
      </c>
      <c r="AG58" s="904">
        <v>0</v>
      </c>
      <c r="AH58" s="905">
        <f>AF58-AG58</f>
        <v>8159</v>
      </c>
      <c r="AI58" s="595">
        <f t="shared" si="28"/>
        <v>61732</v>
      </c>
      <c r="AJ58" s="593">
        <f t="shared" si="29"/>
        <v>0</v>
      </c>
      <c r="AK58" s="3903">
        <v>0</v>
      </c>
      <c r="AL58" s="596">
        <f t="shared" si="15"/>
        <v>61732</v>
      </c>
      <c r="AM58" s="1595" t="s">
        <v>2594</v>
      </c>
      <c r="AN58" s="3351">
        <v>42212</v>
      </c>
      <c r="AO58" s="3352">
        <v>1168752</v>
      </c>
      <c r="AP58" s="3353">
        <v>42064</v>
      </c>
      <c r="AQ58" s="3354">
        <v>106.7</v>
      </c>
      <c r="AR58" s="597">
        <f t="shared" si="30"/>
        <v>26245</v>
      </c>
      <c r="AS58" s="598">
        <f t="shared" si="31"/>
        <v>4631</v>
      </c>
      <c r="AT58" s="598">
        <f t="shared" si="32"/>
        <v>18224</v>
      </c>
      <c r="AU58" s="906"/>
      <c r="AV58" s="906"/>
      <c r="AW58" s="2869">
        <f t="shared" si="5"/>
        <v>49100</v>
      </c>
      <c r="AX58" s="2890"/>
      <c r="AY58" s="764" t="s">
        <v>3117</v>
      </c>
      <c r="AZ58" s="882">
        <f>SUM(AW52:AW58)</f>
        <v>88746</v>
      </c>
      <c r="BA58" s="883">
        <f>AZ58-BB58</f>
        <v>88746</v>
      </c>
      <c r="BB58" s="884">
        <f>SUM(AU52:AV58)</f>
        <v>0</v>
      </c>
      <c r="BC58" s="4117">
        <f t="shared" si="25"/>
        <v>0</v>
      </c>
      <c r="BD58" s="4117">
        <f t="shared" si="7"/>
        <v>0</v>
      </c>
    </row>
    <row r="59" spans="1:61" ht="51">
      <c r="A59" s="5977" t="s">
        <v>11139</v>
      </c>
      <c r="B59" s="546" t="s">
        <v>3227</v>
      </c>
      <c r="C59" s="547">
        <v>1</v>
      </c>
      <c r="D59" s="548" t="s">
        <v>2546</v>
      </c>
      <c r="E59" s="548" t="s">
        <v>6383</v>
      </c>
      <c r="F59" s="549">
        <v>41821</v>
      </c>
      <c r="G59" s="1303">
        <v>1</v>
      </c>
      <c r="H59" s="550" t="s">
        <v>2270</v>
      </c>
      <c r="I59" s="551" t="s">
        <v>1433</v>
      </c>
      <c r="J59" s="552" t="s">
        <v>1434</v>
      </c>
      <c r="K59" s="553" t="s">
        <v>2547</v>
      </c>
      <c r="L59" s="551" t="s">
        <v>500</v>
      </c>
      <c r="M59" s="552" t="s">
        <v>2271</v>
      </c>
      <c r="N59" s="551" t="s">
        <v>2272</v>
      </c>
      <c r="O59" s="550" t="s">
        <v>2273</v>
      </c>
      <c r="P59" s="1018" t="s">
        <v>3223</v>
      </c>
      <c r="Q59" s="552" t="s">
        <v>2275</v>
      </c>
      <c r="R59" s="552" t="s">
        <v>2274</v>
      </c>
      <c r="S59" s="555"/>
      <c r="T59" s="556">
        <v>-16422</v>
      </c>
      <c r="U59" s="557">
        <v>0</v>
      </c>
      <c r="V59" s="558">
        <f t="shared" si="0"/>
        <v>-16422</v>
      </c>
      <c r="W59" s="556">
        <v>-2839</v>
      </c>
      <c r="X59" s="557">
        <v>0</v>
      </c>
      <c r="Y59" s="558">
        <f t="shared" si="16"/>
        <v>-2839</v>
      </c>
      <c r="Z59" s="556">
        <v>0</v>
      </c>
      <c r="AA59" s="557">
        <v>0</v>
      </c>
      <c r="AB59" s="558">
        <f t="shared" si="2"/>
        <v>0</v>
      </c>
      <c r="AC59" s="823"/>
      <c r="AD59" s="824"/>
      <c r="AE59" s="825"/>
      <c r="AF59" s="823"/>
      <c r="AG59" s="824"/>
      <c r="AH59" s="825"/>
      <c r="AI59" s="559">
        <f t="shared" si="28"/>
        <v>-19261</v>
      </c>
      <c r="AJ59" s="557">
        <f t="shared" si="29"/>
        <v>0</v>
      </c>
      <c r="AK59" s="3900">
        <v>0</v>
      </c>
      <c r="AL59" s="561">
        <f t="shared" si="15"/>
        <v>-19261</v>
      </c>
      <c r="AM59" s="3391" t="s">
        <v>3225</v>
      </c>
      <c r="AN59" s="3392">
        <v>42228</v>
      </c>
      <c r="AO59" s="3393" t="s">
        <v>3226</v>
      </c>
      <c r="AP59" s="3394">
        <v>42339</v>
      </c>
      <c r="AQ59" s="3395">
        <v>1</v>
      </c>
      <c r="AR59" s="562">
        <f t="shared" si="30"/>
        <v>-16422</v>
      </c>
      <c r="AS59" s="563">
        <f t="shared" si="31"/>
        <v>-2839</v>
      </c>
      <c r="AT59" s="563">
        <f t="shared" si="32"/>
        <v>0</v>
      </c>
      <c r="AU59" s="848"/>
      <c r="AV59" s="848"/>
      <c r="AW59" s="2866">
        <f t="shared" si="5"/>
        <v>-19261</v>
      </c>
      <c r="AX59" s="2895"/>
      <c r="BC59" s="4117">
        <f t="shared" si="25"/>
        <v>0</v>
      </c>
      <c r="BD59" s="4117">
        <f t="shared" si="7"/>
        <v>0</v>
      </c>
      <c r="BE59" s="4111">
        <f>AW59</f>
        <v>-19261</v>
      </c>
    </row>
    <row r="60" spans="1:61" ht="63.75">
      <c r="A60" s="5979" t="s">
        <v>11139</v>
      </c>
      <c r="B60" s="908" t="s">
        <v>2908</v>
      </c>
      <c r="C60" s="909" t="s">
        <v>2722</v>
      </c>
      <c r="D60" s="910" t="s">
        <v>2723</v>
      </c>
      <c r="E60" s="3044" t="s">
        <v>6383</v>
      </c>
      <c r="F60" s="911">
        <v>41821</v>
      </c>
      <c r="G60" s="1218">
        <v>1</v>
      </c>
      <c r="H60" s="913" t="s">
        <v>2673</v>
      </c>
      <c r="I60" s="914" t="s">
        <v>1433</v>
      </c>
      <c r="J60" s="915" t="s">
        <v>1434</v>
      </c>
      <c r="K60" s="916" t="s">
        <v>3159</v>
      </c>
      <c r="L60" s="914" t="s">
        <v>2674</v>
      </c>
      <c r="M60" s="915" t="s">
        <v>2675</v>
      </c>
      <c r="N60" s="914" t="s">
        <v>2676</v>
      </c>
      <c r="O60" s="913" t="s">
        <v>2677</v>
      </c>
      <c r="P60" s="1018"/>
      <c r="Q60" s="915" t="s">
        <v>2724</v>
      </c>
      <c r="R60" s="915" t="s">
        <v>2678</v>
      </c>
      <c r="S60" s="918"/>
      <c r="T60" s="919">
        <v>94133</v>
      </c>
      <c r="U60" s="920">
        <v>0</v>
      </c>
      <c r="V60" s="921">
        <f t="shared" si="0"/>
        <v>94133</v>
      </c>
      <c r="W60" s="919">
        <v>16612</v>
      </c>
      <c r="X60" s="920">
        <v>0</v>
      </c>
      <c r="Y60" s="921">
        <f t="shared" si="16"/>
        <v>16612</v>
      </c>
      <c r="Z60" s="919">
        <v>36010</v>
      </c>
      <c r="AA60" s="920">
        <v>0</v>
      </c>
      <c r="AB60" s="921">
        <f t="shared" si="2"/>
        <v>36010</v>
      </c>
      <c r="AC60" s="820"/>
      <c r="AD60" s="821"/>
      <c r="AE60" s="822"/>
      <c r="AF60" s="820"/>
      <c r="AG60" s="821"/>
      <c r="AH60" s="822"/>
      <c r="AI60" s="922">
        <f t="shared" si="28"/>
        <v>146755</v>
      </c>
      <c r="AJ60" s="920">
        <f t="shared" si="29"/>
        <v>0</v>
      </c>
      <c r="AK60" s="3907">
        <v>0</v>
      </c>
      <c r="AL60" s="923">
        <f t="shared" si="15"/>
        <v>146755</v>
      </c>
      <c r="AM60" s="1605" t="s">
        <v>2594</v>
      </c>
      <c r="AN60" s="3364">
        <v>42233</v>
      </c>
      <c r="AO60" s="3365">
        <v>1170935</v>
      </c>
      <c r="AP60" s="3366" t="s">
        <v>175</v>
      </c>
      <c r="AQ60" s="3367">
        <v>1</v>
      </c>
      <c r="AR60" s="924">
        <f t="shared" si="30"/>
        <v>94133</v>
      </c>
      <c r="AS60" s="925">
        <f t="shared" si="31"/>
        <v>16612</v>
      </c>
      <c r="AT60" s="925">
        <f t="shared" si="32"/>
        <v>36010</v>
      </c>
      <c r="AU60" s="849"/>
      <c r="AV60" s="849"/>
      <c r="AW60" s="2874">
        <f t="shared" si="5"/>
        <v>146755</v>
      </c>
      <c r="AX60" s="3143"/>
      <c r="BB60" s="267"/>
      <c r="BC60" s="4117">
        <f t="shared" si="25"/>
        <v>0</v>
      </c>
      <c r="BD60" s="4117">
        <f t="shared" si="7"/>
        <v>0</v>
      </c>
    </row>
    <row r="61" spans="1:61" ht="63.75">
      <c r="A61" s="5979" t="s">
        <v>11139</v>
      </c>
      <c r="B61" s="908" t="s">
        <v>3261</v>
      </c>
      <c r="C61" s="909">
        <v>0</v>
      </c>
      <c r="D61" s="910">
        <v>42023</v>
      </c>
      <c r="E61" s="3044" t="s">
        <v>6383</v>
      </c>
      <c r="F61" s="911">
        <v>41821</v>
      </c>
      <c r="G61" s="1218">
        <v>1</v>
      </c>
      <c r="H61" s="913" t="s">
        <v>2832</v>
      </c>
      <c r="I61" s="914" t="s">
        <v>1433</v>
      </c>
      <c r="J61" s="915" t="s">
        <v>1434</v>
      </c>
      <c r="K61" s="916">
        <v>43484</v>
      </c>
      <c r="L61" s="914" t="s">
        <v>2833</v>
      </c>
      <c r="M61" s="915" t="s">
        <v>2834</v>
      </c>
      <c r="N61" s="914" t="s">
        <v>2835</v>
      </c>
      <c r="O61" s="913" t="s">
        <v>2836</v>
      </c>
      <c r="P61" s="1018" t="s">
        <v>3260</v>
      </c>
      <c r="Q61" s="915" t="s">
        <v>3385</v>
      </c>
      <c r="R61" s="915" t="s">
        <v>2837</v>
      </c>
      <c r="S61" s="918"/>
      <c r="T61" s="919">
        <v>8590</v>
      </c>
      <c r="U61" s="920">
        <v>0</v>
      </c>
      <c r="V61" s="921">
        <f t="shared" si="0"/>
        <v>8590</v>
      </c>
      <c r="W61" s="919">
        <v>1511</v>
      </c>
      <c r="X61" s="920">
        <v>0</v>
      </c>
      <c r="Y61" s="921">
        <f t="shared" si="16"/>
        <v>1511</v>
      </c>
      <c r="Z61" s="919">
        <v>3889</v>
      </c>
      <c r="AA61" s="920">
        <v>0</v>
      </c>
      <c r="AB61" s="921">
        <f t="shared" si="2"/>
        <v>3889</v>
      </c>
      <c r="AC61" s="820"/>
      <c r="AD61" s="821"/>
      <c r="AE61" s="822"/>
      <c r="AF61" s="820"/>
      <c r="AG61" s="821"/>
      <c r="AH61" s="822"/>
      <c r="AI61" s="922">
        <f t="shared" si="28"/>
        <v>13990</v>
      </c>
      <c r="AJ61" s="920">
        <f t="shared" si="29"/>
        <v>0</v>
      </c>
      <c r="AK61" s="3907">
        <v>0</v>
      </c>
      <c r="AL61" s="923">
        <f t="shared" si="15"/>
        <v>13990</v>
      </c>
      <c r="AM61" s="1605" t="s">
        <v>1061</v>
      </c>
      <c r="AN61" s="3364">
        <v>42236</v>
      </c>
      <c r="AO61" s="3365">
        <v>1171129</v>
      </c>
      <c r="AP61" s="3366">
        <v>42186</v>
      </c>
      <c r="AQ61" s="3367">
        <v>1</v>
      </c>
      <c r="AR61" s="924">
        <f t="shared" si="30"/>
        <v>8590</v>
      </c>
      <c r="AS61" s="925">
        <f t="shared" si="31"/>
        <v>1511</v>
      </c>
      <c r="AT61" s="925">
        <f t="shared" si="32"/>
        <v>3889</v>
      </c>
      <c r="AU61" s="849"/>
      <c r="AV61" s="849"/>
      <c r="AW61" s="2874">
        <f t="shared" si="5"/>
        <v>13990</v>
      </c>
      <c r="AX61" s="3143"/>
      <c r="BC61" s="4117">
        <f t="shared" si="25"/>
        <v>0</v>
      </c>
      <c r="BD61" s="4117">
        <f t="shared" si="7"/>
        <v>0</v>
      </c>
    </row>
    <row r="62" spans="1:61" ht="51.75" thickBot="1">
      <c r="A62" s="5980" t="s">
        <v>11139</v>
      </c>
      <c r="B62" s="1328" t="s">
        <v>2922</v>
      </c>
      <c r="C62" s="1329">
        <v>0</v>
      </c>
      <c r="D62" s="1330">
        <v>42213</v>
      </c>
      <c r="E62" s="3046" t="s">
        <v>6387</v>
      </c>
      <c r="F62" s="1331">
        <v>41821</v>
      </c>
      <c r="G62" s="1332">
        <v>1</v>
      </c>
      <c r="H62" s="1333" t="s">
        <v>3240</v>
      </c>
      <c r="I62" s="1334" t="s">
        <v>1433</v>
      </c>
      <c r="J62" s="1335" t="s">
        <v>1434</v>
      </c>
      <c r="K62" s="1336">
        <v>43674</v>
      </c>
      <c r="L62" s="1334" t="s">
        <v>3193</v>
      </c>
      <c r="M62" s="1335" t="s">
        <v>3194</v>
      </c>
      <c r="N62" s="1334" t="s">
        <v>3195</v>
      </c>
      <c r="O62" s="1333" t="s">
        <v>3196</v>
      </c>
      <c r="P62" s="1337"/>
      <c r="Q62" s="1335" t="s">
        <v>3197</v>
      </c>
      <c r="R62" s="1335" t="s">
        <v>3198</v>
      </c>
      <c r="S62" s="1338"/>
      <c r="T62" s="1339">
        <v>1951</v>
      </c>
      <c r="U62" s="1340">
        <v>0</v>
      </c>
      <c r="V62" s="1341">
        <f t="shared" si="0"/>
        <v>1951</v>
      </c>
      <c r="W62" s="1339">
        <v>344</v>
      </c>
      <c r="X62" s="1340">
        <v>0</v>
      </c>
      <c r="Y62" s="1341">
        <f t="shared" si="16"/>
        <v>344</v>
      </c>
      <c r="Z62" s="1339">
        <v>0</v>
      </c>
      <c r="AA62" s="1340">
        <v>0</v>
      </c>
      <c r="AB62" s="1341">
        <f t="shared" si="2"/>
        <v>0</v>
      </c>
      <c r="AC62" s="903"/>
      <c r="AD62" s="904"/>
      <c r="AE62" s="905"/>
      <c r="AF62" s="903"/>
      <c r="AG62" s="904"/>
      <c r="AH62" s="905"/>
      <c r="AI62" s="1342">
        <f t="shared" si="28"/>
        <v>2295</v>
      </c>
      <c r="AJ62" s="1340">
        <f t="shared" si="29"/>
        <v>0</v>
      </c>
      <c r="AK62" s="3911">
        <v>0</v>
      </c>
      <c r="AL62" s="1343">
        <f t="shared" si="15"/>
        <v>2295</v>
      </c>
      <c r="AM62" s="3396" t="s">
        <v>1061</v>
      </c>
      <c r="AN62" s="3397">
        <v>42247</v>
      </c>
      <c r="AO62" s="3398">
        <v>1171438</v>
      </c>
      <c r="AP62" s="3399">
        <v>41821</v>
      </c>
      <c r="AQ62" s="3400">
        <v>1</v>
      </c>
      <c r="AR62" s="1344">
        <f t="shared" si="30"/>
        <v>1951</v>
      </c>
      <c r="AS62" s="1345">
        <f t="shared" si="31"/>
        <v>344</v>
      </c>
      <c r="AT62" s="1345">
        <f t="shared" si="32"/>
        <v>0</v>
      </c>
      <c r="AU62" s="906"/>
      <c r="AV62" s="906"/>
      <c r="AW62" s="2867">
        <f t="shared" si="5"/>
        <v>2295</v>
      </c>
      <c r="AX62" s="2888"/>
      <c r="AY62" s="743" t="s">
        <v>3241</v>
      </c>
      <c r="AZ62" s="927">
        <f>SUM(AW59:AW62)</f>
        <v>143779</v>
      </c>
      <c r="BA62" s="928">
        <f>AZ62-BB62</f>
        <v>143779</v>
      </c>
      <c r="BB62" s="929">
        <f>SUM(AU59:AV62)</f>
        <v>0</v>
      </c>
      <c r="BC62" s="4117">
        <f t="shared" si="25"/>
        <v>0</v>
      </c>
      <c r="BD62" s="4117">
        <f t="shared" si="7"/>
        <v>0</v>
      </c>
    </row>
    <row r="63" spans="1:61" ht="38.25">
      <c r="A63" s="5966" t="s">
        <v>11139</v>
      </c>
      <c r="B63" s="338" t="s">
        <v>2925</v>
      </c>
      <c r="C63" s="321">
        <v>0</v>
      </c>
      <c r="D63" s="323">
        <v>42247</v>
      </c>
      <c r="E63" s="3012" t="s">
        <v>6387</v>
      </c>
      <c r="F63" s="324">
        <v>41821</v>
      </c>
      <c r="G63" s="331">
        <v>1</v>
      </c>
      <c r="H63" s="332" t="s">
        <v>3266</v>
      </c>
      <c r="I63" s="339" t="s">
        <v>1433</v>
      </c>
      <c r="J63" s="322" t="s">
        <v>1434</v>
      </c>
      <c r="K63" s="340">
        <v>42247</v>
      </c>
      <c r="L63" s="339" t="s">
        <v>3267</v>
      </c>
      <c r="M63" s="322" t="s">
        <v>303</v>
      </c>
      <c r="N63" s="339" t="s">
        <v>3268</v>
      </c>
      <c r="O63" s="332" t="s">
        <v>3269</v>
      </c>
      <c r="P63" s="572"/>
      <c r="Q63" s="322" t="s">
        <v>3271</v>
      </c>
      <c r="R63" s="322" t="s">
        <v>3270</v>
      </c>
      <c r="S63" s="346"/>
      <c r="T63" s="347">
        <v>5653</v>
      </c>
      <c r="U63" s="326">
        <v>0</v>
      </c>
      <c r="V63" s="348">
        <f t="shared" si="0"/>
        <v>5653</v>
      </c>
      <c r="W63" s="347">
        <v>997</v>
      </c>
      <c r="X63" s="326">
        <v>0</v>
      </c>
      <c r="Y63" s="348">
        <f t="shared" si="16"/>
        <v>997</v>
      </c>
      <c r="Z63" s="347">
        <v>0</v>
      </c>
      <c r="AA63" s="326">
        <v>0</v>
      </c>
      <c r="AB63" s="348">
        <f t="shared" si="2"/>
        <v>0</v>
      </c>
      <c r="AC63" s="820"/>
      <c r="AD63" s="821"/>
      <c r="AE63" s="822"/>
      <c r="AF63" s="820"/>
      <c r="AG63" s="821"/>
      <c r="AH63" s="822"/>
      <c r="AI63" s="482">
        <f t="shared" si="28"/>
        <v>6650</v>
      </c>
      <c r="AJ63" s="326">
        <f t="shared" si="29"/>
        <v>0</v>
      </c>
      <c r="AK63" s="3899">
        <v>0</v>
      </c>
      <c r="AL63" s="349">
        <f t="shared" si="15"/>
        <v>6650</v>
      </c>
      <c r="AM63" s="2002" t="s">
        <v>1061</v>
      </c>
      <c r="AN63" s="3357">
        <v>42249</v>
      </c>
      <c r="AO63" s="695">
        <v>1171518</v>
      </c>
      <c r="AP63" s="2722">
        <v>41821</v>
      </c>
      <c r="AQ63" s="3358">
        <v>1</v>
      </c>
      <c r="AR63" s="333">
        <f t="shared" si="30"/>
        <v>5653</v>
      </c>
      <c r="AS63" s="330">
        <f t="shared" si="31"/>
        <v>997</v>
      </c>
      <c r="AT63" s="330">
        <f t="shared" si="32"/>
        <v>0</v>
      </c>
      <c r="AU63" s="849"/>
      <c r="AV63" s="849"/>
      <c r="AW63" s="2873">
        <f t="shared" si="5"/>
        <v>6650</v>
      </c>
      <c r="AX63" s="2889"/>
      <c r="BB63" s="267"/>
      <c r="BC63" s="4117">
        <f t="shared" si="25"/>
        <v>0</v>
      </c>
      <c r="BD63" s="4117">
        <f t="shared" si="7"/>
        <v>0</v>
      </c>
    </row>
    <row r="64" spans="1:61" ht="51">
      <c r="A64" s="2418" t="s">
        <v>11139</v>
      </c>
      <c r="B64" s="338" t="s">
        <v>3272</v>
      </c>
      <c r="C64" s="321">
        <v>0</v>
      </c>
      <c r="D64" s="323">
        <v>41935</v>
      </c>
      <c r="E64" s="3012" t="s">
        <v>6383</v>
      </c>
      <c r="F64" s="324">
        <v>41821</v>
      </c>
      <c r="G64" s="331">
        <v>1</v>
      </c>
      <c r="H64" s="332" t="s">
        <v>2595</v>
      </c>
      <c r="I64" s="339" t="s">
        <v>1330</v>
      </c>
      <c r="J64" s="322" t="s">
        <v>1445</v>
      </c>
      <c r="K64" s="340">
        <v>42464</v>
      </c>
      <c r="L64" s="339" t="s">
        <v>2596</v>
      </c>
      <c r="M64" s="322" t="s">
        <v>2597</v>
      </c>
      <c r="N64" s="339" t="s">
        <v>1054</v>
      </c>
      <c r="O64" s="332" t="s">
        <v>2598</v>
      </c>
      <c r="P64" s="836" t="s">
        <v>3299</v>
      </c>
      <c r="Q64" s="322" t="s">
        <v>2600</v>
      </c>
      <c r="R64" s="322" t="s">
        <v>3576</v>
      </c>
      <c r="S64" s="1596"/>
      <c r="T64" s="347">
        <v>1574</v>
      </c>
      <c r="U64" s="326">
        <v>0</v>
      </c>
      <c r="V64" s="348">
        <f t="shared" si="0"/>
        <v>1574</v>
      </c>
      <c r="W64" s="347">
        <v>0</v>
      </c>
      <c r="X64" s="326">
        <v>0</v>
      </c>
      <c r="Y64" s="348">
        <f t="shared" si="16"/>
        <v>0</v>
      </c>
      <c r="Z64" s="347">
        <v>15616</v>
      </c>
      <c r="AA64" s="326">
        <v>0</v>
      </c>
      <c r="AB64" s="348">
        <f t="shared" si="2"/>
        <v>15616</v>
      </c>
      <c r="AC64" s="820"/>
      <c r="AD64" s="821"/>
      <c r="AE64" s="822"/>
      <c r="AF64" s="820"/>
      <c r="AG64" s="821"/>
      <c r="AH64" s="822"/>
      <c r="AI64" s="482">
        <f t="shared" si="28"/>
        <v>17190</v>
      </c>
      <c r="AJ64" s="326">
        <f t="shared" si="29"/>
        <v>0</v>
      </c>
      <c r="AK64" s="3899">
        <v>0</v>
      </c>
      <c r="AL64" s="349">
        <f t="shared" si="15"/>
        <v>17190</v>
      </c>
      <c r="AM64" s="2002" t="s">
        <v>1061</v>
      </c>
      <c r="AN64" s="3357">
        <v>42249</v>
      </c>
      <c r="AO64" s="695">
        <v>1171520</v>
      </c>
      <c r="AP64" s="2722">
        <v>41821</v>
      </c>
      <c r="AQ64" s="3358">
        <v>1</v>
      </c>
      <c r="AR64" s="333">
        <f t="shared" si="30"/>
        <v>1574</v>
      </c>
      <c r="AS64" s="330">
        <f t="shared" si="31"/>
        <v>0</v>
      </c>
      <c r="AT64" s="330">
        <f t="shared" si="32"/>
        <v>15616</v>
      </c>
      <c r="AU64" s="849"/>
      <c r="AV64" s="849"/>
      <c r="AW64" s="2873">
        <f t="shared" si="5"/>
        <v>17190</v>
      </c>
      <c r="AX64" s="3140"/>
      <c r="BB64" s="267"/>
      <c r="BC64" s="4117">
        <f t="shared" si="25"/>
        <v>0</v>
      </c>
      <c r="BD64" s="4117">
        <f t="shared" si="7"/>
        <v>0</v>
      </c>
    </row>
    <row r="65" spans="1:56" ht="51">
      <c r="A65" s="2418" t="s">
        <v>11139</v>
      </c>
      <c r="B65" s="338" t="s">
        <v>3273</v>
      </c>
      <c r="C65" s="321">
        <v>0</v>
      </c>
      <c r="D65" s="323">
        <v>41935</v>
      </c>
      <c r="E65" s="3012" t="s">
        <v>6383</v>
      </c>
      <c r="F65" s="324">
        <v>41821</v>
      </c>
      <c r="G65" s="331">
        <v>1</v>
      </c>
      <c r="H65" s="332" t="s">
        <v>2599</v>
      </c>
      <c r="I65" s="339" t="s">
        <v>1330</v>
      </c>
      <c r="J65" s="322" t="s">
        <v>1445</v>
      </c>
      <c r="K65" s="340">
        <v>42653</v>
      </c>
      <c r="L65" s="339" t="s">
        <v>2596</v>
      </c>
      <c r="M65" s="322" t="s">
        <v>2597</v>
      </c>
      <c r="N65" s="339" t="s">
        <v>1054</v>
      </c>
      <c r="O65" s="332" t="s">
        <v>2598</v>
      </c>
      <c r="P65" s="836" t="s">
        <v>3299</v>
      </c>
      <c r="Q65" s="322" t="s">
        <v>2601</v>
      </c>
      <c r="R65" s="322" t="s">
        <v>3576</v>
      </c>
      <c r="T65" s="347">
        <v>1480</v>
      </c>
      <c r="U65" s="326">
        <v>0</v>
      </c>
      <c r="V65" s="348">
        <f t="shared" si="0"/>
        <v>1480</v>
      </c>
      <c r="W65" s="347">
        <v>0</v>
      </c>
      <c r="X65" s="326">
        <v>0</v>
      </c>
      <c r="Y65" s="348">
        <f t="shared" si="16"/>
        <v>0</v>
      </c>
      <c r="Z65" s="347">
        <v>15104</v>
      </c>
      <c r="AA65" s="326">
        <v>0</v>
      </c>
      <c r="AB65" s="348">
        <f t="shared" si="2"/>
        <v>15104</v>
      </c>
      <c r="AC65" s="820"/>
      <c r="AD65" s="821"/>
      <c r="AE65" s="822"/>
      <c r="AF65" s="820"/>
      <c r="AG65" s="821"/>
      <c r="AH65" s="822"/>
      <c r="AI65" s="482">
        <f t="shared" si="28"/>
        <v>16584</v>
      </c>
      <c r="AJ65" s="326">
        <f t="shared" si="29"/>
        <v>0</v>
      </c>
      <c r="AK65" s="3899">
        <v>0</v>
      </c>
      <c r="AL65" s="349">
        <f t="shared" si="15"/>
        <v>16584</v>
      </c>
      <c r="AM65" s="2002" t="s">
        <v>1061</v>
      </c>
      <c r="AN65" s="3357">
        <v>42249</v>
      </c>
      <c r="AO65" s="695">
        <v>117159</v>
      </c>
      <c r="AP65" s="2722">
        <v>41821</v>
      </c>
      <c r="AQ65" s="3358">
        <v>1</v>
      </c>
      <c r="AR65" s="333">
        <f t="shared" si="30"/>
        <v>1480</v>
      </c>
      <c r="AS65" s="330">
        <f t="shared" si="31"/>
        <v>0</v>
      </c>
      <c r="AT65" s="330">
        <f t="shared" si="32"/>
        <v>15104</v>
      </c>
      <c r="AU65" s="849"/>
      <c r="AV65" s="849"/>
      <c r="AW65" s="2870">
        <f t="shared" si="5"/>
        <v>16584</v>
      </c>
      <c r="AX65" s="3140"/>
      <c r="BB65" s="267"/>
      <c r="BC65" s="4117">
        <f t="shared" si="25"/>
        <v>0</v>
      </c>
      <c r="BD65" s="4117">
        <f t="shared" si="7"/>
        <v>0</v>
      </c>
    </row>
    <row r="66" spans="1:56" ht="51">
      <c r="A66" s="2418" t="s">
        <v>11139</v>
      </c>
      <c r="B66" s="338" t="s">
        <v>3022</v>
      </c>
      <c r="C66" s="321">
        <v>0</v>
      </c>
      <c r="D66" s="323">
        <v>41964</v>
      </c>
      <c r="E66" s="3012" t="s">
        <v>6383</v>
      </c>
      <c r="F66" s="324">
        <v>41821</v>
      </c>
      <c r="G66" s="331">
        <v>1</v>
      </c>
      <c r="H66" s="332" t="s">
        <v>2679</v>
      </c>
      <c r="I66" s="339" t="s">
        <v>1433</v>
      </c>
      <c r="J66" s="322" t="s">
        <v>1434</v>
      </c>
      <c r="K66" s="340">
        <v>43425</v>
      </c>
      <c r="L66" s="339" t="s">
        <v>2680</v>
      </c>
      <c r="M66" s="322" t="s">
        <v>2681</v>
      </c>
      <c r="N66" s="339" t="s">
        <v>2682</v>
      </c>
      <c r="O66" s="332" t="s">
        <v>2683</v>
      </c>
      <c r="P66" s="345"/>
      <c r="Q66" s="322" t="s">
        <v>2684</v>
      </c>
      <c r="R66" s="322" t="s">
        <v>2685</v>
      </c>
      <c r="S66" s="346"/>
      <c r="T66" s="347">
        <v>58885</v>
      </c>
      <c r="U66" s="326">
        <v>0</v>
      </c>
      <c r="V66" s="348">
        <f t="shared" si="0"/>
        <v>58885</v>
      </c>
      <c r="W66" s="347">
        <v>10391</v>
      </c>
      <c r="X66" s="326">
        <v>0</v>
      </c>
      <c r="Y66" s="348">
        <f t="shared" si="16"/>
        <v>10391</v>
      </c>
      <c r="Z66" s="347">
        <v>7500</v>
      </c>
      <c r="AA66" s="326">
        <v>0</v>
      </c>
      <c r="AB66" s="348">
        <f t="shared" si="2"/>
        <v>7500</v>
      </c>
      <c r="AC66" s="820"/>
      <c r="AD66" s="821"/>
      <c r="AE66" s="822"/>
      <c r="AF66" s="820"/>
      <c r="AG66" s="821"/>
      <c r="AH66" s="822"/>
      <c r="AI66" s="482">
        <f t="shared" si="28"/>
        <v>76776</v>
      </c>
      <c r="AJ66" s="326">
        <f t="shared" si="29"/>
        <v>0</v>
      </c>
      <c r="AK66" s="3899">
        <v>0</v>
      </c>
      <c r="AL66" s="349">
        <f t="shared" si="15"/>
        <v>76776</v>
      </c>
      <c r="AM66" s="2002" t="s">
        <v>1061</v>
      </c>
      <c r="AN66" s="3357">
        <v>42255</v>
      </c>
      <c r="AO66" s="695">
        <v>1171697</v>
      </c>
      <c r="AP66" s="2722">
        <v>41821</v>
      </c>
      <c r="AQ66" s="3358">
        <v>1</v>
      </c>
      <c r="AR66" s="333">
        <f t="shared" si="30"/>
        <v>58885</v>
      </c>
      <c r="AS66" s="330">
        <f t="shared" si="31"/>
        <v>10391</v>
      </c>
      <c r="AT66" s="330">
        <f t="shared" si="32"/>
        <v>7500</v>
      </c>
      <c r="AU66" s="849"/>
      <c r="AV66" s="849"/>
      <c r="AW66" s="2870">
        <f t="shared" si="5"/>
        <v>76776</v>
      </c>
      <c r="AX66" s="3140"/>
      <c r="BB66" s="267"/>
      <c r="BC66" s="4117">
        <f t="shared" si="25"/>
        <v>0</v>
      </c>
      <c r="BD66" s="4117">
        <f t="shared" si="7"/>
        <v>0</v>
      </c>
    </row>
    <row r="67" spans="1:56" ht="51.75" thickBot="1">
      <c r="A67" s="5972" t="s">
        <v>11139</v>
      </c>
      <c r="B67" s="581" t="s">
        <v>1725</v>
      </c>
      <c r="C67" s="582">
        <v>0</v>
      </c>
      <c r="D67" s="583">
        <v>41908</v>
      </c>
      <c r="E67" s="2992" t="s">
        <v>6383</v>
      </c>
      <c r="F67" s="584">
        <v>41821</v>
      </c>
      <c r="G67" s="585">
        <v>1</v>
      </c>
      <c r="H67" s="586" t="s">
        <v>2534</v>
      </c>
      <c r="I67" s="587" t="s">
        <v>1433</v>
      </c>
      <c r="J67" s="588" t="s">
        <v>1434</v>
      </c>
      <c r="K67" s="589">
        <v>43369</v>
      </c>
      <c r="L67" s="587" t="s">
        <v>2535</v>
      </c>
      <c r="M67" s="588" t="s">
        <v>2046</v>
      </c>
      <c r="N67" s="587" t="s">
        <v>2536</v>
      </c>
      <c r="O67" s="586" t="s">
        <v>2537</v>
      </c>
      <c r="P67" s="590"/>
      <c r="Q67" s="588" t="s">
        <v>2538</v>
      </c>
      <c r="R67" s="588" t="s">
        <v>2539</v>
      </c>
      <c r="S67" s="591"/>
      <c r="T67" s="592">
        <v>19288</v>
      </c>
      <c r="U67" s="593">
        <v>0</v>
      </c>
      <c r="V67" s="594">
        <f t="shared" si="0"/>
        <v>19288</v>
      </c>
      <c r="W67" s="592">
        <v>34184</v>
      </c>
      <c r="X67" s="593">
        <v>0</v>
      </c>
      <c r="Y67" s="594">
        <f t="shared" si="16"/>
        <v>34184</v>
      </c>
      <c r="Z67" s="592">
        <v>1368</v>
      </c>
      <c r="AA67" s="593">
        <v>0</v>
      </c>
      <c r="AB67" s="594">
        <f t="shared" si="2"/>
        <v>1368</v>
      </c>
      <c r="AC67" s="903"/>
      <c r="AD67" s="904"/>
      <c r="AE67" s="905"/>
      <c r="AF67" s="903"/>
      <c r="AG67" s="904"/>
      <c r="AH67" s="905"/>
      <c r="AI67" s="595">
        <f t="shared" si="28"/>
        <v>54840</v>
      </c>
      <c r="AJ67" s="593">
        <f t="shared" si="29"/>
        <v>0</v>
      </c>
      <c r="AK67" s="3903">
        <v>0</v>
      </c>
      <c r="AL67" s="596">
        <f t="shared" si="15"/>
        <v>54840</v>
      </c>
      <c r="AM67" s="1595" t="s">
        <v>1061</v>
      </c>
      <c r="AN67" s="3351">
        <v>42270</v>
      </c>
      <c r="AO67" s="3352">
        <v>1172386</v>
      </c>
      <c r="AP67" s="3353">
        <v>41821</v>
      </c>
      <c r="AQ67" s="3354">
        <v>1</v>
      </c>
      <c r="AR67" s="597">
        <f t="shared" si="30"/>
        <v>19288</v>
      </c>
      <c r="AS67" s="598">
        <f t="shared" si="31"/>
        <v>34184</v>
      </c>
      <c r="AT67" s="598">
        <f t="shared" si="32"/>
        <v>1368</v>
      </c>
      <c r="AU67" s="906"/>
      <c r="AV67" s="906"/>
      <c r="AW67" s="2869">
        <f t="shared" si="5"/>
        <v>54840</v>
      </c>
      <c r="AX67" s="2890"/>
      <c r="AY67" s="764" t="s">
        <v>3274</v>
      </c>
      <c r="AZ67" s="882">
        <f>SUM(AW63:AW67)</f>
        <v>172040</v>
      </c>
      <c r="BA67" s="883">
        <f>AZ67-BB67</f>
        <v>172040</v>
      </c>
      <c r="BB67" s="884">
        <f>SUM(AU63:AV67)</f>
        <v>0</v>
      </c>
      <c r="BC67" s="4117">
        <f t="shared" si="25"/>
        <v>0</v>
      </c>
      <c r="BD67" s="4117">
        <f t="shared" si="7"/>
        <v>0</v>
      </c>
    </row>
    <row r="68" spans="1:56" ht="38.25">
      <c r="A68" s="5968" t="s">
        <v>11138</v>
      </c>
      <c r="B68" s="1508" t="s">
        <v>3377</v>
      </c>
      <c r="C68" s="1509">
        <v>0</v>
      </c>
      <c r="D68" s="1510">
        <v>41829</v>
      </c>
      <c r="E68" s="3047" t="s">
        <v>6383</v>
      </c>
      <c r="F68" s="2139">
        <v>41699</v>
      </c>
      <c r="G68" s="3131">
        <v>105.2</v>
      </c>
      <c r="H68" s="1513">
        <v>132010.81099999999</v>
      </c>
      <c r="I68" s="1514" t="s">
        <v>3379</v>
      </c>
      <c r="J68" s="1515" t="s">
        <v>1434</v>
      </c>
      <c r="K68" s="1516">
        <v>42668</v>
      </c>
      <c r="L68" s="1514" t="s">
        <v>261</v>
      </c>
      <c r="M68" s="1515" t="s">
        <v>3380</v>
      </c>
      <c r="N68" s="1514" t="s">
        <v>1054</v>
      </c>
      <c r="O68" s="1513" t="s">
        <v>3381</v>
      </c>
      <c r="P68" s="1517" t="s">
        <v>3187</v>
      </c>
      <c r="Q68" s="1515" t="s">
        <v>925</v>
      </c>
      <c r="R68" s="1515" t="s">
        <v>3383</v>
      </c>
      <c r="S68" s="1518"/>
      <c r="T68" s="1519">
        <v>276</v>
      </c>
      <c r="U68" s="1504">
        <v>0</v>
      </c>
      <c r="V68" s="1520">
        <f t="shared" ref="V68:V131" si="33">T68-U68</f>
        <v>276</v>
      </c>
      <c r="W68" s="1519">
        <v>0</v>
      </c>
      <c r="X68" s="1504">
        <v>0</v>
      </c>
      <c r="Y68" s="1520">
        <f t="shared" si="16"/>
        <v>0</v>
      </c>
      <c r="Z68" s="1519">
        <v>1255</v>
      </c>
      <c r="AA68" s="1504">
        <v>0</v>
      </c>
      <c r="AB68" s="1520">
        <f t="shared" ref="AB68:AB131" si="34">Z68-AA68</f>
        <v>1255</v>
      </c>
      <c r="AC68" s="820"/>
      <c r="AD68" s="821"/>
      <c r="AE68" s="822"/>
      <c r="AF68" s="820"/>
      <c r="AG68" s="821"/>
      <c r="AH68" s="822"/>
      <c r="AI68" s="1503">
        <f t="shared" si="28"/>
        <v>1531</v>
      </c>
      <c r="AJ68" s="1504">
        <f t="shared" si="29"/>
        <v>0</v>
      </c>
      <c r="AK68" s="3912">
        <v>0</v>
      </c>
      <c r="AL68" s="1505">
        <f t="shared" si="15"/>
        <v>1531</v>
      </c>
      <c r="AM68" s="1508" t="s">
        <v>1061</v>
      </c>
      <c r="AN68" s="3401">
        <v>42285</v>
      </c>
      <c r="AO68" s="3402">
        <v>117159</v>
      </c>
      <c r="AP68" s="2664">
        <v>42156</v>
      </c>
      <c r="AQ68" s="3403">
        <v>107.4</v>
      </c>
      <c r="AR68" s="1506">
        <f t="shared" si="30"/>
        <v>282</v>
      </c>
      <c r="AS68" s="1507">
        <f t="shared" si="31"/>
        <v>0</v>
      </c>
      <c r="AT68" s="1507">
        <f t="shared" si="32"/>
        <v>1281</v>
      </c>
      <c r="AU68" s="849"/>
      <c r="AV68" s="849"/>
      <c r="AW68" s="2878">
        <f t="shared" ref="AW68:AW131" si="35">SUM(AR68:AV68)</f>
        <v>1563</v>
      </c>
      <c r="AX68" s="3146"/>
      <c r="BB68" s="267"/>
      <c r="BC68" s="4117">
        <f t="shared" ref="BC68:BC102" si="36">ROUND($AJ68*$AQ68/$G68,0)</f>
        <v>0</v>
      </c>
      <c r="BD68" s="4117">
        <f t="shared" ref="BD68:BD131" si="37">ROUND($AK68*$AQ68/$G68,0)</f>
        <v>0</v>
      </c>
    </row>
    <row r="69" spans="1:56" ht="38.25">
      <c r="A69" s="5973" t="s">
        <v>11138</v>
      </c>
      <c r="B69" s="1508" t="s">
        <v>3378</v>
      </c>
      <c r="C69" s="1509">
        <v>0</v>
      </c>
      <c r="D69" s="1510">
        <v>41829</v>
      </c>
      <c r="E69" s="3047" t="s">
        <v>6383</v>
      </c>
      <c r="F69" s="2139">
        <v>41699</v>
      </c>
      <c r="G69" s="3131">
        <v>105.2</v>
      </c>
      <c r="H69" s="1513">
        <v>132010.81200000001</v>
      </c>
      <c r="I69" s="1514" t="s">
        <v>3379</v>
      </c>
      <c r="J69" s="1515" t="s">
        <v>1434</v>
      </c>
      <c r="K69" s="1516">
        <v>42668</v>
      </c>
      <c r="L69" s="1514" t="s">
        <v>261</v>
      </c>
      <c r="M69" s="1515" t="s">
        <v>3380</v>
      </c>
      <c r="N69" s="1514" t="s">
        <v>2682</v>
      </c>
      <c r="O69" s="1513" t="s">
        <v>3382</v>
      </c>
      <c r="P69" s="1517"/>
      <c r="Q69" s="1515" t="s">
        <v>925</v>
      </c>
      <c r="R69" s="1515" t="s">
        <v>3383</v>
      </c>
      <c r="S69" s="1518"/>
      <c r="T69" s="1519">
        <v>276</v>
      </c>
      <c r="U69" s="1504">
        <v>0</v>
      </c>
      <c r="V69" s="1520">
        <f t="shared" si="33"/>
        <v>276</v>
      </c>
      <c r="W69" s="1519">
        <v>0</v>
      </c>
      <c r="X69" s="1504">
        <v>0</v>
      </c>
      <c r="Y69" s="1520">
        <f t="shared" si="16"/>
        <v>0</v>
      </c>
      <c r="Z69" s="1519">
        <v>1255</v>
      </c>
      <c r="AA69" s="1504">
        <v>0</v>
      </c>
      <c r="AB69" s="1520">
        <f t="shared" si="34"/>
        <v>1255</v>
      </c>
      <c r="AC69" s="820"/>
      <c r="AD69" s="821"/>
      <c r="AE69" s="822"/>
      <c r="AF69" s="820"/>
      <c r="AG69" s="821"/>
      <c r="AH69" s="822"/>
      <c r="AI69" s="1503">
        <f t="shared" si="28"/>
        <v>1531</v>
      </c>
      <c r="AJ69" s="1504">
        <f t="shared" si="29"/>
        <v>0</v>
      </c>
      <c r="AK69" s="3912">
        <v>0</v>
      </c>
      <c r="AL69" s="1505">
        <f t="shared" si="15"/>
        <v>1531</v>
      </c>
      <c r="AM69" s="1508" t="s">
        <v>1061</v>
      </c>
      <c r="AN69" s="3401">
        <v>42285</v>
      </c>
      <c r="AO69" s="3402">
        <v>1171697</v>
      </c>
      <c r="AP69" s="2664">
        <v>42156</v>
      </c>
      <c r="AQ69" s="3403">
        <v>107.4</v>
      </c>
      <c r="AR69" s="1506">
        <f t="shared" si="30"/>
        <v>282</v>
      </c>
      <c r="AS69" s="1507">
        <f t="shared" si="31"/>
        <v>0</v>
      </c>
      <c r="AT69" s="1507">
        <f t="shared" si="32"/>
        <v>1281</v>
      </c>
      <c r="AU69" s="849"/>
      <c r="AV69" s="849"/>
      <c r="AW69" s="2878">
        <f t="shared" si="35"/>
        <v>1563</v>
      </c>
      <c r="AX69" s="3146"/>
      <c r="BB69" s="267"/>
      <c r="BC69" s="4117">
        <f t="shared" si="36"/>
        <v>0</v>
      </c>
      <c r="BD69" s="4117">
        <f t="shared" si="37"/>
        <v>0</v>
      </c>
    </row>
    <row r="70" spans="1:56" ht="89.25">
      <c r="A70" s="5979" t="s">
        <v>11139</v>
      </c>
      <c r="B70" s="1538" t="s">
        <v>3387</v>
      </c>
      <c r="C70" s="1509">
        <v>0</v>
      </c>
      <c r="D70" s="1510">
        <v>42272</v>
      </c>
      <c r="E70" s="3047" t="s">
        <v>6387</v>
      </c>
      <c r="F70" s="1511">
        <v>41821</v>
      </c>
      <c r="G70" s="1512">
        <v>1</v>
      </c>
      <c r="H70" s="1513" t="s">
        <v>3332</v>
      </c>
      <c r="I70" s="1514" t="s">
        <v>3324</v>
      </c>
      <c r="J70" s="1515" t="s">
        <v>1434</v>
      </c>
      <c r="K70" s="1516">
        <v>43732</v>
      </c>
      <c r="L70" s="1514" t="s">
        <v>1334</v>
      </c>
      <c r="M70" s="1515" t="s">
        <v>303</v>
      </c>
      <c r="N70" s="1514" t="s">
        <v>3333</v>
      </c>
      <c r="O70" s="1513" t="s">
        <v>3368</v>
      </c>
      <c r="P70" s="1517" t="s">
        <v>3335</v>
      </c>
      <c r="Q70" s="1515" t="s">
        <v>3336</v>
      </c>
      <c r="R70" s="1515" t="s">
        <v>3337</v>
      </c>
      <c r="S70" s="1518"/>
      <c r="T70" s="1519">
        <v>4812</v>
      </c>
      <c r="U70" s="1504">
        <v>0</v>
      </c>
      <c r="V70" s="1520">
        <f t="shared" si="33"/>
        <v>4812</v>
      </c>
      <c r="W70" s="1519">
        <v>849</v>
      </c>
      <c r="X70" s="1504">
        <v>0</v>
      </c>
      <c r="Y70" s="1520">
        <f t="shared" si="16"/>
        <v>849</v>
      </c>
      <c r="Z70" s="1519">
        <v>370</v>
      </c>
      <c r="AA70" s="1504">
        <v>0</v>
      </c>
      <c r="AB70" s="1520">
        <f t="shared" si="34"/>
        <v>370</v>
      </c>
      <c r="AC70" s="820"/>
      <c r="AD70" s="821"/>
      <c r="AE70" s="822"/>
      <c r="AF70" s="820"/>
      <c r="AG70" s="821"/>
      <c r="AH70" s="822"/>
      <c r="AI70" s="1503">
        <f t="shared" si="28"/>
        <v>6031</v>
      </c>
      <c r="AJ70" s="1504">
        <f t="shared" si="29"/>
        <v>0</v>
      </c>
      <c r="AK70" s="3912">
        <v>0</v>
      </c>
      <c r="AL70" s="1505">
        <f t="shared" si="15"/>
        <v>6031</v>
      </c>
      <c r="AM70" s="1508" t="s">
        <v>1061</v>
      </c>
      <c r="AN70" s="3401">
        <v>42291</v>
      </c>
      <c r="AO70" s="3402">
        <v>1173368</v>
      </c>
      <c r="AP70" s="2664">
        <v>41821</v>
      </c>
      <c r="AQ70" s="3403">
        <v>1</v>
      </c>
      <c r="AR70" s="1506">
        <f t="shared" si="30"/>
        <v>4812</v>
      </c>
      <c r="AS70" s="1507">
        <f t="shared" si="31"/>
        <v>849</v>
      </c>
      <c r="AT70" s="1507">
        <f t="shared" si="32"/>
        <v>370</v>
      </c>
      <c r="AU70" s="849"/>
      <c r="AV70" s="849"/>
      <c r="AW70" s="2878">
        <f t="shared" si="35"/>
        <v>6031</v>
      </c>
      <c r="AX70" s="3146"/>
      <c r="BB70" s="267"/>
      <c r="BC70" s="4117">
        <f t="shared" si="36"/>
        <v>0</v>
      </c>
      <c r="BD70" s="4117">
        <f t="shared" si="37"/>
        <v>0</v>
      </c>
    </row>
    <row r="71" spans="1:56" ht="102">
      <c r="A71" s="5973" t="s">
        <v>11138</v>
      </c>
      <c r="B71" s="1508" t="s">
        <v>3421</v>
      </c>
      <c r="C71" s="1509">
        <v>0</v>
      </c>
      <c r="D71" s="1510">
        <v>42072</v>
      </c>
      <c r="E71" s="3047" t="s">
        <v>6387</v>
      </c>
      <c r="F71" s="2139">
        <v>41609</v>
      </c>
      <c r="G71" s="3131">
        <v>106.7</v>
      </c>
      <c r="H71" s="1513">
        <v>132007.23980000001</v>
      </c>
      <c r="I71" s="1514" t="s">
        <v>3422</v>
      </c>
      <c r="J71" s="1515" t="s">
        <v>1434</v>
      </c>
      <c r="K71" s="1516">
        <v>43274</v>
      </c>
      <c r="L71" s="1514" t="s">
        <v>3423</v>
      </c>
      <c r="M71" s="1515" t="s">
        <v>3424</v>
      </c>
      <c r="N71" s="1540" t="s">
        <v>958</v>
      </c>
      <c r="O71" s="1502" t="s">
        <v>957</v>
      </c>
      <c r="P71" s="1517" t="s">
        <v>3425</v>
      </c>
      <c r="Q71" s="1515" t="s">
        <v>3427</v>
      </c>
      <c r="R71" s="1515" t="s">
        <v>3411</v>
      </c>
      <c r="S71" s="1518"/>
      <c r="T71" s="1519">
        <v>74738</v>
      </c>
      <c r="U71" s="1504">
        <v>0</v>
      </c>
      <c r="V71" s="1520">
        <f t="shared" si="33"/>
        <v>74738</v>
      </c>
      <c r="W71" s="1519">
        <v>0</v>
      </c>
      <c r="X71" s="1504">
        <v>0</v>
      </c>
      <c r="Y71" s="1520">
        <f t="shared" si="16"/>
        <v>0</v>
      </c>
      <c r="Z71" s="1519">
        <v>347543</v>
      </c>
      <c r="AA71" s="1504">
        <v>0</v>
      </c>
      <c r="AB71" s="1520">
        <f t="shared" si="34"/>
        <v>347543</v>
      </c>
      <c r="AC71" s="820"/>
      <c r="AD71" s="821"/>
      <c r="AE71" s="822"/>
      <c r="AF71" s="820"/>
      <c r="AG71" s="821"/>
      <c r="AH71" s="822"/>
      <c r="AI71" s="1503">
        <f t="shared" si="28"/>
        <v>422281</v>
      </c>
      <c r="AJ71" s="1504">
        <f t="shared" si="29"/>
        <v>0</v>
      </c>
      <c r="AK71" s="3912">
        <v>0</v>
      </c>
      <c r="AL71" s="1505">
        <f t="shared" si="15"/>
        <v>422281</v>
      </c>
      <c r="AM71" s="1508" t="s">
        <v>1061</v>
      </c>
      <c r="AN71" s="3401">
        <v>42296</v>
      </c>
      <c r="AO71" s="3402">
        <v>1173523</v>
      </c>
      <c r="AP71" s="2664">
        <v>42156</v>
      </c>
      <c r="AQ71" s="3403">
        <v>107.4</v>
      </c>
      <c r="AR71" s="1506">
        <f t="shared" si="30"/>
        <v>75228</v>
      </c>
      <c r="AS71" s="1507">
        <f t="shared" si="31"/>
        <v>0</v>
      </c>
      <c r="AT71" s="1507">
        <f t="shared" si="32"/>
        <v>349823</v>
      </c>
      <c r="AU71" s="849"/>
      <c r="AV71" s="849"/>
      <c r="AW71" s="4037">
        <f t="shared" si="35"/>
        <v>425051</v>
      </c>
      <c r="AX71" s="3146"/>
      <c r="BB71" s="267"/>
      <c r="BC71" s="4117">
        <f t="shared" si="36"/>
        <v>0</v>
      </c>
      <c r="BD71" s="4117">
        <f t="shared" si="37"/>
        <v>0</v>
      </c>
    </row>
    <row r="72" spans="1:56" ht="63.75">
      <c r="A72" s="5981" t="s">
        <v>11139</v>
      </c>
      <c r="B72" s="4056" t="s">
        <v>7214</v>
      </c>
      <c r="C72" s="4057">
        <v>0</v>
      </c>
      <c r="D72" s="4058">
        <v>42312</v>
      </c>
      <c r="E72" s="4059" t="s">
        <v>6384</v>
      </c>
      <c r="F72" s="4060">
        <v>41821</v>
      </c>
      <c r="G72" s="4061">
        <v>1</v>
      </c>
      <c r="H72" s="4062" t="s">
        <v>3464</v>
      </c>
      <c r="I72" s="1514" t="s">
        <v>1433</v>
      </c>
      <c r="J72" s="1515" t="s">
        <v>1434</v>
      </c>
      <c r="K72" s="1516">
        <v>43772</v>
      </c>
      <c r="L72" s="4063" t="s">
        <v>3465</v>
      </c>
      <c r="M72" s="1515" t="s">
        <v>3466</v>
      </c>
      <c r="N72" s="1514" t="s">
        <v>3467</v>
      </c>
      <c r="O72" s="1513" t="s">
        <v>3468</v>
      </c>
      <c r="P72" s="1517" t="s">
        <v>7241</v>
      </c>
      <c r="Q72" s="1515" t="s">
        <v>3470</v>
      </c>
      <c r="R72" s="1515" t="s">
        <v>3469</v>
      </c>
      <c r="S72" s="4055" t="s">
        <v>3476</v>
      </c>
      <c r="T72" s="1519">
        <v>9282</v>
      </c>
      <c r="U72" s="1504">
        <v>9282</v>
      </c>
      <c r="V72" s="1520">
        <f t="shared" si="33"/>
        <v>0</v>
      </c>
      <c r="W72" s="1519">
        <v>1638</v>
      </c>
      <c r="X72" s="1504">
        <v>1638</v>
      </c>
      <c r="Y72" s="1520">
        <f t="shared" si="16"/>
        <v>0</v>
      </c>
      <c r="Z72" s="1519">
        <v>2600</v>
      </c>
      <c r="AA72" s="1504">
        <v>2600</v>
      </c>
      <c r="AB72" s="1520">
        <f t="shared" si="34"/>
        <v>0</v>
      </c>
      <c r="AC72" s="1519"/>
      <c r="AD72" s="1504"/>
      <c r="AE72" s="1520"/>
      <c r="AF72" s="1519"/>
      <c r="AG72" s="1504"/>
      <c r="AH72" s="1520"/>
      <c r="AI72" s="1503">
        <f t="shared" si="28"/>
        <v>13520</v>
      </c>
      <c r="AJ72" s="1504">
        <f t="shared" si="29"/>
        <v>13520</v>
      </c>
      <c r="AK72" s="3912"/>
      <c r="AL72" s="1505">
        <f t="shared" si="15"/>
        <v>0</v>
      </c>
      <c r="AM72" s="4032" t="s">
        <v>7263</v>
      </c>
      <c r="AN72" s="4033"/>
      <c r="AO72" s="4034"/>
      <c r="AP72" s="2664">
        <v>41821</v>
      </c>
      <c r="AQ72" s="4485">
        <v>1</v>
      </c>
      <c r="AR72" s="1506">
        <f t="shared" si="30"/>
        <v>0</v>
      </c>
      <c r="AS72" s="1507">
        <f t="shared" si="31"/>
        <v>0</v>
      </c>
      <c r="AT72" s="1507">
        <f t="shared" si="32"/>
        <v>0</v>
      </c>
      <c r="AU72" s="1507"/>
      <c r="AV72" s="1507"/>
      <c r="AW72" s="4037">
        <f t="shared" si="35"/>
        <v>0</v>
      </c>
      <c r="AX72" s="3146"/>
      <c r="BB72" s="267"/>
      <c r="BC72" s="4117">
        <f t="shared" si="36"/>
        <v>13520</v>
      </c>
      <c r="BD72" s="4117">
        <f t="shared" si="37"/>
        <v>0</v>
      </c>
    </row>
    <row r="73" spans="1:56" ht="63.75">
      <c r="A73" s="5981" t="s">
        <v>11139</v>
      </c>
      <c r="B73" s="4056" t="s">
        <v>7218</v>
      </c>
      <c r="C73" s="4057">
        <v>0</v>
      </c>
      <c r="D73" s="4058">
        <v>41970</v>
      </c>
      <c r="E73" s="4059" t="s">
        <v>6383</v>
      </c>
      <c r="F73" s="4060">
        <v>41821</v>
      </c>
      <c r="G73" s="4061">
        <v>1</v>
      </c>
      <c r="H73" s="4062" t="s">
        <v>2689</v>
      </c>
      <c r="I73" s="1514" t="s">
        <v>1433</v>
      </c>
      <c r="J73" s="1515" t="s">
        <v>1434</v>
      </c>
      <c r="K73" s="1516">
        <v>43431</v>
      </c>
      <c r="L73" s="4063" t="s">
        <v>2690</v>
      </c>
      <c r="M73" s="1515" t="s">
        <v>2691</v>
      </c>
      <c r="N73" s="1514" t="s">
        <v>2692</v>
      </c>
      <c r="O73" s="1513" t="s">
        <v>2693</v>
      </c>
      <c r="P73" s="1517" t="s">
        <v>7241</v>
      </c>
      <c r="Q73" s="1515" t="s">
        <v>2694</v>
      </c>
      <c r="R73" s="1515" t="s">
        <v>2695</v>
      </c>
      <c r="S73" s="4055" t="s">
        <v>3476</v>
      </c>
      <c r="T73" s="1519">
        <v>5651</v>
      </c>
      <c r="U73" s="1504">
        <v>5651</v>
      </c>
      <c r="V73" s="1520">
        <f t="shared" si="33"/>
        <v>0</v>
      </c>
      <c r="W73" s="1519">
        <v>997</v>
      </c>
      <c r="X73" s="1504">
        <v>997</v>
      </c>
      <c r="Y73" s="1520">
        <f t="shared" si="16"/>
        <v>0</v>
      </c>
      <c r="Z73" s="1519">
        <v>1300</v>
      </c>
      <c r="AA73" s="1504">
        <v>1300</v>
      </c>
      <c r="AB73" s="1520">
        <f t="shared" si="34"/>
        <v>0</v>
      </c>
      <c r="AC73" s="1519"/>
      <c r="AD73" s="1504"/>
      <c r="AE73" s="1520"/>
      <c r="AF73" s="1519"/>
      <c r="AG73" s="1504"/>
      <c r="AH73" s="1520"/>
      <c r="AI73" s="1503">
        <f t="shared" si="28"/>
        <v>7948</v>
      </c>
      <c r="AJ73" s="1504">
        <f t="shared" si="29"/>
        <v>7948</v>
      </c>
      <c r="AK73" s="3912"/>
      <c r="AL73" s="1505">
        <f t="shared" si="15"/>
        <v>0</v>
      </c>
      <c r="AM73" s="4032" t="s">
        <v>7272</v>
      </c>
      <c r="AN73" s="4033"/>
      <c r="AO73" s="4034"/>
      <c r="AP73" s="2664">
        <v>41821</v>
      </c>
      <c r="AQ73" s="4485">
        <v>1</v>
      </c>
      <c r="AR73" s="1506">
        <f t="shared" si="30"/>
        <v>0</v>
      </c>
      <c r="AS73" s="1507">
        <f t="shared" si="31"/>
        <v>0</v>
      </c>
      <c r="AT73" s="1507">
        <f t="shared" si="32"/>
        <v>0</v>
      </c>
      <c r="AU73" s="1507"/>
      <c r="AV73" s="1507"/>
      <c r="AW73" s="2907">
        <f t="shared" si="35"/>
        <v>0</v>
      </c>
      <c r="AX73" s="3146"/>
      <c r="BA73" s="267"/>
      <c r="BB73" s="267"/>
      <c r="BC73" s="4117">
        <f t="shared" si="36"/>
        <v>7948</v>
      </c>
      <c r="BD73" s="4117">
        <f t="shared" si="37"/>
        <v>0</v>
      </c>
    </row>
    <row r="74" spans="1:56" ht="64.5" thickBot="1">
      <c r="A74" s="5980" t="s">
        <v>11139</v>
      </c>
      <c r="B74" s="1328" t="s">
        <v>2929</v>
      </c>
      <c r="C74" s="1329">
        <v>0</v>
      </c>
      <c r="D74" s="1330">
        <v>42292</v>
      </c>
      <c r="E74" s="3046" t="s">
        <v>6387</v>
      </c>
      <c r="F74" s="1331">
        <v>41821</v>
      </c>
      <c r="G74" s="1332">
        <v>1</v>
      </c>
      <c r="H74" s="1333" t="s">
        <v>3400</v>
      </c>
      <c r="I74" s="1334" t="s">
        <v>1433</v>
      </c>
      <c r="J74" s="1335" t="s">
        <v>1434</v>
      </c>
      <c r="K74" s="1336">
        <v>43753</v>
      </c>
      <c r="L74" s="1334" t="s">
        <v>3401</v>
      </c>
      <c r="M74" s="1335" t="s">
        <v>3402</v>
      </c>
      <c r="N74" s="1334" t="s">
        <v>3403</v>
      </c>
      <c r="O74" s="1333" t="s">
        <v>3404</v>
      </c>
      <c r="P74" s="1337" t="s">
        <v>3407</v>
      </c>
      <c r="Q74" s="1335" t="s">
        <v>3405</v>
      </c>
      <c r="R74" s="1335" t="s">
        <v>3406</v>
      </c>
      <c r="S74" s="1338"/>
      <c r="T74" s="1339">
        <v>1920</v>
      </c>
      <c r="U74" s="1340">
        <v>0</v>
      </c>
      <c r="V74" s="1341">
        <f t="shared" si="33"/>
        <v>1920</v>
      </c>
      <c r="W74" s="1339">
        <v>2400</v>
      </c>
      <c r="X74" s="1340">
        <v>0</v>
      </c>
      <c r="Y74" s="1341">
        <f t="shared" si="16"/>
        <v>2400</v>
      </c>
      <c r="Z74" s="1339">
        <v>480</v>
      </c>
      <c r="AA74" s="1340">
        <v>0</v>
      </c>
      <c r="AB74" s="1341">
        <f t="shared" si="34"/>
        <v>480</v>
      </c>
      <c r="AC74" s="903"/>
      <c r="AD74" s="904"/>
      <c r="AE74" s="905"/>
      <c r="AF74" s="903"/>
      <c r="AG74" s="904"/>
      <c r="AH74" s="905"/>
      <c r="AI74" s="1342">
        <f t="shared" si="28"/>
        <v>4800</v>
      </c>
      <c r="AJ74" s="1340">
        <f t="shared" si="29"/>
        <v>0</v>
      </c>
      <c r="AK74" s="3911">
        <v>0</v>
      </c>
      <c r="AL74" s="1343">
        <f t="shared" si="15"/>
        <v>4800</v>
      </c>
      <c r="AM74" s="3396" t="s">
        <v>1061</v>
      </c>
      <c r="AN74" s="3397">
        <v>42299</v>
      </c>
      <c r="AO74" s="3398">
        <v>1173647</v>
      </c>
      <c r="AP74" s="3399">
        <v>41821</v>
      </c>
      <c r="AQ74" s="3400">
        <v>1</v>
      </c>
      <c r="AR74" s="1344">
        <f t="shared" si="30"/>
        <v>1920</v>
      </c>
      <c r="AS74" s="1345">
        <f t="shared" si="31"/>
        <v>2400</v>
      </c>
      <c r="AT74" s="1345">
        <f t="shared" si="32"/>
        <v>480</v>
      </c>
      <c r="AU74" s="906"/>
      <c r="AV74" s="906"/>
      <c r="AW74" s="2879">
        <f t="shared" si="35"/>
        <v>4800</v>
      </c>
      <c r="AX74" s="2896"/>
      <c r="AY74" s="1498" t="s">
        <v>3384</v>
      </c>
      <c r="AZ74" s="1499">
        <f>SUM(AW68:AW74)</f>
        <v>439008</v>
      </c>
      <c r="BA74" s="1500">
        <f>AZ74-BB74</f>
        <v>439008</v>
      </c>
      <c r="BB74" s="1501">
        <f>SUM(AU68:AV74)</f>
        <v>0</v>
      </c>
      <c r="BC74" s="4117">
        <f t="shared" si="36"/>
        <v>0</v>
      </c>
      <c r="BD74" s="4117">
        <f t="shared" si="37"/>
        <v>0</v>
      </c>
    </row>
    <row r="75" spans="1:56" ht="51">
      <c r="A75" s="5966" t="s">
        <v>11139</v>
      </c>
      <c r="B75" s="564" t="s">
        <v>2926</v>
      </c>
      <c r="C75" s="565">
        <v>0</v>
      </c>
      <c r="D75" s="566">
        <v>42254</v>
      </c>
      <c r="E75" s="566" t="s">
        <v>6387</v>
      </c>
      <c r="F75" s="567">
        <v>41821</v>
      </c>
      <c r="G75" s="1541">
        <v>1</v>
      </c>
      <c r="H75" s="568" t="s">
        <v>3294</v>
      </c>
      <c r="I75" s="569" t="s">
        <v>1330</v>
      </c>
      <c r="J75" s="570" t="s">
        <v>1445</v>
      </c>
      <c r="K75" s="571">
        <v>42249</v>
      </c>
      <c r="L75" s="569" t="s">
        <v>2596</v>
      </c>
      <c r="M75" s="570" t="s">
        <v>3295</v>
      </c>
      <c r="N75" s="569" t="s">
        <v>3296</v>
      </c>
      <c r="O75" s="568" t="s">
        <v>3365</v>
      </c>
      <c r="P75" s="572" t="s">
        <v>3299</v>
      </c>
      <c r="Q75" s="570" t="s">
        <v>3297</v>
      </c>
      <c r="R75" s="322" t="s">
        <v>3576</v>
      </c>
      <c r="S75" s="573"/>
      <c r="T75" s="574">
        <v>1478</v>
      </c>
      <c r="U75" s="575">
        <v>0</v>
      </c>
      <c r="V75" s="576">
        <f t="shared" si="33"/>
        <v>1478</v>
      </c>
      <c r="W75" s="574">
        <v>0</v>
      </c>
      <c r="X75" s="575">
        <v>0</v>
      </c>
      <c r="Y75" s="576">
        <f t="shared" si="16"/>
        <v>0</v>
      </c>
      <c r="Z75" s="574">
        <v>13200</v>
      </c>
      <c r="AA75" s="575">
        <v>0</v>
      </c>
      <c r="AB75" s="576">
        <f t="shared" si="34"/>
        <v>13200</v>
      </c>
      <c r="AC75" s="1542"/>
      <c r="AD75" s="1543"/>
      <c r="AE75" s="1544"/>
      <c r="AF75" s="1542"/>
      <c r="AG75" s="1543"/>
      <c r="AH75" s="1544"/>
      <c r="AI75" s="577">
        <f t="shared" si="28"/>
        <v>14678</v>
      </c>
      <c r="AJ75" s="575">
        <f t="shared" si="29"/>
        <v>0</v>
      </c>
      <c r="AK75" s="3902">
        <v>0</v>
      </c>
      <c r="AL75" s="578">
        <f t="shared" si="15"/>
        <v>14678</v>
      </c>
      <c r="AM75" s="3404" t="s">
        <v>1061</v>
      </c>
      <c r="AN75" s="3346">
        <v>42313</v>
      </c>
      <c r="AO75" s="3347">
        <v>1174074</v>
      </c>
      <c r="AP75" s="3348">
        <v>41821</v>
      </c>
      <c r="AQ75" s="3349">
        <v>1</v>
      </c>
      <c r="AR75" s="579">
        <f t="shared" si="30"/>
        <v>1478</v>
      </c>
      <c r="AS75" s="580">
        <f t="shared" si="31"/>
        <v>0</v>
      </c>
      <c r="AT75" s="580">
        <f t="shared" si="32"/>
        <v>13200</v>
      </c>
      <c r="AU75" s="1545"/>
      <c r="AV75" s="1545"/>
      <c r="AW75" s="2868">
        <f t="shared" si="35"/>
        <v>14678</v>
      </c>
      <c r="AX75" s="2889"/>
      <c r="BB75" s="267"/>
      <c r="BC75" s="4117">
        <f t="shared" si="36"/>
        <v>0</v>
      </c>
      <c r="BD75" s="4117">
        <f t="shared" si="37"/>
        <v>0</v>
      </c>
    </row>
    <row r="76" spans="1:56" ht="51">
      <c r="A76" s="2418" t="s">
        <v>11139</v>
      </c>
      <c r="B76" s="338" t="s">
        <v>2941</v>
      </c>
      <c r="C76" s="321">
        <v>0</v>
      </c>
      <c r="D76" s="323">
        <v>42311</v>
      </c>
      <c r="E76" s="3012" t="s">
        <v>6387</v>
      </c>
      <c r="F76" s="324">
        <v>41821</v>
      </c>
      <c r="G76" s="1475">
        <v>1</v>
      </c>
      <c r="H76" s="332" t="s">
        <v>3457</v>
      </c>
      <c r="I76" s="339" t="s">
        <v>1433</v>
      </c>
      <c r="J76" s="322" t="s">
        <v>1434</v>
      </c>
      <c r="K76" s="340">
        <v>43772</v>
      </c>
      <c r="L76" s="339" t="s">
        <v>3458</v>
      </c>
      <c r="M76" s="322" t="s">
        <v>3459</v>
      </c>
      <c r="N76" s="339" t="s">
        <v>3461</v>
      </c>
      <c r="O76" s="332" t="s">
        <v>3460</v>
      </c>
      <c r="P76" s="345"/>
      <c r="Q76" s="322" t="s">
        <v>3463</v>
      </c>
      <c r="R76" s="322" t="s">
        <v>3462</v>
      </c>
      <c r="S76" s="346"/>
      <c r="T76" s="347">
        <v>870</v>
      </c>
      <c r="U76" s="326">
        <v>0</v>
      </c>
      <c r="V76" s="348">
        <f t="shared" si="33"/>
        <v>870</v>
      </c>
      <c r="W76" s="347">
        <v>154</v>
      </c>
      <c r="X76" s="326">
        <v>0</v>
      </c>
      <c r="Y76" s="348">
        <f t="shared" si="16"/>
        <v>154</v>
      </c>
      <c r="Z76" s="347">
        <v>0</v>
      </c>
      <c r="AA76" s="326">
        <v>0</v>
      </c>
      <c r="AB76" s="348">
        <f t="shared" si="34"/>
        <v>0</v>
      </c>
      <c r="AC76" s="820"/>
      <c r="AD76" s="821"/>
      <c r="AE76" s="822"/>
      <c r="AF76" s="820"/>
      <c r="AG76" s="821"/>
      <c r="AH76" s="822"/>
      <c r="AI76" s="482">
        <f t="shared" ref="AI76:AI107" si="38">T76+W76+Z76+AC76+AF76</f>
        <v>1024</v>
      </c>
      <c r="AJ76" s="326">
        <f t="shared" ref="AJ76:AJ107" si="39">U76+X76+AA76+AD76+AG76</f>
        <v>0</v>
      </c>
      <c r="AK76" s="3899">
        <v>0</v>
      </c>
      <c r="AL76" s="349">
        <f t="shared" ref="AL76:AL139" si="40">V76+Y76+AB76+AE76+AH76</f>
        <v>1024</v>
      </c>
      <c r="AM76" s="2002" t="s">
        <v>1061</v>
      </c>
      <c r="AN76" s="3357">
        <v>42314</v>
      </c>
      <c r="AO76" s="695">
        <v>1174098</v>
      </c>
      <c r="AP76" s="2722">
        <v>41821</v>
      </c>
      <c r="AQ76" s="3358">
        <v>1</v>
      </c>
      <c r="AR76" s="333">
        <f t="shared" si="30"/>
        <v>870</v>
      </c>
      <c r="AS76" s="330">
        <f t="shared" si="31"/>
        <v>154</v>
      </c>
      <c r="AT76" s="330">
        <f t="shared" si="32"/>
        <v>0</v>
      </c>
      <c r="AU76" s="849"/>
      <c r="AV76" s="849"/>
      <c r="AW76" s="2870">
        <f t="shared" si="35"/>
        <v>1024</v>
      </c>
      <c r="AX76" s="3140"/>
      <c r="BB76" s="267"/>
      <c r="BC76" s="4117">
        <f t="shared" si="36"/>
        <v>0</v>
      </c>
      <c r="BD76" s="4117">
        <f t="shared" si="37"/>
        <v>0</v>
      </c>
    </row>
    <row r="77" spans="1:56" ht="77.25" thickBot="1">
      <c r="A77" s="5972" t="s">
        <v>11139</v>
      </c>
      <c r="B77" s="1595" t="s">
        <v>3445</v>
      </c>
      <c r="C77" s="582">
        <v>0</v>
      </c>
      <c r="D77" s="583">
        <v>42023</v>
      </c>
      <c r="E77" s="2992" t="s">
        <v>6383</v>
      </c>
      <c r="F77" s="584">
        <v>41821</v>
      </c>
      <c r="G77" s="585">
        <v>1</v>
      </c>
      <c r="H77" s="586" t="s">
        <v>2832</v>
      </c>
      <c r="I77" s="587" t="s">
        <v>1433</v>
      </c>
      <c r="J77" s="588" t="s">
        <v>1434</v>
      </c>
      <c r="K77" s="589">
        <v>43484</v>
      </c>
      <c r="L77" s="587" t="s">
        <v>2833</v>
      </c>
      <c r="M77" s="588" t="s">
        <v>2834</v>
      </c>
      <c r="N77" s="587" t="s">
        <v>2835</v>
      </c>
      <c r="O77" s="586" t="s">
        <v>2836</v>
      </c>
      <c r="P77" s="590" t="s">
        <v>3577</v>
      </c>
      <c r="Q77" s="588" t="s">
        <v>3385</v>
      </c>
      <c r="R77" s="588" t="s">
        <v>2837</v>
      </c>
      <c r="S77" s="591"/>
      <c r="T77" s="592">
        <v>8590</v>
      </c>
      <c r="U77" s="593">
        <v>0</v>
      </c>
      <c r="V77" s="594">
        <f t="shared" si="33"/>
        <v>8590</v>
      </c>
      <c r="W77" s="592">
        <v>1511</v>
      </c>
      <c r="X77" s="593">
        <v>0</v>
      </c>
      <c r="Y77" s="594">
        <f t="shared" si="16"/>
        <v>1511</v>
      </c>
      <c r="Z77" s="592">
        <v>3889</v>
      </c>
      <c r="AA77" s="593">
        <v>0</v>
      </c>
      <c r="AB77" s="594">
        <f t="shared" si="34"/>
        <v>3889</v>
      </c>
      <c r="AC77" s="903"/>
      <c r="AD77" s="904"/>
      <c r="AE77" s="905"/>
      <c r="AF77" s="903"/>
      <c r="AG77" s="904"/>
      <c r="AH77" s="905"/>
      <c r="AI77" s="595">
        <f t="shared" si="38"/>
        <v>13990</v>
      </c>
      <c r="AJ77" s="593">
        <f t="shared" si="39"/>
        <v>0</v>
      </c>
      <c r="AK77" s="3903">
        <v>0</v>
      </c>
      <c r="AL77" s="596">
        <f t="shared" si="40"/>
        <v>13990</v>
      </c>
      <c r="AM77" s="1595" t="s">
        <v>2977</v>
      </c>
      <c r="AN77" s="3351">
        <v>42334</v>
      </c>
      <c r="AO77" s="3352">
        <v>1174621</v>
      </c>
      <c r="AP77" s="3353">
        <v>41821</v>
      </c>
      <c r="AQ77" s="3354">
        <v>1</v>
      </c>
      <c r="AR77" s="597">
        <f t="shared" si="30"/>
        <v>8590</v>
      </c>
      <c r="AS77" s="598">
        <f t="shared" si="31"/>
        <v>1511</v>
      </c>
      <c r="AT77" s="598">
        <f t="shared" si="32"/>
        <v>3889</v>
      </c>
      <c r="AU77" s="906"/>
      <c r="AV77" s="906"/>
      <c r="AW77" s="2869">
        <f t="shared" si="35"/>
        <v>13990</v>
      </c>
      <c r="AX77" s="2890"/>
      <c r="AY77" s="764" t="s">
        <v>3471</v>
      </c>
      <c r="AZ77" s="882">
        <f>SUM(AW75:AW77)</f>
        <v>29692</v>
      </c>
      <c r="BA77" s="883">
        <f>AZ77-BB77</f>
        <v>29692</v>
      </c>
      <c r="BB77" s="884">
        <f>SUM(AU75:AV77)</f>
        <v>0</v>
      </c>
      <c r="BC77" s="4117">
        <f t="shared" si="36"/>
        <v>0</v>
      </c>
      <c r="BD77" s="4117">
        <f t="shared" si="37"/>
        <v>0</v>
      </c>
    </row>
    <row r="78" spans="1:56" ht="76.5">
      <c r="A78" s="5979" t="s">
        <v>11139</v>
      </c>
      <c r="B78" s="908" t="s">
        <v>3357</v>
      </c>
      <c r="C78" s="909">
        <v>0</v>
      </c>
      <c r="D78" s="910">
        <v>41995</v>
      </c>
      <c r="E78" s="3044" t="s">
        <v>6383</v>
      </c>
      <c r="F78" s="911">
        <v>41821</v>
      </c>
      <c r="G78" s="1218">
        <v>1</v>
      </c>
      <c r="H78" s="913" t="s">
        <v>2968</v>
      </c>
      <c r="I78" s="914" t="s">
        <v>1436</v>
      </c>
      <c r="J78" s="915" t="s">
        <v>2712</v>
      </c>
      <c r="K78" s="916">
        <v>43456</v>
      </c>
      <c r="L78" s="914" t="s">
        <v>1797</v>
      </c>
      <c r="M78" s="915" t="s">
        <v>3580</v>
      </c>
      <c r="N78" s="914" t="s">
        <v>2806</v>
      </c>
      <c r="O78" s="913" t="s">
        <v>2770</v>
      </c>
      <c r="P78" s="1018" t="s">
        <v>2973</v>
      </c>
      <c r="Q78" s="915" t="s">
        <v>2749</v>
      </c>
      <c r="R78" s="915" t="s">
        <v>2750</v>
      </c>
      <c r="S78" s="918" t="s">
        <v>2971</v>
      </c>
      <c r="T78" s="919">
        <v>23520</v>
      </c>
      <c r="U78" s="920">
        <v>0</v>
      </c>
      <c r="V78" s="921">
        <f t="shared" si="33"/>
        <v>23520</v>
      </c>
      <c r="W78" s="919">
        <v>29400</v>
      </c>
      <c r="X78" s="920">
        <v>0</v>
      </c>
      <c r="Y78" s="921">
        <f t="shared" si="16"/>
        <v>29400</v>
      </c>
      <c r="Z78" s="919">
        <v>5880</v>
      </c>
      <c r="AA78" s="920">
        <v>0</v>
      </c>
      <c r="AB78" s="921">
        <f t="shared" si="34"/>
        <v>5880</v>
      </c>
      <c r="AC78" s="820"/>
      <c r="AD78" s="821"/>
      <c r="AE78" s="822"/>
      <c r="AF78" s="820"/>
      <c r="AG78" s="821"/>
      <c r="AH78" s="822"/>
      <c r="AI78" s="922">
        <f t="shared" si="38"/>
        <v>58800</v>
      </c>
      <c r="AJ78" s="920">
        <f t="shared" si="39"/>
        <v>0</v>
      </c>
      <c r="AK78" s="3907">
        <v>0</v>
      </c>
      <c r="AL78" s="923">
        <f t="shared" si="40"/>
        <v>58800</v>
      </c>
      <c r="AM78" s="1605" t="s">
        <v>1061</v>
      </c>
      <c r="AN78" s="3364">
        <v>42347</v>
      </c>
      <c r="AO78" s="3365">
        <v>1174996</v>
      </c>
      <c r="AP78" s="3366">
        <v>41821</v>
      </c>
      <c r="AQ78" s="3367">
        <v>1</v>
      </c>
      <c r="AR78" s="924">
        <f t="shared" si="30"/>
        <v>23520</v>
      </c>
      <c r="AS78" s="925">
        <f t="shared" si="31"/>
        <v>29400</v>
      </c>
      <c r="AT78" s="925">
        <f t="shared" si="32"/>
        <v>5880</v>
      </c>
      <c r="AU78" s="849"/>
      <c r="AV78" s="849"/>
      <c r="AW78" s="2880">
        <f t="shared" si="35"/>
        <v>58800</v>
      </c>
      <c r="AX78" s="3143"/>
      <c r="BB78" s="267"/>
      <c r="BC78" s="4117">
        <f t="shared" si="36"/>
        <v>0</v>
      </c>
      <c r="BD78" s="4117">
        <f t="shared" si="37"/>
        <v>0</v>
      </c>
    </row>
    <row r="79" spans="1:56" ht="76.5">
      <c r="A79" s="5979" t="s">
        <v>11139</v>
      </c>
      <c r="B79" s="908" t="s">
        <v>3358</v>
      </c>
      <c r="C79" s="909">
        <v>0</v>
      </c>
      <c r="D79" s="910">
        <v>41992</v>
      </c>
      <c r="E79" s="3044" t="s">
        <v>6383</v>
      </c>
      <c r="F79" s="911">
        <v>41821</v>
      </c>
      <c r="G79" s="1218">
        <v>1</v>
      </c>
      <c r="H79" s="913" t="s">
        <v>2969</v>
      </c>
      <c r="I79" s="914" t="s">
        <v>1436</v>
      </c>
      <c r="J79" s="915" t="s">
        <v>2712</v>
      </c>
      <c r="K79" s="916">
        <v>43453</v>
      </c>
      <c r="L79" s="914" t="s">
        <v>1797</v>
      </c>
      <c r="M79" s="915" t="s">
        <v>3580</v>
      </c>
      <c r="N79" s="914" t="s">
        <v>2806</v>
      </c>
      <c r="O79" s="913" t="s">
        <v>2770</v>
      </c>
      <c r="P79" s="1018" t="s">
        <v>2973</v>
      </c>
      <c r="Q79" s="915" t="s">
        <v>2771</v>
      </c>
      <c r="R79" s="915" t="s">
        <v>2772</v>
      </c>
      <c r="S79" s="918" t="s">
        <v>2972</v>
      </c>
      <c r="T79" s="919">
        <v>14112</v>
      </c>
      <c r="U79" s="920">
        <v>0</v>
      </c>
      <c r="V79" s="921">
        <f t="shared" si="33"/>
        <v>14112</v>
      </c>
      <c r="W79" s="919">
        <v>17640</v>
      </c>
      <c r="X79" s="920">
        <v>0</v>
      </c>
      <c r="Y79" s="921">
        <f t="shared" si="16"/>
        <v>17640</v>
      </c>
      <c r="Z79" s="919">
        <v>3528</v>
      </c>
      <c r="AA79" s="920">
        <v>0</v>
      </c>
      <c r="AB79" s="921">
        <f t="shared" si="34"/>
        <v>3528</v>
      </c>
      <c r="AC79" s="820"/>
      <c r="AD79" s="821"/>
      <c r="AE79" s="822"/>
      <c r="AF79" s="820"/>
      <c r="AG79" s="821"/>
      <c r="AH79" s="822"/>
      <c r="AI79" s="922">
        <f t="shared" si="38"/>
        <v>35280</v>
      </c>
      <c r="AJ79" s="920">
        <f t="shared" si="39"/>
        <v>0</v>
      </c>
      <c r="AK79" s="3907">
        <v>0</v>
      </c>
      <c r="AL79" s="923">
        <f t="shared" si="40"/>
        <v>35280</v>
      </c>
      <c r="AM79" s="1605" t="s">
        <v>1061</v>
      </c>
      <c r="AN79" s="3364">
        <v>42347</v>
      </c>
      <c r="AO79" s="3365">
        <v>1174996</v>
      </c>
      <c r="AP79" s="3366">
        <v>41821</v>
      </c>
      <c r="AQ79" s="3367">
        <v>1</v>
      </c>
      <c r="AR79" s="924">
        <f t="shared" si="30"/>
        <v>14112</v>
      </c>
      <c r="AS79" s="925">
        <f t="shared" si="31"/>
        <v>17640</v>
      </c>
      <c r="AT79" s="925">
        <f t="shared" si="32"/>
        <v>3528</v>
      </c>
      <c r="AU79" s="849"/>
      <c r="AV79" s="849"/>
      <c r="AW79" s="2874">
        <f t="shared" si="35"/>
        <v>35280</v>
      </c>
      <c r="AX79" s="3143"/>
      <c r="BC79" s="4117">
        <f t="shared" si="36"/>
        <v>0</v>
      </c>
      <c r="BD79" s="4117">
        <f t="shared" si="37"/>
        <v>0</v>
      </c>
    </row>
    <row r="80" spans="1:56" ht="63.75">
      <c r="A80" s="5973" t="s">
        <v>11138</v>
      </c>
      <c r="B80" s="1605" t="s">
        <v>3603</v>
      </c>
      <c r="C80" s="909">
        <v>0</v>
      </c>
      <c r="D80" s="910">
        <v>41170</v>
      </c>
      <c r="E80" s="3044" t="s">
        <v>6390</v>
      </c>
      <c r="F80" s="1914">
        <v>40603</v>
      </c>
      <c r="G80" s="1607">
        <v>98.6</v>
      </c>
      <c r="H80" s="913" t="s">
        <v>3604</v>
      </c>
      <c r="I80" s="914" t="s">
        <v>1433</v>
      </c>
      <c r="J80" s="915" t="s">
        <v>1434</v>
      </c>
      <c r="K80" s="916">
        <v>43453</v>
      </c>
      <c r="L80" s="914" t="s">
        <v>3609</v>
      </c>
      <c r="M80" s="915" t="s">
        <v>3608</v>
      </c>
      <c r="N80" s="914" t="s">
        <v>773</v>
      </c>
      <c r="O80" s="913" t="s">
        <v>3606</v>
      </c>
      <c r="P80" s="1018" t="s">
        <v>3605</v>
      </c>
      <c r="Q80" s="915" t="s">
        <v>898</v>
      </c>
      <c r="R80" s="915" t="s">
        <v>263</v>
      </c>
      <c r="S80" s="918"/>
      <c r="T80" s="919">
        <v>16140</v>
      </c>
      <c r="U80" s="920">
        <v>0</v>
      </c>
      <c r="V80" s="921">
        <f t="shared" si="33"/>
        <v>16140</v>
      </c>
      <c r="W80" s="919">
        <v>4279</v>
      </c>
      <c r="X80" s="920">
        <v>0</v>
      </c>
      <c r="Y80" s="921">
        <f t="shared" si="16"/>
        <v>4279</v>
      </c>
      <c r="Z80" s="919">
        <v>640</v>
      </c>
      <c r="AA80" s="920">
        <v>0</v>
      </c>
      <c r="AB80" s="921">
        <f t="shared" si="34"/>
        <v>640</v>
      </c>
      <c r="AC80" s="820"/>
      <c r="AD80" s="821"/>
      <c r="AE80" s="822"/>
      <c r="AF80" s="820"/>
      <c r="AG80" s="821"/>
      <c r="AH80" s="822"/>
      <c r="AI80" s="922">
        <f t="shared" si="38"/>
        <v>21059</v>
      </c>
      <c r="AJ80" s="920">
        <f t="shared" si="39"/>
        <v>0</v>
      </c>
      <c r="AK80" s="3907">
        <v>0</v>
      </c>
      <c r="AL80" s="923">
        <f t="shared" si="40"/>
        <v>21059</v>
      </c>
      <c r="AM80" s="1605" t="s">
        <v>1061</v>
      </c>
      <c r="AN80" s="3364">
        <v>42355</v>
      </c>
      <c r="AO80" s="3365">
        <v>1175224</v>
      </c>
      <c r="AP80" s="3366">
        <v>42248</v>
      </c>
      <c r="AQ80" s="3367">
        <v>108.1</v>
      </c>
      <c r="AR80" s="924">
        <f t="shared" si="30"/>
        <v>17695</v>
      </c>
      <c r="AS80" s="925">
        <f t="shared" si="31"/>
        <v>4691</v>
      </c>
      <c r="AT80" s="925">
        <f t="shared" si="32"/>
        <v>702</v>
      </c>
      <c r="AU80" s="849"/>
      <c r="AV80" s="849"/>
      <c r="AW80" s="2874">
        <f t="shared" si="35"/>
        <v>23088</v>
      </c>
      <c r="AX80" s="3143"/>
      <c r="BB80" s="267"/>
      <c r="BC80" s="4117">
        <f t="shared" si="36"/>
        <v>0</v>
      </c>
      <c r="BD80" s="4117">
        <f t="shared" si="37"/>
        <v>0</v>
      </c>
    </row>
    <row r="81" spans="1:56" ht="102">
      <c r="A81" s="5973" t="s">
        <v>11138</v>
      </c>
      <c r="B81" s="908" t="s">
        <v>3684</v>
      </c>
      <c r="C81" s="909">
        <v>0</v>
      </c>
      <c r="D81" s="910">
        <v>42228</v>
      </c>
      <c r="E81" s="3044" t="s">
        <v>6387</v>
      </c>
      <c r="F81" s="1914" t="s">
        <v>3977</v>
      </c>
      <c r="G81" s="1607">
        <v>105.2</v>
      </c>
      <c r="H81" s="913" t="s">
        <v>3687</v>
      </c>
      <c r="I81" s="914" t="s">
        <v>1436</v>
      </c>
      <c r="J81" s="915" t="s">
        <v>1437</v>
      </c>
      <c r="K81" s="916">
        <v>43117</v>
      </c>
      <c r="L81" s="914" t="s">
        <v>3233</v>
      </c>
      <c r="M81" s="915" t="s">
        <v>3234</v>
      </c>
      <c r="N81" s="914" t="s">
        <v>3235</v>
      </c>
      <c r="O81" s="913" t="s">
        <v>3245</v>
      </c>
      <c r="P81" s="1018" t="s">
        <v>3502</v>
      </c>
      <c r="Q81" s="915" t="s">
        <v>3239</v>
      </c>
      <c r="R81" s="915" t="s">
        <v>3686</v>
      </c>
      <c r="S81" s="918"/>
      <c r="T81" s="919">
        <v>6141</v>
      </c>
      <c r="U81" s="920">
        <v>0</v>
      </c>
      <c r="V81" s="921">
        <f t="shared" si="33"/>
        <v>6141</v>
      </c>
      <c r="W81" s="919">
        <v>0</v>
      </c>
      <c r="X81" s="920">
        <v>0</v>
      </c>
      <c r="Y81" s="921">
        <f t="shared" si="16"/>
        <v>0</v>
      </c>
      <c r="Z81" s="919">
        <v>0</v>
      </c>
      <c r="AA81" s="920">
        <v>0</v>
      </c>
      <c r="AB81" s="921">
        <f t="shared" si="34"/>
        <v>0</v>
      </c>
      <c r="AC81" s="820"/>
      <c r="AD81" s="821"/>
      <c r="AE81" s="822"/>
      <c r="AF81" s="820"/>
      <c r="AG81" s="821"/>
      <c r="AH81" s="822"/>
      <c r="AI81" s="922">
        <f t="shared" si="38"/>
        <v>6141</v>
      </c>
      <c r="AJ81" s="920">
        <f t="shared" si="39"/>
        <v>0</v>
      </c>
      <c r="AK81" s="3907">
        <v>0</v>
      </c>
      <c r="AL81" s="923">
        <f t="shared" si="40"/>
        <v>6141</v>
      </c>
      <c r="AM81" s="1605" t="s">
        <v>1061</v>
      </c>
      <c r="AN81" s="3364">
        <v>42355</v>
      </c>
      <c r="AO81" s="3365">
        <v>1175254</v>
      </c>
      <c r="AP81" s="3366">
        <v>42248</v>
      </c>
      <c r="AQ81" s="3367">
        <v>108.1</v>
      </c>
      <c r="AR81" s="924">
        <f t="shared" si="30"/>
        <v>6310</v>
      </c>
      <c r="AS81" s="925">
        <f t="shared" si="31"/>
        <v>0</v>
      </c>
      <c r="AT81" s="925">
        <f t="shared" si="32"/>
        <v>0</v>
      </c>
      <c r="AU81" s="849"/>
      <c r="AV81" s="849"/>
      <c r="AW81" s="2874">
        <f t="shared" si="35"/>
        <v>6310</v>
      </c>
      <c r="AX81" s="3143"/>
      <c r="BB81" s="267"/>
      <c r="BC81" s="4117">
        <f t="shared" si="36"/>
        <v>0</v>
      </c>
      <c r="BD81" s="4117">
        <f t="shared" si="37"/>
        <v>0</v>
      </c>
    </row>
    <row r="82" spans="1:56" ht="77.25" thickBot="1">
      <c r="A82" s="5982" t="s">
        <v>11139</v>
      </c>
      <c r="B82" s="494" t="s">
        <v>3442</v>
      </c>
      <c r="C82" s="495" t="s">
        <v>1432</v>
      </c>
      <c r="D82" s="496">
        <v>41163</v>
      </c>
      <c r="E82" s="3042" t="s">
        <v>6390</v>
      </c>
      <c r="F82" s="497">
        <v>41061</v>
      </c>
      <c r="G82" s="668">
        <v>1</v>
      </c>
      <c r="H82" s="498" t="s">
        <v>1522</v>
      </c>
      <c r="I82" s="499" t="s">
        <v>1433</v>
      </c>
      <c r="J82" s="500" t="s">
        <v>1434</v>
      </c>
      <c r="K82" s="501">
        <v>42619</v>
      </c>
      <c r="L82" s="499" t="s">
        <v>1814</v>
      </c>
      <c r="M82" s="500" t="s">
        <v>1810</v>
      </c>
      <c r="N82" s="499" t="s">
        <v>2830</v>
      </c>
      <c r="O82" s="498" t="s">
        <v>2831</v>
      </c>
      <c r="P82" s="502" t="s">
        <v>3510</v>
      </c>
      <c r="Q82" s="500" t="s">
        <v>1660</v>
      </c>
      <c r="R82" s="500" t="s">
        <v>1523</v>
      </c>
      <c r="S82" s="1223" t="s">
        <v>3003</v>
      </c>
      <c r="T82" s="504">
        <v>605</v>
      </c>
      <c r="U82" s="505">
        <v>0</v>
      </c>
      <c r="V82" s="506">
        <f t="shared" si="33"/>
        <v>605</v>
      </c>
      <c r="W82" s="504">
        <v>107</v>
      </c>
      <c r="X82" s="505">
        <v>0</v>
      </c>
      <c r="Y82" s="506">
        <f t="shared" si="16"/>
        <v>107</v>
      </c>
      <c r="Z82" s="504">
        <v>44</v>
      </c>
      <c r="AA82" s="505">
        <v>0</v>
      </c>
      <c r="AB82" s="506">
        <f t="shared" si="34"/>
        <v>44</v>
      </c>
      <c r="AC82" s="903"/>
      <c r="AD82" s="904"/>
      <c r="AE82" s="905"/>
      <c r="AF82" s="903"/>
      <c r="AG82" s="904"/>
      <c r="AH82" s="905"/>
      <c r="AI82" s="669">
        <f t="shared" si="38"/>
        <v>756</v>
      </c>
      <c r="AJ82" s="505">
        <f t="shared" si="39"/>
        <v>0</v>
      </c>
      <c r="AK82" s="3901">
        <v>0</v>
      </c>
      <c r="AL82" s="507">
        <f t="shared" si="40"/>
        <v>756</v>
      </c>
      <c r="AM82" s="3341" t="s">
        <v>1061</v>
      </c>
      <c r="AN82" s="3342">
        <v>42369</v>
      </c>
      <c r="AO82" s="3343">
        <v>1175486</v>
      </c>
      <c r="AP82" s="3344" t="s">
        <v>3006</v>
      </c>
      <c r="AQ82" s="3345">
        <v>1</v>
      </c>
      <c r="AR82" s="508">
        <f t="shared" si="30"/>
        <v>605</v>
      </c>
      <c r="AS82" s="509">
        <f t="shared" si="31"/>
        <v>107</v>
      </c>
      <c r="AT82" s="509">
        <f t="shared" si="32"/>
        <v>44</v>
      </c>
      <c r="AU82" s="906"/>
      <c r="AV82" s="906"/>
      <c r="AW82" s="2867">
        <f t="shared" si="35"/>
        <v>756</v>
      </c>
      <c r="AX82" s="2888" t="s">
        <v>2999</v>
      </c>
      <c r="AY82" s="743" t="s">
        <v>3583</v>
      </c>
      <c r="AZ82" s="927">
        <f>SUM(AW78:AW82)</f>
        <v>124234</v>
      </c>
      <c r="BA82" s="928">
        <f>AZ82-BB82</f>
        <v>124234</v>
      </c>
      <c r="BB82" s="929">
        <f>SUM(AU78:AV82)</f>
        <v>0</v>
      </c>
      <c r="BC82" s="4117">
        <f t="shared" si="36"/>
        <v>0</v>
      </c>
      <c r="BD82" s="4117">
        <f t="shared" si="37"/>
        <v>0</v>
      </c>
    </row>
    <row r="83" spans="1:56" ht="63.75">
      <c r="A83" s="5983" t="s">
        <v>11138</v>
      </c>
      <c r="B83" s="564" t="s">
        <v>2942</v>
      </c>
      <c r="C83" s="565">
        <v>0</v>
      </c>
      <c r="D83" s="566">
        <v>42348</v>
      </c>
      <c r="E83" s="566" t="s">
        <v>6387</v>
      </c>
      <c r="F83" s="3119" t="s">
        <v>3977</v>
      </c>
      <c r="G83" s="1608">
        <v>105.2</v>
      </c>
      <c r="H83" s="568" t="s">
        <v>3581</v>
      </c>
      <c r="I83" s="569" t="s">
        <v>1330</v>
      </c>
      <c r="J83" s="570" t="s">
        <v>1445</v>
      </c>
      <c r="K83" s="571">
        <v>43809</v>
      </c>
      <c r="L83" s="569" t="s">
        <v>2596</v>
      </c>
      <c r="M83" s="570" t="s">
        <v>3295</v>
      </c>
      <c r="N83" s="569" t="s">
        <v>3296</v>
      </c>
      <c r="O83" s="568" t="s">
        <v>3365</v>
      </c>
      <c r="P83" s="572" t="s">
        <v>3590</v>
      </c>
      <c r="Q83" s="570" t="s">
        <v>3582</v>
      </c>
      <c r="R83" s="570" t="s">
        <v>3576</v>
      </c>
      <c r="S83" s="573"/>
      <c r="T83" s="574">
        <v>1667</v>
      </c>
      <c r="U83" s="575">
        <v>0</v>
      </c>
      <c r="V83" s="576">
        <f t="shared" si="33"/>
        <v>1667</v>
      </c>
      <c r="W83" s="574">
        <v>0</v>
      </c>
      <c r="X83" s="575">
        <v>0</v>
      </c>
      <c r="Y83" s="576">
        <f t="shared" ref="Y83:Y146" si="41">W83-X83</f>
        <v>0</v>
      </c>
      <c r="Z83" s="574">
        <v>14880</v>
      </c>
      <c r="AA83" s="575">
        <v>0</v>
      </c>
      <c r="AB83" s="576">
        <f t="shared" si="34"/>
        <v>14880</v>
      </c>
      <c r="AC83" s="1542"/>
      <c r="AD83" s="1543"/>
      <c r="AE83" s="1544"/>
      <c r="AF83" s="1542"/>
      <c r="AG83" s="1543"/>
      <c r="AH83" s="1544"/>
      <c r="AI83" s="577">
        <f t="shared" si="38"/>
        <v>16547</v>
      </c>
      <c r="AJ83" s="575">
        <f t="shared" si="39"/>
        <v>0</v>
      </c>
      <c r="AK83" s="3902">
        <v>0</v>
      </c>
      <c r="AL83" s="578">
        <f t="shared" si="40"/>
        <v>16547</v>
      </c>
      <c r="AM83" s="3404" t="s">
        <v>1061</v>
      </c>
      <c r="AN83" s="3346" t="s">
        <v>3626</v>
      </c>
      <c r="AO83" s="3347">
        <v>1175511</v>
      </c>
      <c r="AP83" s="3348">
        <v>42339</v>
      </c>
      <c r="AQ83" s="3349">
        <v>105.2</v>
      </c>
      <c r="AR83" s="579">
        <f t="shared" si="30"/>
        <v>1667</v>
      </c>
      <c r="AS83" s="580">
        <f t="shared" ref="AS83:AS111" si="42">ROUND($AQ83/$G83*Y83,0)</f>
        <v>0</v>
      </c>
      <c r="AT83" s="580">
        <f t="shared" ref="AT83:AT111" si="43">ROUND($AQ83/$G83*AB83,0)</f>
        <v>14880</v>
      </c>
      <c r="AU83" s="1545"/>
      <c r="AV83" s="1545"/>
      <c r="AW83" s="2868">
        <f t="shared" si="35"/>
        <v>16547</v>
      </c>
      <c r="AX83" s="2889"/>
      <c r="BB83" s="267"/>
      <c r="BC83" s="4117">
        <f t="shared" si="36"/>
        <v>0</v>
      </c>
      <c r="BD83" s="4117">
        <f t="shared" si="37"/>
        <v>0</v>
      </c>
    </row>
    <row r="84" spans="1:56" ht="63.75">
      <c r="A84" s="5984" t="s">
        <v>11138</v>
      </c>
      <c r="B84" s="1622" t="s">
        <v>3486</v>
      </c>
      <c r="C84" s="1623">
        <v>0</v>
      </c>
      <c r="D84" s="1624">
        <v>41817</v>
      </c>
      <c r="E84" s="3012" t="s">
        <v>6383</v>
      </c>
      <c r="F84" s="3132">
        <v>41699</v>
      </c>
      <c r="G84" s="1625">
        <v>105.2</v>
      </c>
      <c r="H84" s="1626" t="s">
        <v>2215</v>
      </c>
      <c r="I84" s="1627" t="s">
        <v>2898</v>
      </c>
      <c r="J84" s="1628" t="s">
        <v>1434</v>
      </c>
      <c r="K84" s="1629" t="s">
        <v>2896</v>
      </c>
      <c r="L84" s="1627" t="s">
        <v>4</v>
      </c>
      <c r="M84" s="1628" t="s">
        <v>2102</v>
      </c>
      <c r="N84" s="1627" t="s">
        <v>2216</v>
      </c>
      <c r="O84" s="1626" t="s">
        <v>2217</v>
      </c>
      <c r="P84" s="1630" t="s">
        <v>2897</v>
      </c>
      <c r="Q84" s="1628" t="s">
        <v>2218</v>
      </c>
      <c r="R84" s="1628" t="s">
        <v>578</v>
      </c>
      <c r="S84" s="1631"/>
      <c r="T84" s="1632">
        <v>6197</v>
      </c>
      <c r="U84" s="1633">
        <v>0</v>
      </c>
      <c r="V84" s="1634">
        <f t="shared" si="33"/>
        <v>6197</v>
      </c>
      <c r="W84" s="1632">
        <v>7746</v>
      </c>
      <c r="X84" s="1633">
        <v>0</v>
      </c>
      <c r="Y84" s="1634">
        <f t="shared" si="41"/>
        <v>7746</v>
      </c>
      <c r="Z84" s="1632">
        <v>1549</v>
      </c>
      <c r="AA84" s="1633">
        <v>0</v>
      </c>
      <c r="AB84" s="1634">
        <f t="shared" si="34"/>
        <v>1549</v>
      </c>
      <c r="AC84" s="1635">
        <v>31786</v>
      </c>
      <c r="AD84" s="1636">
        <v>0</v>
      </c>
      <c r="AE84" s="1637">
        <f>AC84-AD84</f>
        <v>31786</v>
      </c>
      <c r="AF84" s="1635">
        <v>47679</v>
      </c>
      <c r="AG84" s="1636">
        <v>0</v>
      </c>
      <c r="AH84" s="1637">
        <f>AF84-AG84</f>
        <v>47679</v>
      </c>
      <c r="AI84" s="1638">
        <f t="shared" si="38"/>
        <v>94957</v>
      </c>
      <c r="AJ84" s="1633">
        <f t="shared" si="39"/>
        <v>0</v>
      </c>
      <c r="AK84" s="3899">
        <v>0</v>
      </c>
      <c r="AL84" s="1639">
        <f t="shared" si="40"/>
        <v>94957</v>
      </c>
      <c r="AM84" s="3405" t="s">
        <v>1061</v>
      </c>
      <c r="AN84" s="3406">
        <v>42374</v>
      </c>
      <c r="AO84" s="3407">
        <v>1175534</v>
      </c>
      <c r="AP84" s="3408">
        <v>42248</v>
      </c>
      <c r="AQ84" s="3409">
        <v>108.1</v>
      </c>
      <c r="AR84" s="1640">
        <f t="shared" si="30"/>
        <v>6368</v>
      </c>
      <c r="AS84" s="1641">
        <f t="shared" si="42"/>
        <v>7960</v>
      </c>
      <c r="AT84" s="1641">
        <f t="shared" si="43"/>
        <v>1592</v>
      </c>
      <c r="AU84" s="1642"/>
      <c r="AV84" s="1642"/>
      <c r="AW84" s="2870">
        <f t="shared" si="35"/>
        <v>15920</v>
      </c>
      <c r="AX84" s="3140"/>
      <c r="BB84" s="267"/>
      <c r="BC84" s="4117">
        <f t="shared" si="36"/>
        <v>0</v>
      </c>
      <c r="BD84" s="4117">
        <f t="shared" si="37"/>
        <v>0</v>
      </c>
    </row>
    <row r="85" spans="1:56" ht="114.75">
      <c r="A85" s="2418" t="s">
        <v>11139</v>
      </c>
      <c r="B85" s="338" t="s">
        <v>2921</v>
      </c>
      <c r="C85" s="321">
        <v>0</v>
      </c>
      <c r="D85" s="323">
        <v>42216</v>
      </c>
      <c r="E85" s="3012" t="s">
        <v>6387</v>
      </c>
      <c r="F85" s="324">
        <v>41821</v>
      </c>
      <c r="G85" s="331">
        <v>1</v>
      </c>
      <c r="H85" s="332" t="s">
        <v>3181</v>
      </c>
      <c r="I85" s="339" t="s">
        <v>1433</v>
      </c>
      <c r="J85" s="322" t="s">
        <v>1434</v>
      </c>
      <c r="K85" s="340">
        <v>43677</v>
      </c>
      <c r="L85" s="339" t="s">
        <v>3182</v>
      </c>
      <c r="M85" s="322" t="s">
        <v>3083</v>
      </c>
      <c r="N85" s="339" t="s">
        <v>3183</v>
      </c>
      <c r="O85" s="332" t="s">
        <v>3184</v>
      </c>
      <c r="P85" s="345"/>
      <c r="Q85" s="322" t="s">
        <v>3186</v>
      </c>
      <c r="R85" s="322" t="s">
        <v>3185</v>
      </c>
      <c r="S85" s="346"/>
      <c r="T85" s="347">
        <v>589</v>
      </c>
      <c r="U85" s="326">
        <v>0</v>
      </c>
      <c r="V85" s="348">
        <f t="shared" si="33"/>
        <v>589</v>
      </c>
      <c r="W85" s="347">
        <v>104</v>
      </c>
      <c r="X85" s="326">
        <v>0</v>
      </c>
      <c r="Y85" s="348">
        <f t="shared" si="41"/>
        <v>104</v>
      </c>
      <c r="Z85" s="347">
        <v>0</v>
      </c>
      <c r="AA85" s="326">
        <v>0</v>
      </c>
      <c r="AB85" s="348">
        <f t="shared" si="34"/>
        <v>0</v>
      </c>
      <c r="AC85" s="820"/>
      <c r="AD85" s="821"/>
      <c r="AE85" s="822"/>
      <c r="AF85" s="820"/>
      <c r="AG85" s="821"/>
      <c r="AH85" s="822"/>
      <c r="AI85" s="482">
        <f t="shared" si="38"/>
        <v>693</v>
      </c>
      <c r="AJ85" s="326">
        <f t="shared" si="39"/>
        <v>0</v>
      </c>
      <c r="AK85" s="3899">
        <v>0</v>
      </c>
      <c r="AL85" s="349">
        <f t="shared" si="40"/>
        <v>693</v>
      </c>
      <c r="AM85" s="2002" t="s">
        <v>1061</v>
      </c>
      <c r="AN85" s="3357">
        <v>42382</v>
      </c>
      <c r="AO85" s="695">
        <v>1175690</v>
      </c>
      <c r="AP85" s="2722">
        <v>41821</v>
      </c>
      <c r="AQ85" s="3358">
        <v>1</v>
      </c>
      <c r="AR85" s="333">
        <f t="shared" si="30"/>
        <v>589</v>
      </c>
      <c r="AS85" s="330">
        <f t="shared" si="42"/>
        <v>104</v>
      </c>
      <c r="AT85" s="330">
        <f t="shared" si="43"/>
        <v>0</v>
      </c>
      <c r="AU85" s="849"/>
      <c r="AV85" s="849"/>
      <c r="AW85" s="2870">
        <f t="shared" si="35"/>
        <v>693</v>
      </c>
      <c r="AX85" s="3140"/>
      <c r="BB85" s="267"/>
      <c r="BC85" s="4117">
        <f t="shared" si="36"/>
        <v>0</v>
      </c>
      <c r="BD85" s="4117">
        <f t="shared" si="37"/>
        <v>0</v>
      </c>
    </row>
    <row r="86" spans="1:56" ht="69" customHeight="1">
      <c r="A86" s="2418" t="s">
        <v>11139</v>
      </c>
      <c r="B86" s="338" t="s">
        <v>3487</v>
      </c>
      <c r="C86" s="321">
        <v>0</v>
      </c>
      <c r="D86" s="323">
        <v>42152</v>
      </c>
      <c r="E86" s="3012" t="s">
        <v>6383</v>
      </c>
      <c r="F86" s="324">
        <v>41821</v>
      </c>
      <c r="G86" s="331">
        <v>1</v>
      </c>
      <c r="H86" s="332" t="s">
        <v>3055</v>
      </c>
      <c r="I86" s="339" t="s">
        <v>1433</v>
      </c>
      <c r="J86" s="322" t="s">
        <v>1434</v>
      </c>
      <c r="K86" s="340">
        <v>43603</v>
      </c>
      <c r="L86" s="339" t="s">
        <v>3056</v>
      </c>
      <c r="M86" s="322" t="s">
        <v>3057</v>
      </c>
      <c r="N86" s="339" t="s">
        <v>3058</v>
      </c>
      <c r="O86" s="332" t="s">
        <v>3059</v>
      </c>
      <c r="P86" s="345"/>
      <c r="Q86" s="322" t="s">
        <v>3061</v>
      </c>
      <c r="R86" s="322" t="s">
        <v>3060</v>
      </c>
      <c r="S86" s="346"/>
      <c r="T86" s="347">
        <v>4800</v>
      </c>
      <c r="U86" s="326">
        <v>0</v>
      </c>
      <c r="V86" s="348">
        <f t="shared" si="33"/>
        <v>4800</v>
      </c>
      <c r="W86" s="347">
        <v>6000</v>
      </c>
      <c r="X86" s="326">
        <v>0</v>
      </c>
      <c r="Y86" s="348">
        <f t="shared" si="41"/>
        <v>6000</v>
      </c>
      <c r="Z86" s="347">
        <v>1200</v>
      </c>
      <c r="AA86" s="326">
        <v>0</v>
      </c>
      <c r="AB86" s="348">
        <f t="shared" si="34"/>
        <v>1200</v>
      </c>
      <c r="AC86" s="820"/>
      <c r="AD86" s="821"/>
      <c r="AE86" s="822"/>
      <c r="AF86" s="820"/>
      <c r="AG86" s="821"/>
      <c r="AH86" s="822"/>
      <c r="AI86" s="482">
        <f t="shared" si="38"/>
        <v>12000</v>
      </c>
      <c r="AJ86" s="326">
        <f t="shared" si="39"/>
        <v>0</v>
      </c>
      <c r="AK86" s="3899">
        <v>0</v>
      </c>
      <c r="AL86" s="349">
        <f t="shared" si="40"/>
        <v>12000</v>
      </c>
      <c r="AM86" s="2002" t="s">
        <v>1061</v>
      </c>
      <c r="AN86" s="3357">
        <v>42397</v>
      </c>
      <c r="AO86" s="695">
        <v>1176287</v>
      </c>
      <c r="AP86" s="2722">
        <v>41821</v>
      </c>
      <c r="AQ86" s="3358">
        <v>1</v>
      </c>
      <c r="AR86" s="333">
        <f t="shared" si="30"/>
        <v>4800</v>
      </c>
      <c r="AS86" s="330">
        <f t="shared" si="42"/>
        <v>6000</v>
      </c>
      <c r="AT86" s="330">
        <f t="shared" si="43"/>
        <v>1200</v>
      </c>
      <c r="AU86" s="849"/>
      <c r="AV86" s="849"/>
      <c r="AW86" s="2870">
        <f t="shared" si="35"/>
        <v>12000</v>
      </c>
      <c r="AX86" s="3140"/>
      <c r="BB86" s="267"/>
      <c r="BC86" s="4117">
        <f t="shared" si="36"/>
        <v>0</v>
      </c>
      <c r="BD86" s="4117">
        <f t="shared" si="37"/>
        <v>0</v>
      </c>
    </row>
    <row r="87" spans="1:56" ht="60.75">
      <c r="A87" s="5964" t="s">
        <v>11138</v>
      </c>
      <c r="B87" s="338" t="s">
        <v>3628</v>
      </c>
      <c r="C87" s="321">
        <v>0</v>
      </c>
      <c r="D87" s="323">
        <v>42170</v>
      </c>
      <c r="E87" s="3012" t="s">
        <v>6383</v>
      </c>
      <c r="F87" s="1203" t="s">
        <v>3977</v>
      </c>
      <c r="G87" s="1594">
        <v>105.2</v>
      </c>
      <c r="H87" s="332" t="s">
        <v>3488</v>
      </c>
      <c r="I87" s="339" t="s">
        <v>1433</v>
      </c>
      <c r="J87" s="322" t="s">
        <v>1434</v>
      </c>
      <c r="K87" s="340">
        <v>43631</v>
      </c>
      <c r="L87" s="339" t="s">
        <v>3082</v>
      </c>
      <c r="M87" s="322" t="s">
        <v>3083</v>
      </c>
      <c r="N87" s="339" t="s">
        <v>3084</v>
      </c>
      <c r="O87" s="332" t="s">
        <v>3085</v>
      </c>
      <c r="P87" s="345" t="s">
        <v>3629</v>
      </c>
      <c r="Q87" s="322" t="s">
        <v>3086</v>
      </c>
      <c r="R87" s="322" t="s">
        <v>3087</v>
      </c>
      <c r="S87" s="346"/>
      <c r="T87" s="347">
        <v>12680</v>
      </c>
      <c r="U87" s="326">
        <v>0</v>
      </c>
      <c r="V87" s="348">
        <f t="shared" si="33"/>
        <v>12680</v>
      </c>
      <c r="W87" s="347">
        <v>2238</v>
      </c>
      <c r="X87" s="326">
        <v>0</v>
      </c>
      <c r="Y87" s="348">
        <f t="shared" si="41"/>
        <v>2238</v>
      </c>
      <c r="Z87" s="347">
        <v>14570</v>
      </c>
      <c r="AA87" s="326">
        <v>0</v>
      </c>
      <c r="AB87" s="348">
        <f t="shared" si="34"/>
        <v>14570</v>
      </c>
      <c r="AC87" s="820"/>
      <c r="AD87" s="821"/>
      <c r="AE87" s="822"/>
      <c r="AF87" s="820"/>
      <c r="AG87" s="821"/>
      <c r="AH87" s="822"/>
      <c r="AI87" s="482">
        <f t="shared" si="38"/>
        <v>29488</v>
      </c>
      <c r="AJ87" s="326">
        <f t="shared" si="39"/>
        <v>0</v>
      </c>
      <c r="AK87" s="3899">
        <v>0</v>
      </c>
      <c r="AL87" s="349">
        <f t="shared" si="40"/>
        <v>29488</v>
      </c>
      <c r="AM87" s="2002" t="s">
        <v>2977</v>
      </c>
      <c r="AN87" s="3357">
        <v>42398</v>
      </c>
      <c r="AO87" s="695">
        <v>1176374</v>
      </c>
      <c r="AP87" s="2722">
        <v>42248</v>
      </c>
      <c r="AQ87" s="3358">
        <v>108.1</v>
      </c>
      <c r="AR87" s="333">
        <f t="shared" si="30"/>
        <v>13030</v>
      </c>
      <c r="AS87" s="330">
        <f t="shared" si="42"/>
        <v>2300</v>
      </c>
      <c r="AT87" s="330">
        <f t="shared" si="43"/>
        <v>14972</v>
      </c>
      <c r="AU87" s="849"/>
      <c r="AV87" s="849"/>
      <c r="AW87" s="2870">
        <f t="shared" si="35"/>
        <v>30302</v>
      </c>
      <c r="AX87" s="3141"/>
      <c r="BB87" s="267"/>
      <c r="BC87" s="4117">
        <f t="shared" si="36"/>
        <v>0</v>
      </c>
      <c r="BD87" s="4117">
        <f t="shared" si="37"/>
        <v>0</v>
      </c>
    </row>
    <row r="88" spans="1:56" ht="77.25" thickBot="1">
      <c r="A88" s="5985" t="s">
        <v>11138</v>
      </c>
      <c r="B88" s="1643" t="s">
        <v>175</v>
      </c>
      <c r="C88" s="1644" t="s">
        <v>290</v>
      </c>
      <c r="D88" s="1664">
        <v>42304</v>
      </c>
      <c r="E88" s="2992" t="s">
        <v>6383</v>
      </c>
      <c r="F88" s="3133">
        <v>42156</v>
      </c>
      <c r="G88" s="3134">
        <v>107.4</v>
      </c>
      <c r="H88" s="1645" t="s">
        <v>3659</v>
      </c>
      <c r="I88" s="1646" t="s">
        <v>3653</v>
      </c>
      <c r="J88" s="1647" t="s">
        <v>1434</v>
      </c>
      <c r="K88" s="1665">
        <v>43765</v>
      </c>
      <c r="L88" s="1648" t="s">
        <v>601</v>
      </c>
      <c r="M88" s="307" t="s">
        <v>3654</v>
      </c>
      <c r="N88" s="1648" t="s">
        <v>1132</v>
      </c>
      <c r="O88" s="1649" t="s">
        <v>3655</v>
      </c>
      <c r="P88" s="1648" t="s">
        <v>3660</v>
      </c>
      <c r="Q88" s="1647" t="s">
        <v>2140</v>
      </c>
      <c r="R88" s="1647" t="s">
        <v>2140</v>
      </c>
      <c r="S88" s="1650" t="s">
        <v>3656</v>
      </c>
      <c r="T88" s="1651">
        <v>18513.82</v>
      </c>
      <c r="U88" s="1652">
        <v>0</v>
      </c>
      <c r="V88" s="1653">
        <f t="shared" si="33"/>
        <v>18513.82</v>
      </c>
      <c r="W88" s="1651">
        <v>0</v>
      </c>
      <c r="X88" s="1652">
        <v>0</v>
      </c>
      <c r="Y88" s="1653">
        <f t="shared" si="41"/>
        <v>0</v>
      </c>
      <c r="Z88" s="1651">
        <v>0</v>
      </c>
      <c r="AA88" s="1652">
        <v>0</v>
      </c>
      <c r="AB88" s="1653">
        <f t="shared" si="34"/>
        <v>0</v>
      </c>
      <c r="AC88" s="1654"/>
      <c r="AD88" s="1655"/>
      <c r="AE88" s="1656"/>
      <c r="AF88" s="1654"/>
      <c r="AG88" s="1655"/>
      <c r="AH88" s="1656"/>
      <c r="AI88" s="1657">
        <f t="shared" si="38"/>
        <v>18513.82</v>
      </c>
      <c r="AJ88" s="1652">
        <f t="shared" si="39"/>
        <v>0</v>
      </c>
      <c r="AK88" s="3903">
        <v>0</v>
      </c>
      <c r="AL88" s="1658">
        <f t="shared" si="40"/>
        <v>18513.82</v>
      </c>
      <c r="AM88" s="3410" t="s">
        <v>2977</v>
      </c>
      <c r="AN88" s="3411" t="s">
        <v>3657</v>
      </c>
      <c r="AO88" s="3412" t="s">
        <v>3658</v>
      </c>
      <c r="AP88" s="3413">
        <v>42156</v>
      </c>
      <c r="AQ88" s="3414">
        <v>107.4</v>
      </c>
      <c r="AR88" s="1659">
        <f>$AQ88/$G88*V88</f>
        <v>18513.82</v>
      </c>
      <c r="AS88" s="1660">
        <f t="shared" si="42"/>
        <v>0</v>
      </c>
      <c r="AT88" s="1660">
        <f t="shared" si="43"/>
        <v>0</v>
      </c>
      <c r="AU88" s="1661"/>
      <c r="AV88" s="1661"/>
      <c r="AW88" s="2869">
        <f t="shared" si="35"/>
        <v>18513.82</v>
      </c>
      <c r="AX88" s="2897"/>
      <c r="AY88" s="764" t="s">
        <v>3627</v>
      </c>
      <c r="AZ88" s="1662">
        <f>SUM(AW83:AW88)</f>
        <v>93975.82</v>
      </c>
      <c r="BA88" s="1663">
        <f>AZ88-BB88</f>
        <v>93975.82</v>
      </c>
      <c r="BB88" s="884">
        <f>SUM(AU83:AV88)</f>
        <v>0</v>
      </c>
      <c r="BC88" s="4117">
        <f t="shared" si="36"/>
        <v>0</v>
      </c>
      <c r="BD88" s="4117">
        <f t="shared" si="37"/>
        <v>0</v>
      </c>
    </row>
    <row r="89" spans="1:56" ht="48">
      <c r="A89" s="5979" t="s">
        <v>11139</v>
      </c>
      <c r="B89" s="908" t="s">
        <v>3485</v>
      </c>
      <c r="C89" s="909">
        <v>0</v>
      </c>
      <c r="D89" s="910">
        <v>41949</v>
      </c>
      <c r="E89" s="3044" t="s">
        <v>6383</v>
      </c>
      <c r="F89" s="911">
        <v>41821</v>
      </c>
      <c r="G89" s="1218">
        <v>1</v>
      </c>
      <c r="H89" s="913" t="s">
        <v>2652</v>
      </c>
      <c r="I89" s="914" t="s">
        <v>1433</v>
      </c>
      <c r="J89" s="915" t="s">
        <v>1434</v>
      </c>
      <c r="K89" s="916">
        <v>43410</v>
      </c>
      <c r="L89" s="914" t="s">
        <v>2653</v>
      </c>
      <c r="M89" s="915" t="s">
        <v>2654</v>
      </c>
      <c r="N89" s="914" t="s">
        <v>2655</v>
      </c>
      <c r="O89" s="913" t="s">
        <v>2656</v>
      </c>
      <c r="P89" s="1018"/>
      <c r="Q89" s="915" t="s">
        <v>2657</v>
      </c>
      <c r="R89" s="915" t="s">
        <v>369</v>
      </c>
      <c r="S89" s="918"/>
      <c r="T89" s="919">
        <v>6720</v>
      </c>
      <c r="U89" s="920">
        <v>0</v>
      </c>
      <c r="V89" s="921">
        <f t="shared" si="33"/>
        <v>6720</v>
      </c>
      <c r="W89" s="919">
        <v>8400</v>
      </c>
      <c r="X89" s="920">
        <v>0</v>
      </c>
      <c r="Y89" s="921">
        <f t="shared" si="41"/>
        <v>8400</v>
      </c>
      <c r="Z89" s="919">
        <v>1680</v>
      </c>
      <c r="AA89" s="920">
        <v>0</v>
      </c>
      <c r="AB89" s="921">
        <f t="shared" si="34"/>
        <v>1680</v>
      </c>
      <c r="AC89" s="820"/>
      <c r="AD89" s="821"/>
      <c r="AE89" s="822"/>
      <c r="AF89" s="820"/>
      <c r="AG89" s="821"/>
      <c r="AH89" s="822"/>
      <c r="AI89" s="922">
        <f t="shared" si="38"/>
        <v>16800</v>
      </c>
      <c r="AJ89" s="920">
        <f t="shared" si="39"/>
        <v>0</v>
      </c>
      <c r="AK89" s="3907">
        <v>0</v>
      </c>
      <c r="AL89" s="923">
        <f t="shared" si="40"/>
        <v>16800</v>
      </c>
      <c r="AM89" s="1605" t="s">
        <v>1061</v>
      </c>
      <c r="AN89" s="3364">
        <v>42405</v>
      </c>
      <c r="AO89" s="3365">
        <v>1176874</v>
      </c>
      <c r="AP89" s="3366">
        <v>41821</v>
      </c>
      <c r="AQ89" s="3367">
        <v>1</v>
      </c>
      <c r="AR89" s="924">
        <f t="shared" ref="AR89:AR111" si="44">ROUND($AQ89/$G89*V89,0)</f>
        <v>6720</v>
      </c>
      <c r="AS89" s="925">
        <f t="shared" si="42"/>
        <v>8400</v>
      </c>
      <c r="AT89" s="925">
        <f t="shared" si="43"/>
        <v>1680</v>
      </c>
      <c r="AU89" s="849"/>
      <c r="AV89" s="849"/>
      <c r="AW89" s="2876">
        <f t="shared" si="35"/>
        <v>16800</v>
      </c>
      <c r="AX89" s="3143"/>
      <c r="BB89" s="267"/>
      <c r="BC89" s="4117">
        <f t="shared" si="36"/>
        <v>0</v>
      </c>
      <c r="BD89" s="4117">
        <f t="shared" si="37"/>
        <v>0</v>
      </c>
    </row>
    <row r="90" spans="1:56" ht="102">
      <c r="A90" s="5979" t="s">
        <v>11139</v>
      </c>
      <c r="B90" s="908" t="s">
        <v>2945</v>
      </c>
      <c r="C90" s="909">
        <v>1</v>
      </c>
      <c r="D90" s="910" t="s">
        <v>3670</v>
      </c>
      <c r="E90" s="3044" t="s">
        <v>6387</v>
      </c>
      <c r="F90" s="911">
        <v>41821</v>
      </c>
      <c r="G90" s="912">
        <v>1</v>
      </c>
      <c r="H90" s="913" t="s">
        <v>3662</v>
      </c>
      <c r="I90" s="914" t="s">
        <v>1433</v>
      </c>
      <c r="J90" s="915" t="s">
        <v>1434</v>
      </c>
      <c r="K90" s="916">
        <v>43869</v>
      </c>
      <c r="L90" s="914" t="s">
        <v>3663</v>
      </c>
      <c r="M90" s="915" t="s">
        <v>3664</v>
      </c>
      <c r="N90" s="914" t="s">
        <v>3665</v>
      </c>
      <c r="O90" s="913" t="s">
        <v>3666</v>
      </c>
      <c r="P90" s="1018" t="s">
        <v>3672</v>
      </c>
      <c r="Q90" s="915" t="s">
        <v>3671</v>
      </c>
      <c r="R90" s="915" t="s">
        <v>3667</v>
      </c>
      <c r="S90" s="918"/>
      <c r="T90" s="919">
        <v>0</v>
      </c>
      <c r="U90" s="920">
        <v>0</v>
      </c>
      <c r="V90" s="921">
        <f t="shared" si="33"/>
        <v>0</v>
      </c>
      <c r="W90" s="919">
        <v>0</v>
      </c>
      <c r="X90" s="920">
        <v>0</v>
      </c>
      <c r="Y90" s="921">
        <f t="shared" si="41"/>
        <v>0</v>
      </c>
      <c r="Z90" s="919">
        <v>0</v>
      </c>
      <c r="AA90" s="920">
        <v>0</v>
      </c>
      <c r="AB90" s="921">
        <f t="shared" si="34"/>
        <v>0</v>
      </c>
      <c r="AC90" s="820"/>
      <c r="AD90" s="821"/>
      <c r="AE90" s="822"/>
      <c r="AF90" s="820"/>
      <c r="AG90" s="821"/>
      <c r="AH90" s="822"/>
      <c r="AI90" s="922">
        <f t="shared" si="38"/>
        <v>0</v>
      </c>
      <c r="AJ90" s="920">
        <f t="shared" si="39"/>
        <v>0</v>
      </c>
      <c r="AK90" s="3907">
        <v>0</v>
      </c>
      <c r="AL90" s="923">
        <f t="shared" si="40"/>
        <v>0</v>
      </c>
      <c r="AM90" s="1605" t="s">
        <v>175</v>
      </c>
      <c r="AN90" s="3364">
        <v>42411</v>
      </c>
      <c r="AO90" s="3365" t="s">
        <v>175</v>
      </c>
      <c r="AP90" s="3366">
        <v>41821</v>
      </c>
      <c r="AQ90" s="3367">
        <v>1</v>
      </c>
      <c r="AR90" s="924">
        <f t="shared" si="44"/>
        <v>0</v>
      </c>
      <c r="AS90" s="925">
        <f t="shared" si="42"/>
        <v>0</v>
      </c>
      <c r="AT90" s="925">
        <f t="shared" si="43"/>
        <v>0</v>
      </c>
      <c r="AU90" s="849"/>
      <c r="AV90" s="849"/>
      <c r="AW90" s="2874">
        <f t="shared" si="35"/>
        <v>0</v>
      </c>
      <c r="AX90" s="3143"/>
      <c r="BB90" s="267"/>
      <c r="BC90" s="4117">
        <f t="shared" si="36"/>
        <v>0</v>
      </c>
      <c r="BD90" s="4117">
        <f t="shared" si="37"/>
        <v>0</v>
      </c>
    </row>
    <row r="91" spans="1:56" ht="90" thickBot="1">
      <c r="A91" s="5986" t="s">
        <v>11139</v>
      </c>
      <c r="B91" s="1682" t="s">
        <v>3444</v>
      </c>
      <c r="C91" s="1683">
        <v>0</v>
      </c>
      <c r="D91" s="1684">
        <v>42023</v>
      </c>
      <c r="E91" s="3042" t="s">
        <v>6383</v>
      </c>
      <c r="F91" s="1685">
        <v>41821</v>
      </c>
      <c r="G91" s="1686">
        <v>1</v>
      </c>
      <c r="H91" s="1687" t="s">
        <v>2832</v>
      </c>
      <c r="I91" s="1688" t="s">
        <v>1433</v>
      </c>
      <c r="J91" s="1689" t="s">
        <v>1434</v>
      </c>
      <c r="K91" s="1690">
        <v>43484</v>
      </c>
      <c r="L91" s="1688" t="s">
        <v>2833</v>
      </c>
      <c r="M91" s="1689" t="s">
        <v>2834</v>
      </c>
      <c r="N91" s="1688" t="s">
        <v>2835</v>
      </c>
      <c r="O91" s="1687" t="s">
        <v>2836</v>
      </c>
      <c r="P91" s="1691" t="s">
        <v>3260</v>
      </c>
      <c r="Q91" s="1689" t="s">
        <v>3385</v>
      </c>
      <c r="R91" s="1689" t="s">
        <v>2837</v>
      </c>
      <c r="S91" s="1692"/>
      <c r="T91" s="1693">
        <v>8590</v>
      </c>
      <c r="U91" s="1694">
        <v>0</v>
      </c>
      <c r="V91" s="1695">
        <f t="shared" si="33"/>
        <v>8590</v>
      </c>
      <c r="W91" s="1693">
        <v>1511</v>
      </c>
      <c r="X91" s="1694">
        <v>0</v>
      </c>
      <c r="Y91" s="1695">
        <f t="shared" si="41"/>
        <v>1511</v>
      </c>
      <c r="Z91" s="1693">
        <v>3889</v>
      </c>
      <c r="AA91" s="1694">
        <v>0</v>
      </c>
      <c r="AB91" s="1695">
        <f t="shared" si="34"/>
        <v>3889</v>
      </c>
      <c r="AC91" s="1696"/>
      <c r="AD91" s="1697"/>
      <c r="AE91" s="1698"/>
      <c r="AF91" s="1696"/>
      <c r="AG91" s="1697"/>
      <c r="AH91" s="1698"/>
      <c r="AI91" s="1699">
        <f t="shared" si="38"/>
        <v>13990</v>
      </c>
      <c r="AJ91" s="1694">
        <f t="shared" si="39"/>
        <v>0</v>
      </c>
      <c r="AK91" s="3901">
        <v>0</v>
      </c>
      <c r="AL91" s="1700">
        <f t="shared" si="40"/>
        <v>13990</v>
      </c>
      <c r="AM91" s="3415" t="s">
        <v>1061</v>
      </c>
      <c r="AN91" s="3416">
        <v>42425</v>
      </c>
      <c r="AO91" s="3417">
        <v>1178565</v>
      </c>
      <c r="AP91" s="3418">
        <v>41821</v>
      </c>
      <c r="AQ91" s="3419">
        <v>1</v>
      </c>
      <c r="AR91" s="1701">
        <f t="shared" si="44"/>
        <v>8590</v>
      </c>
      <c r="AS91" s="1702">
        <f t="shared" si="42"/>
        <v>1511</v>
      </c>
      <c r="AT91" s="1702">
        <f t="shared" si="43"/>
        <v>3889</v>
      </c>
      <c r="AU91" s="1703"/>
      <c r="AV91" s="1703"/>
      <c r="AW91" s="2867">
        <f t="shared" si="35"/>
        <v>13990</v>
      </c>
      <c r="AX91" s="2888"/>
      <c r="AY91" s="743" t="s">
        <v>3661</v>
      </c>
      <c r="AZ91" s="1680">
        <f>SUM(AW89:AW91)</f>
        <v>30790</v>
      </c>
      <c r="BA91" s="1681">
        <f>AZ91-BB91</f>
        <v>30790</v>
      </c>
      <c r="BB91" s="929">
        <f>SUM(AU89:AV91)</f>
        <v>0</v>
      </c>
      <c r="BC91" s="4117">
        <f t="shared" si="36"/>
        <v>0</v>
      </c>
      <c r="BD91" s="4117">
        <f t="shared" si="37"/>
        <v>0</v>
      </c>
    </row>
    <row r="92" spans="1:56" ht="77.25" thickBot="1">
      <c r="A92" s="5987" t="s">
        <v>11139</v>
      </c>
      <c r="B92" s="1124" t="s">
        <v>2928</v>
      </c>
      <c r="C92" s="1125">
        <v>0</v>
      </c>
      <c r="D92" s="1126">
        <v>42289</v>
      </c>
      <c r="E92" s="1126" t="s">
        <v>6387</v>
      </c>
      <c r="F92" s="1127">
        <v>41821</v>
      </c>
      <c r="G92" s="1704">
        <v>1</v>
      </c>
      <c r="H92" s="1128" t="s">
        <v>3388</v>
      </c>
      <c r="I92" s="1129" t="s">
        <v>1436</v>
      </c>
      <c r="J92" s="1130" t="s">
        <v>1437</v>
      </c>
      <c r="K92" s="1131">
        <v>43023</v>
      </c>
      <c r="L92" s="1129" t="s">
        <v>3389</v>
      </c>
      <c r="M92" s="1130" t="s">
        <v>2323</v>
      </c>
      <c r="N92" s="1129" t="s">
        <v>3390</v>
      </c>
      <c r="O92" s="1128" t="s">
        <v>3698</v>
      </c>
      <c r="P92" s="1132"/>
      <c r="Q92" s="1130" t="s">
        <v>3391</v>
      </c>
      <c r="R92" s="1130" t="s">
        <v>3392</v>
      </c>
      <c r="S92" s="1133"/>
      <c r="T92" s="1134">
        <v>6720</v>
      </c>
      <c r="U92" s="1135">
        <v>0</v>
      </c>
      <c r="V92" s="1136">
        <f t="shared" si="33"/>
        <v>6720</v>
      </c>
      <c r="W92" s="1134">
        <v>8400</v>
      </c>
      <c r="X92" s="1135">
        <v>0</v>
      </c>
      <c r="Y92" s="1136">
        <f t="shared" si="41"/>
        <v>8400</v>
      </c>
      <c r="Z92" s="1134">
        <v>1680</v>
      </c>
      <c r="AA92" s="1135">
        <v>0</v>
      </c>
      <c r="AB92" s="1136">
        <f t="shared" si="34"/>
        <v>1680</v>
      </c>
      <c r="AC92" s="1137"/>
      <c r="AD92" s="1138"/>
      <c r="AE92" s="1139"/>
      <c r="AF92" s="1137"/>
      <c r="AG92" s="1138"/>
      <c r="AH92" s="1139"/>
      <c r="AI92" s="1140">
        <f t="shared" si="38"/>
        <v>16800</v>
      </c>
      <c r="AJ92" s="1135">
        <f t="shared" si="39"/>
        <v>0</v>
      </c>
      <c r="AK92" s="3908">
        <v>0</v>
      </c>
      <c r="AL92" s="1141">
        <f t="shared" si="40"/>
        <v>16800</v>
      </c>
      <c r="AM92" s="3420" t="s">
        <v>1061</v>
      </c>
      <c r="AN92" s="3374">
        <v>42460</v>
      </c>
      <c r="AO92" s="3375">
        <v>1179494</v>
      </c>
      <c r="AP92" s="3376">
        <v>41821</v>
      </c>
      <c r="AQ92" s="3377">
        <v>1</v>
      </c>
      <c r="AR92" s="1142">
        <f t="shared" si="44"/>
        <v>6720</v>
      </c>
      <c r="AS92" s="1143">
        <f t="shared" si="42"/>
        <v>8400</v>
      </c>
      <c r="AT92" s="1143">
        <f t="shared" si="43"/>
        <v>1680</v>
      </c>
      <c r="AU92" s="1144"/>
      <c r="AV92" s="1144"/>
      <c r="AW92" s="2875">
        <f t="shared" si="35"/>
        <v>16800</v>
      </c>
      <c r="AX92" s="2892"/>
      <c r="AY92" s="2008" t="s">
        <v>3682</v>
      </c>
      <c r="AZ92" s="1705">
        <f>SUM(AW92)</f>
        <v>16800</v>
      </c>
      <c r="BA92" s="1706">
        <f>AZ92-BB92</f>
        <v>16800</v>
      </c>
      <c r="BB92" s="1707">
        <f>SUM(AU92:AV92)</f>
        <v>0</v>
      </c>
      <c r="BC92" s="4117">
        <f t="shared" si="36"/>
        <v>0</v>
      </c>
      <c r="BD92" s="4117">
        <f t="shared" si="37"/>
        <v>0</v>
      </c>
    </row>
    <row r="93" spans="1:56" ht="89.25">
      <c r="A93" s="5979" t="s">
        <v>11139</v>
      </c>
      <c r="B93" s="908" t="s">
        <v>3704</v>
      </c>
      <c r="C93" s="909">
        <v>0</v>
      </c>
      <c r="D93" s="910">
        <v>42027</v>
      </c>
      <c r="E93" s="3044" t="s">
        <v>6383</v>
      </c>
      <c r="F93" s="911">
        <v>41821</v>
      </c>
      <c r="G93" s="1218">
        <v>1</v>
      </c>
      <c r="H93" s="913" t="s">
        <v>2839</v>
      </c>
      <c r="I93" s="914" t="s">
        <v>1436</v>
      </c>
      <c r="J93" s="915" t="s">
        <v>2712</v>
      </c>
      <c r="K93" s="916">
        <v>43488</v>
      </c>
      <c r="L93" s="914" t="s">
        <v>2840</v>
      </c>
      <c r="M93" s="915" t="s">
        <v>2841</v>
      </c>
      <c r="N93" s="914" t="s">
        <v>2842</v>
      </c>
      <c r="O93" s="913" t="s">
        <v>2843</v>
      </c>
      <c r="P93" s="1018" t="s">
        <v>3681</v>
      </c>
      <c r="Q93" s="915" t="s">
        <v>2845</v>
      </c>
      <c r="R93" s="915" t="s">
        <v>2844</v>
      </c>
      <c r="S93" s="918"/>
      <c r="T93" s="919">
        <v>7168</v>
      </c>
      <c r="U93" s="920">
        <v>0</v>
      </c>
      <c r="V93" s="921">
        <f t="shared" si="33"/>
        <v>7168</v>
      </c>
      <c r="W93" s="919">
        <v>8960</v>
      </c>
      <c r="X93" s="920">
        <v>0</v>
      </c>
      <c r="Y93" s="921">
        <f t="shared" si="41"/>
        <v>8960</v>
      </c>
      <c r="Z93" s="919">
        <v>1792</v>
      </c>
      <c r="AA93" s="920">
        <v>0</v>
      </c>
      <c r="AB93" s="921">
        <f t="shared" si="34"/>
        <v>1792</v>
      </c>
      <c r="AC93" s="820"/>
      <c r="AD93" s="821"/>
      <c r="AE93" s="822"/>
      <c r="AF93" s="820"/>
      <c r="AG93" s="821"/>
      <c r="AH93" s="822"/>
      <c r="AI93" s="922">
        <f t="shared" si="38"/>
        <v>17920</v>
      </c>
      <c r="AJ93" s="920">
        <f t="shared" si="39"/>
        <v>0</v>
      </c>
      <c r="AK93" s="3907">
        <v>0</v>
      </c>
      <c r="AL93" s="923">
        <f t="shared" si="40"/>
        <v>17920</v>
      </c>
      <c r="AM93" s="1605" t="s">
        <v>1061</v>
      </c>
      <c r="AN93" s="3364">
        <v>42468</v>
      </c>
      <c r="AO93" s="3365">
        <v>1179787</v>
      </c>
      <c r="AP93" s="3366">
        <v>41821</v>
      </c>
      <c r="AQ93" s="3367">
        <v>1</v>
      </c>
      <c r="AR93" s="924">
        <f t="shared" si="44"/>
        <v>7168</v>
      </c>
      <c r="AS93" s="925">
        <f t="shared" si="42"/>
        <v>8960</v>
      </c>
      <c r="AT93" s="925">
        <f t="shared" si="43"/>
        <v>1792</v>
      </c>
      <c r="AU93" s="849"/>
      <c r="AV93" s="849"/>
      <c r="AW93" s="2876">
        <f t="shared" si="35"/>
        <v>17920</v>
      </c>
      <c r="AX93" s="3143"/>
      <c r="AY93" s="297"/>
      <c r="AZ93" s="297"/>
      <c r="BA93" s="343"/>
      <c r="BB93" s="343"/>
      <c r="BC93" s="4117">
        <f t="shared" si="36"/>
        <v>0</v>
      </c>
      <c r="BD93" s="4117">
        <f t="shared" si="37"/>
        <v>0</v>
      </c>
    </row>
    <row r="94" spans="1:56" ht="51">
      <c r="A94" s="5973" t="s">
        <v>11138</v>
      </c>
      <c r="B94" s="1712" t="s">
        <v>3729</v>
      </c>
      <c r="C94" s="1713">
        <v>0</v>
      </c>
      <c r="D94" s="1714">
        <v>41934</v>
      </c>
      <c r="E94" s="3044" t="s">
        <v>6383</v>
      </c>
      <c r="F94" s="3135" t="s">
        <v>4498</v>
      </c>
      <c r="G94" s="1715">
        <v>105.8</v>
      </c>
      <c r="H94" s="1716" t="s">
        <v>3730</v>
      </c>
      <c r="I94" s="1709" t="s">
        <v>1433</v>
      </c>
      <c r="J94" s="1710" t="s">
        <v>1434</v>
      </c>
      <c r="K94" s="1711">
        <v>43450</v>
      </c>
      <c r="L94" s="785" t="s">
        <v>450</v>
      </c>
      <c r="M94" s="913" t="s">
        <v>900</v>
      </c>
      <c r="N94" s="785" t="s">
        <v>3731</v>
      </c>
      <c r="O94" s="913" t="s">
        <v>180</v>
      </c>
      <c r="P94" s="1717" t="s">
        <v>2150</v>
      </c>
      <c r="Q94" s="1710" t="s">
        <v>3732</v>
      </c>
      <c r="R94" s="1710" t="s">
        <v>3733</v>
      </c>
      <c r="S94" s="918"/>
      <c r="T94" s="919">
        <v>237</v>
      </c>
      <c r="U94" s="920">
        <v>0</v>
      </c>
      <c r="V94" s="921">
        <f t="shared" si="33"/>
        <v>237</v>
      </c>
      <c r="W94" s="919">
        <v>0</v>
      </c>
      <c r="X94" s="920">
        <v>0</v>
      </c>
      <c r="Y94" s="921">
        <f t="shared" si="41"/>
        <v>0</v>
      </c>
      <c r="Z94" s="919">
        <v>1792</v>
      </c>
      <c r="AA94" s="920">
        <v>0</v>
      </c>
      <c r="AB94" s="921">
        <f t="shared" si="34"/>
        <v>1792</v>
      </c>
      <c r="AC94" s="820"/>
      <c r="AD94" s="821"/>
      <c r="AE94" s="822"/>
      <c r="AF94" s="820"/>
      <c r="AG94" s="821"/>
      <c r="AH94" s="822"/>
      <c r="AI94" s="922">
        <f t="shared" si="38"/>
        <v>2029</v>
      </c>
      <c r="AJ94" s="920">
        <f t="shared" si="39"/>
        <v>0</v>
      </c>
      <c r="AK94" s="3907">
        <v>0</v>
      </c>
      <c r="AL94" s="923">
        <f t="shared" si="40"/>
        <v>2029</v>
      </c>
      <c r="AM94" s="1605" t="s">
        <v>1061</v>
      </c>
      <c r="AN94" s="3364">
        <v>42474</v>
      </c>
      <c r="AO94" s="3365">
        <v>1179926</v>
      </c>
      <c r="AP94" s="3366">
        <v>42339</v>
      </c>
      <c r="AQ94" s="3367">
        <v>108.5</v>
      </c>
      <c r="AR94" s="924">
        <f t="shared" si="44"/>
        <v>243</v>
      </c>
      <c r="AS94" s="925">
        <f t="shared" si="42"/>
        <v>0</v>
      </c>
      <c r="AT94" s="925">
        <f t="shared" si="43"/>
        <v>1838</v>
      </c>
      <c r="AU94" s="849"/>
      <c r="AV94" s="849"/>
      <c r="AW94" s="2866">
        <f t="shared" si="35"/>
        <v>2081</v>
      </c>
      <c r="AX94" s="3143"/>
      <c r="AY94" s="2006"/>
      <c r="AZ94" s="1726"/>
      <c r="BA94" s="1727"/>
      <c r="BB94" s="1222"/>
      <c r="BC94" s="4117">
        <f t="shared" si="36"/>
        <v>0</v>
      </c>
      <c r="BD94" s="4117">
        <f t="shared" si="37"/>
        <v>0</v>
      </c>
    </row>
    <row r="95" spans="1:56" ht="38.25">
      <c r="A95" s="5973" t="s">
        <v>11138</v>
      </c>
      <c r="B95" s="908">
        <v>253</v>
      </c>
      <c r="C95" s="909" t="s">
        <v>1432</v>
      </c>
      <c r="D95" s="910">
        <v>41117</v>
      </c>
      <c r="E95" s="3044" t="s">
        <v>6390</v>
      </c>
      <c r="F95" s="1914">
        <v>40603</v>
      </c>
      <c r="G95" s="1722">
        <v>98.6</v>
      </c>
      <c r="H95" s="913" t="s">
        <v>1509</v>
      </c>
      <c r="I95" s="914" t="s">
        <v>1433</v>
      </c>
      <c r="J95" s="915" t="s">
        <v>1434</v>
      </c>
      <c r="K95" s="916">
        <v>42571</v>
      </c>
      <c r="L95" s="914" t="s">
        <v>1850</v>
      </c>
      <c r="M95" s="915" t="s">
        <v>1851</v>
      </c>
      <c r="N95" s="914" t="s">
        <v>1510</v>
      </c>
      <c r="O95" s="913" t="s">
        <v>1652</v>
      </c>
      <c r="P95" s="1018"/>
      <c r="Q95" s="915" t="s">
        <v>1653</v>
      </c>
      <c r="R95" s="915" t="s">
        <v>1511</v>
      </c>
      <c r="S95" s="918"/>
      <c r="T95" s="919">
        <v>19924</v>
      </c>
      <c r="U95" s="920">
        <v>0</v>
      </c>
      <c r="V95" s="921">
        <f t="shared" si="33"/>
        <v>19924</v>
      </c>
      <c r="W95" s="919">
        <v>0</v>
      </c>
      <c r="X95" s="920">
        <v>0</v>
      </c>
      <c r="Y95" s="921">
        <f t="shared" si="41"/>
        <v>0</v>
      </c>
      <c r="Z95" s="919">
        <v>3056</v>
      </c>
      <c r="AA95" s="920">
        <v>0</v>
      </c>
      <c r="AB95" s="921">
        <f t="shared" si="34"/>
        <v>3056</v>
      </c>
      <c r="AC95" s="820">
        <v>0</v>
      </c>
      <c r="AD95" s="821">
        <v>0</v>
      </c>
      <c r="AE95" s="822">
        <f>AC95-AD95</f>
        <v>0</v>
      </c>
      <c r="AF95" s="820">
        <v>0</v>
      </c>
      <c r="AG95" s="821">
        <v>0</v>
      </c>
      <c r="AH95" s="822">
        <f>AF95-AG95</f>
        <v>0</v>
      </c>
      <c r="AI95" s="922">
        <f t="shared" si="38"/>
        <v>22980</v>
      </c>
      <c r="AJ95" s="920">
        <f t="shared" si="39"/>
        <v>0</v>
      </c>
      <c r="AK95" s="3907">
        <v>0</v>
      </c>
      <c r="AL95" s="923">
        <f t="shared" si="40"/>
        <v>22980</v>
      </c>
      <c r="AM95" s="3368" t="s">
        <v>1061</v>
      </c>
      <c r="AN95" s="3364">
        <v>42479</v>
      </c>
      <c r="AO95" s="3365">
        <v>1180028</v>
      </c>
      <c r="AP95" s="3366">
        <v>42339</v>
      </c>
      <c r="AQ95" s="3367">
        <v>108.5</v>
      </c>
      <c r="AR95" s="924">
        <f t="shared" si="44"/>
        <v>21924</v>
      </c>
      <c r="AS95" s="925">
        <f t="shared" si="42"/>
        <v>0</v>
      </c>
      <c r="AT95" s="925">
        <f t="shared" si="43"/>
        <v>3363</v>
      </c>
      <c r="AU95" s="849">
        <f>ROUND($AQ95/$G95*AE95,0)</f>
        <v>0</v>
      </c>
      <c r="AV95" s="849">
        <f>ROUND($AQ95/$G95*AH95,0)</f>
        <v>0</v>
      </c>
      <c r="AW95" s="2874">
        <f t="shared" si="35"/>
        <v>25287</v>
      </c>
      <c r="AX95" s="3143" t="s">
        <v>1728</v>
      </c>
      <c r="AY95" s="2006"/>
      <c r="AZ95" s="1726"/>
      <c r="BA95" s="1727"/>
      <c r="BB95" s="1222"/>
      <c r="BC95" s="4117">
        <f t="shared" si="36"/>
        <v>0</v>
      </c>
      <c r="BD95" s="4117">
        <f t="shared" si="37"/>
        <v>0</v>
      </c>
    </row>
    <row r="96" spans="1:56" ht="102">
      <c r="A96" s="5973" t="s">
        <v>11138</v>
      </c>
      <c r="B96" s="908" t="s">
        <v>3575</v>
      </c>
      <c r="C96" s="909">
        <v>0</v>
      </c>
      <c r="D96" s="910">
        <v>42228</v>
      </c>
      <c r="E96" s="3044" t="s">
        <v>6387</v>
      </c>
      <c r="F96" s="1914" t="s">
        <v>3977</v>
      </c>
      <c r="G96" s="1607">
        <v>105.2</v>
      </c>
      <c r="H96" s="913" t="s">
        <v>3687</v>
      </c>
      <c r="I96" s="914" t="s">
        <v>1436</v>
      </c>
      <c r="J96" s="915" t="s">
        <v>1437</v>
      </c>
      <c r="K96" s="916">
        <v>43117</v>
      </c>
      <c r="L96" s="914" t="s">
        <v>3233</v>
      </c>
      <c r="M96" s="915" t="s">
        <v>3234</v>
      </c>
      <c r="N96" s="914" t="s">
        <v>3235</v>
      </c>
      <c r="O96" s="913" t="s">
        <v>3245</v>
      </c>
      <c r="P96" s="1018" t="s">
        <v>3503</v>
      </c>
      <c r="Q96" s="915" t="s">
        <v>3236</v>
      </c>
      <c r="R96" s="915" t="s">
        <v>3686</v>
      </c>
      <c r="S96" s="918"/>
      <c r="T96" s="919">
        <v>4299</v>
      </c>
      <c r="U96" s="920">
        <v>0</v>
      </c>
      <c r="V96" s="921">
        <f t="shared" si="33"/>
        <v>4299</v>
      </c>
      <c r="W96" s="919">
        <v>0</v>
      </c>
      <c r="X96" s="920">
        <v>0</v>
      </c>
      <c r="Y96" s="921">
        <f t="shared" si="41"/>
        <v>0</v>
      </c>
      <c r="Z96" s="919">
        <v>0</v>
      </c>
      <c r="AA96" s="920">
        <v>0</v>
      </c>
      <c r="AB96" s="921">
        <f t="shared" si="34"/>
        <v>0</v>
      </c>
      <c r="AC96" s="820"/>
      <c r="AD96" s="821"/>
      <c r="AE96" s="822"/>
      <c r="AF96" s="820"/>
      <c r="AG96" s="821"/>
      <c r="AH96" s="822"/>
      <c r="AI96" s="922">
        <f t="shared" si="38"/>
        <v>4299</v>
      </c>
      <c r="AJ96" s="920">
        <f t="shared" si="39"/>
        <v>0</v>
      </c>
      <c r="AK96" s="3907">
        <v>0</v>
      </c>
      <c r="AL96" s="923">
        <f t="shared" si="40"/>
        <v>4299</v>
      </c>
      <c r="AM96" s="1605" t="s">
        <v>1061</v>
      </c>
      <c r="AN96" s="3364">
        <v>42479</v>
      </c>
      <c r="AO96" s="3365">
        <v>1180033</v>
      </c>
      <c r="AP96" s="3366">
        <v>42339</v>
      </c>
      <c r="AQ96" s="3421">
        <v>108.5</v>
      </c>
      <c r="AR96" s="1724">
        <f t="shared" si="44"/>
        <v>4434</v>
      </c>
      <c r="AS96" s="1725">
        <f t="shared" si="42"/>
        <v>0</v>
      </c>
      <c r="AT96" s="1725">
        <f t="shared" si="43"/>
        <v>0</v>
      </c>
      <c r="AU96" s="1723"/>
      <c r="AV96" s="1723"/>
      <c r="AW96" s="2874">
        <f t="shared" si="35"/>
        <v>4434</v>
      </c>
      <c r="AX96" s="3143"/>
      <c r="BB96" s="267"/>
      <c r="BC96" s="4117">
        <f t="shared" si="36"/>
        <v>0</v>
      </c>
      <c r="BD96" s="4117">
        <f t="shared" si="37"/>
        <v>0</v>
      </c>
    </row>
    <row r="97" spans="1:61" ht="63.75">
      <c r="A97" s="5979" t="s">
        <v>11139</v>
      </c>
      <c r="B97" s="908" t="s">
        <v>1720</v>
      </c>
      <c r="C97" s="909">
        <v>0</v>
      </c>
      <c r="D97" s="910">
        <v>41848</v>
      </c>
      <c r="E97" s="3044" t="s">
        <v>6383</v>
      </c>
      <c r="F97" s="911">
        <v>41821</v>
      </c>
      <c r="G97" s="1218">
        <v>1</v>
      </c>
      <c r="H97" s="913" t="s">
        <v>2321</v>
      </c>
      <c r="I97" s="914" t="s">
        <v>1433</v>
      </c>
      <c r="J97" s="915" t="s">
        <v>1434</v>
      </c>
      <c r="K97" s="916">
        <v>43309</v>
      </c>
      <c r="L97" s="914" t="s">
        <v>2322</v>
      </c>
      <c r="M97" s="915" t="s">
        <v>2323</v>
      </c>
      <c r="N97" s="914" t="s">
        <v>2324</v>
      </c>
      <c r="O97" s="913" t="s">
        <v>2325</v>
      </c>
      <c r="P97" s="1018"/>
      <c r="Q97" s="915" t="s">
        <v>2326</v>
      </c>
      <c r="R97" s="915" t="s">
        <v>2327</v>
      </c>
      <c r="S97" s="918"/>
      <c r="T97" s="919">
        <v>4704</v>
      </c>
      <c r="U97" s="920">
        <v>0</v>
      </c>
      <c r="V97" s="921">
        <f t="shared" si="33"/>
        <v>4704</v>
      </c>
      <c r="W97" s="919">
        <v>5880</v>
      </c>
      <c r="X97" s="920">
        <v>0</v>
      </c>
      <c r="Y97" s="921">
        <f t="shared" si="41"/>
        <v>5880</v>
      </c>
      <c r="Z97" s="919">
        <v>1176</v>
      </c>
      <c r="AA97" s="920">
        <v>0</v>
      </c>
      <c r="AB97" s="921">
        <f t="shared" si="34"/>
        <v>1176</v>
      </c>
      <c r="AC97" s="820"/>
      <c r="AD97" s="821"/>
      <c r="AE97" s="822"/>
      <c r="AF97" s="820"/>
      <c r="AG97" s="821"/>
      <c r="AH97" s="822"/>
      <c r="AI97" s="559">
        <f t="shared" si="38"/>
        <v>11760</v>
      </c>
      <c r="AJ97" s="557">
        <f t="shared" si="39"/>
        <v>0</v>
      </c>
      <c r="AK97" s="3900">
        <v>0</v>
      </c>
      <c r="AL97" s="561">
        <f t="shared" si="40"/>
        <v>11760</v>
      </c>
      <c r="AM97" s="1605" t="s">
        <v>3759</v>
      </c>
      <c r="AN97" s="3364">
        <v>42487</v>
      </c>
      <c r="AO97" s="3365">
        <v>1180230</v>
      </c>
      <c r="AP97" s="3366">
        <v>41821</v>
      </c>
      <c r="AQ97" s="3367">
        <v>1</v>
      </c>
      <c r="AR97" s="924">
        <f t="shared" si="44"/>
        <v>4704</v>
      </c>
      <c r="AS97" s="925">
        <f t="shared" si="42"/>
        <v>5880</v>
      </c>
      <c r="AT97" s="925">
        <f t="shared" si="43"/>
        <v>1176</v>
      </c>
      <c r="AU97" s="849"/>
      <c r="AV97" s="849"/>
      <c r="AW97" s="2874">
        <f t="shared" si="35"/>
        <v>11760</v>
      </c>
      <c r="AX97" s="3143"/>
      <c r="BB97" s="267"/>
      <c r="BC97" s="4117">
        <f t="shared" si="36"/>
        <v>0</v>
      </c>
      <c r="BD97" s="4117">
        <f t="shared" si="37"/>
        <v>0</v>
      </c>
    </row>
    <row r="98" spans="1:61" ht="51.75" thickBot="1">
      <c r="A98" s="5988" t="s">
        <v>11139</v>
      </c>
      <c r="B98" s="1682" t="s">
        <v>3490</v>
      </c>
      <c r="C98" s="1749">
        <v>0</v>
      </c>
      <c r="D98" s="1750">
        <v>41977</v>
      </c>
      <c r="E98" s="3042" t="s">
        <v>6383</v>
      </c>
      <c r="F98" s="1751">
        <v>41821</v>
      </c>
      <c r="G98" s="1752">
        <v>1</v>
      </c>
      <c r="H98" s="1753" t="s">
        <v>2699</v>
      </c>
      <c r="I98" s="1688" t="s">
        <v>1433</v>
      </c>
      <c r="J98" s="1754" t="s">
        <v>1434</v>
      </c>
      <c r="K98" s="1755">
        <v>43082</v>
      </c>
      <c r="L98" s="1688" t="s">
        <v>2704</v>
      </c>
      <c r="M98" s="1754" t="s">
        <v>2046</v>
      </c>
      <c r="N98" s="1688" t="s">
        <v>2702</v>
      </c>
      <c r="O98" s="1753" t="s">
        <v>2703</v>
      </c>
      <c r="P98" s="1691" t="s">
        <v>3507</v>
      </c>
      <c r="Q98" s="1754" t="s">
        <v>2700</v>
      </c>
      <c r="R98" s="1754" t="s">
        <v>2701</v>
      </c>
      <c r="S98" s="1756"/>
      <c r="T98" s="1693">
        <v>0</v>
      </c>
      <c r="U98" s="1757">
        <v>0</v>
      </c>
      <c r="V98" s="1758">
        <f t="shared" si="33"/>
        <v>0</v>
      </c>
      <c r="W98" s="1693">
        <v>0</v>
      </c>
      <c r="X98" s="1757">
        <v>0</v>
      </c>
      <c r="Y98" s="1758">
        <f t="shared" si="41"/>
        <v>0</v>
      </c>
      <c r="Z98" s="1693">
        <v>17750</v>
      </c>
      <c r="AA98" s="1757">
        <v>0</v>
      </c>
      <c r="AB98" s="1758">
        <f t="shared" si="34"/>
        <v>17750</v>
      </c>
      <c r="AC98" s="1696"/>
      <c r="AD98" s="1759"/>
      <c r="AE98" s="1760"/>
      <c r="AF98" s="1696"/>
      <c r="AG98" s="1759"/>
      <c r="AH98" s="1760"/>
      <c r="AI98" s="1699">
        <f t="shared" si="38"/>
        <v>17750</v>
      </c>
      <c r="AJ98" s="1757">
        <f t="shared" si="39"/>
        <v>0</v>
      </c>
      <c r="AK98" s="3901">
        <v>0</v>
      </c>
      <c r="AL98" s="1761">
        <f t="shared" si="40"/>
        <v>17750</v>
      </c>
      <c r="AM98" s="3415" t="s">
        <v>1061</v>
      </c>
      <c r="AN98" s="3422">
        <v>42489</v>
      </c>
      <c r="AO98" s="3423">
        <v>1180320</v>
      </c>
      <c r="AP98" s="3424">
        <v>41821</v>
      </c>
      <c r="AQ98" s="3425">
        <v>1</v>
      </c>
      <c r="AR98" s="1701">
        <f t="shared" si="44"/>
        <v>0</v>
      </c>
      <c r="AS98" s="1762">
        <f t="shared" si="42"/>
        <v>0</v>
      </c>
      <c r="AT98" s="1762">
        <f t="shared" si="43"/>
        <v>17750</v>
      </c>
      <c r="AU98" s="1763"/>
      <c r="AV98" s="1763"/>
      <c r="AW98" s="2867">
        <f t="shared" si="35"/>
        <v>17750</v>
      </c>
      <c r="AX98" s="2888"/>
      <c r="AY98" s="743" t="s">
        <v>3703</v>
      </c>
      <c r="AZ98" s="1680">
        <f>SUM(AW93:AW98)</f>
        <v>79232</v>
      </c>
      <c r="BA98" s="1681">
        <f>AZ98-BB98</f>
        <v>79232</v>
      </c>
      <c r="BB98" s="929">
        <f>SUM(AU93:AV98)</f>
        <v>0</v>
      </c>
      <c r="BC98" s="4117">
        <f t="shared" si="36"/>
        <v>0</v>
      </c>
      <c r="BD98" s="4117">
        <f t="shared" si="37"/>
        <v>0</v>
      </c>
    </row>
    <row r="99" spans="1:61" ht="63.75">
      <c r="A99" s="5967" t="s">
        <v>11138</v>
      </c>
      <c r="B99" s="1748" t="s">
        <v>3782</v>
      </c>
      <c r="C99" s="828" t="s">
        <v>1432</v>
      </c>
      <c r="D99" s="829">
        <v>41603</v>
      </c>
      <c r="E99" s="829" t="s">
        <v>6389</v>
      </c>
      <c r="F99" s="1865">
        <v>41518</v>
      </c>
      <c r="G99" s="1597">
        <v>103.8</v>
      </c>
      <c r="H99" s="832" t="s">
        <v>1576</v>
      </c>
      <c r="I99" s="833" t="s">
        <v>1433</v>
      </c>
      <c r="J99" s="834" t="s">
        <v>1434</v>
      </c>
      <c r="K99" s="835">
        <v>43061</v>
      </c>
      <c r="L99" s="833" t="s">
        <v>1821</v>
      </c>
      <c r="M99" s="834" t="s">
        <v>1801</v>
      </c>
      <c r="N99" s="833" t="s">
        <v>1577</v>
      </c>
      <c r="O99" s="832" t="s">
        <v>1700</v>
      </c>
      <c r="P99" s="836"/>
      <c r="Q99" s="834" t="s">
        <v>1699</v>
      </c>
      <c r="R99" s="834" t="s">
        <v>1578</v>
      </c>
      <c r="S99" s="837"/>
      <c r="T99" s="838">
        <v>0</v>
      </c>
      <c r="U99" s="839">
        <v>0</v>
      </c>
      <c r="V99" s="840">
        <f t="shared" si="33"/>
        <v>0</v>
      </c>
      <c r="W99" s="838">
        <v>0</v>
      </c>
      <c r="X99" s="839">
        <v>0</v>
      </c>
      <c r="Y99" s="840">
        <f t="shared" si="41"/>
        <v>0</v>
      </c>
      <c r="Z99" s="838">
        <v>0</v>
      </c>
      <c r="AA99" s="839">
        <v>0</v>
      </c>
      <c r="AB99" s="840">
        <f t="shared" si="34"/>
        <v>0</v>
      </c>
      <c r="AC99" s="823">
        <v>32004</v>
      </c>
      <c r="AD99" s="824">
        <v>0</v>
      </c>
      <c r="AE99" s="825">
        <f>AC99-AD99</f>
        <v>32004</v>
      </c>
      <c r="AF99" s="823">
        <v>0</v>
      </c>
      <c r="AG99" s="824">
        <v>0</v>
      </c>
      <c r="AH99" s="825">
        <f>AF99-AG99</f>
        <v>0</v>
      </c>
      <c r="AI99" s="841">
        <f t="shared" si="38"/>
        <v>32004</v>
      </c>
      <c r="AJ99" s="839">
        <f t="shared" si="39"/>
        <v>0</v>
      </c>
      <c r="AK99" s="3906">
        <v>0</v>
      </c>
      <c r="AL99" s="869">
        <f t="shared" si="40"/>
        <v>32004</v>
      </c>
      <c r="AM99" s="3359"/>
      <c r="AN99" s="3360"/>
      <c r="AO99" s="3361"/>
      <c r="AP99" s="3362"/>
      <c r="AQ99" s="3363"/>
      <c r="AR99" s="846">
        <f t="shared" si="44"/>
        <v>0</v>
      </c>
      <c r="AS99" s="847">
        <f t="shared" si="42"/>
        <v>0</v>
      </c>
      <c r="AT99" s="847">
        <f t="shared" si="43"/>
        <v>0</v>
      </c>
      <c r="AU99" s="848"/>
      <c r="AV99" s="848"/>
      <c r="AW99" s="2872">
        <f t="shared" si="35"/>
        <v>0</v>
      </c>
      <c r="AX99" s="2891" t="s">
        <v>1728</v>
      </c>
      <c r="BB99" s="267"/>
      <c r="BC99" s="4117">
        <f t="shared" si="36"/>
        <v>0</v>
      </c>
      <c r="BD99" s="4117">
        <f t="shared" si="37"/>
        <v>0</v>
      </c>
    </row>
    <row r="100" spans="1:61" ht="63.75">
      <c r="A100" s="2418" t="s">
        <v>11135</v>
      </c>
      <c r="B100" s="1569" t="s">
        <v>7213</v>
      </c>
      <c r="C100" s="1570">
        <v>0</v>
      </c>
      <c r="D100" s="1571">
        <v>42292</v>
      </c>
      <c r="E100" s="3041" t="s">
        <v>6384</v>
      </c>
      <c r="F100" s="1572">
        <v>41821</v>
      </c>
      <c r="G100" s="2133">
        <v>1</v>
      </c>
      <c r="H100" s="1573" t="s">
        <v>3394</v>
      </c>
      <c r="I100" s="339" t="s">
        <v>1433</v>
      </c>
      <c r="J100" s="322" t="s">
        <v>1434</v>
      </c>
      <c r="K100" s="340">
        <v>43753</v>
      </c>
      <c r="L100" s="1574" t="s">
        <v>3477</v>
      </c>
      <c r="M100" s="322" t="s">
        <v>3395</v>
      </c>
      <c r="N100" s="339" t="s">
        <v>3396</v>
      </c>
      <c r="O100" s="332" t="s">
        <v>3397</v>
      </c>
      <c r="P100" s="345" t="s">
        <v>7264</v>
      </c>
      <c r="Q100" s="322" t="s">
        <v>3398</v>
      </c>
      <c r="R100" s="322" t="s">
        <v>3399</v>
      </c>
      <c r="S100" s="1576" t="s">
        <v>6571</v>
      </c>
      <c r="T100" s="347">
        <v>3998</v>
      </c>
      <c r="U100" s="326">
        <v>3998</v>
      </c>
      <c r="V100" s="348">
        <f t="shared" si="33"/>
        <v>0</v>
      </c>
      <c r="W100" s="347">
        <v>706</v>
      </c>
      <c r="X100" s="326">
        <v>706</v>
      </c>
      <c r="Y100" s="348">
        <f t="shared" si="41"/>
        <v>0</v>
      </c>
      <c r="Z100" s="347">
        <v>1120</v>
      </c>
      <c r="AA100" s="326">
        <v>1120</v>
      </c>
      <c r="AB100" s="348">
        <f t="shared" si="34"/>
        <v>0</v>
      </c>
      <c r="AC100" s="820"/>
      <c r="AD100" s="821"/>
      <c r="AE100" s="822"/>
      <c r="AF100" s="820"/>
      <c r="AG100" s="821"/>
      <c r="AH100" s="822"/>
      <c r="AI100" s="482">
        <f t="shared" si="38"/>
        <v>5824</v>
      </c>
      <c r="AJ100" s="326">
        <f t="shared" si="39"/>
        <v>5824</v>
      </c>
      <c r="AK100" s="3899"/>
      <c r="AL100" s="349">
        <f t="shared" si="40"/>
        <v>0</v>
      </c>
      <c r="AM100" s="337" t="s">
        <v>7276</v>
      </c>
      <c r="AN100" s="327"/>
      <c r="AO100" s="328"/>
      <c r="AP100" s="2722">
        <v>41821</v>
      </c>
      <c r="AQ100" s="3358">
        <v>1</v>
      </c>
      <c r="AR100" s="333">
        <f t="shared" si="44"/>
        <v>0</v>
      </c>
      <c r="AS100" s="330">
        <f t="shared" si="42"/>
        <v>0</v>
      </c>
      <c r="AT100" s="330">
        <f t="shared" si="43"/>
        <v>0</v>
      </c>
      <c r="AU100" s="849"/>
      <c r="AV100" s="849"/>
      <c r="AW100" s="826">
        <f t="shared" si="35"/>
        <v>0</v>
      </c>
      <c r="AX100" s="3140"/>
      <c r="BA100" s="267"/>
      <c r="BB100" s="267"/>
      <c r="BC100" s="4117">
        <f t="shared" si="36"/>
        <v>5824</v>
      </c>
      <c r="BD100" s="4117">
        <f t="shared" si="37"/>
        <v>0</v>
      </c>
    </row>
    <row r="101" spans="1:61" ht="89.25">
      <c r="A101" s="2418" t="s">
        <v>11139</v>
      </c>
      <c r="B101" s="338" t="s">
        <v>3674</v>
      </c>
      <c r="C101" s="321">
        <v>0</v>
      </c>
      <c r="D101" s="323">
        <v>42023</v>
      </c>
      <c r="E101" s="3012" t="s">
        <v>6383</v>
      </c>
      <c r="F101" s="324">
        <v>41821</v>
      </c>
      <c r="G101" s="331">
        <v>1</v>
      </c>
      <c r="H101" s="332" t="s">
        <v>3706</v>
      </c>
      <c r="I101" s="339" t="s">
        <v>1433</v>
      </c>
      <c r="J101" s="322" t="s">
        <v>1434</v>
      </c>
      <c r="K101" s="340">
        <v>43484</v>
      </c>
      <c r="L101" s="339" t="s">
        <v>2833</v>
      </c>
      <c r="M101" s="322" t="s">
        <v>2834</v>
      </c>
      <c r="N101" s="339" t="s">
        <v>2835</v>
      </c>
      <c r="O101" s="332" t="s">
        <v>2836</v>
      </c>
      <c r="P101" s="345" t="s">
        <v>3819</v>
      </c>
      <c r="Q101" s="322" t="s">
        <v>3385</v>
      </c>
      <c r="R101" s="322" t="s">
        <v>2837</v>
      </c>
      <c r="S101" s="346"/>
      <c r="T101" s="347">
        <v>8566</v>
      </c>
      <c r="U101" s="326">
        <v>0</v>
      </c>
      <c r="V101" s="348">
        <f t="shared" si="33"/>
        <v>8566</v>
      </c>
      <c r="W101" s="347">
        <v>1507</v>
      </c>
      <c r="X101" s="326">
        <v>0</v>
      </c>
      <c r="Y101" s="348">
        <f t="shared" si="41"/>
        <v>1507</v>
      </c>
      <c r="Z101" s="347">
        <v>3878</v>
      </c>
      <c r="AA101" s="326">
        <v>0</v>
      </c>
      <c r="AB101" s="348">
        <f t="shared" si="34"/>
        <v>3878</v>
      </c>
      <c r="AC101" s="820"/>
      <c r="AD101" s="821"/>
      <c r="AE101" s="822"/>
      <c r="AF101" s="820"/>
      <c r="AG101" s="821"/>
      <c r="AH101" s="822"/>
      <c r="AI101" s="482">
        <f t="shared" si="38"/>
        <v>13951</v>
      </c>
      <c r="AJ101" s="326">
        <f t="shared" si="39"/>
        <v>0</v>
      </c>
      <c r="AK101" s="3899">
        <v>0</v>
      </c>
      <c r="AL101" s="349">
        <f t="shared" si="40"/>
        <v>13951</v>
      </c>
      <c r="AM101" s="2002" t="s">
        <v>1061</v>
      </c>
      <c r="AN101" s="3357">
        <v>42515</v>
      </c>
      <c r="AO101" s="695">
        <v>1180898</v>
      </c>
      <c r="AP101" s="2722">
        <v>41821</v>
      </c>
      <c r="AQ101" s="3358">
        <v>1</v>
      </c>
      <c r="AR101" s="333">
        <f t="shared" si="44"/>
        <v>8566</v>
      </c>
      <c r="AS101" s="330">
        <f t="shared" si="42"/>
        <v>1507</v>
      </c>
      <c r="AT101" s="330">
        <f t="shared" si="43"/>
        <v>3878</v>
      </c>
      <c r="AU101" s="849"/>
      <c r="AV101" s="849"/>
      <c r="AW101" s="2870">
        <f t="shared" si="35"/>
        <v>13951</v>
      </c>
      <c r="AX101" s="3140"/>
      <c r="BB101" s="267"/>
      <c r="BC101" s="4117">
        <f t="shared" si="36"/>
        <v>0</v>
      </c>
      <c r="BD101" s="4117">
        <f t="shared" si="37"/>
        <v>0</v>
      </c>
    </row>
    <row r="102" spans="1:61" ht="26.25" thickBot="1">
      <c r="A102" s="5989" t="s">
        <v>11138</v>
      </c>
      <c r="B102" s="1774" t="s">
        <v>3839</v>
      </c>
      <c r="C102" s="1775">
        <v>0</v>
      </c>
      <c r="D102" s="1776" t="s">
        <v>3840</v>
      </c>
      <c r="E102" s="2992" t="s">
        <v>6383</v>
      </c>
      <c r="F102" s="3136">
        <v>41609</v>
      </c>
      <c r="G102" s="3137">
        <v>104.6</v>
      </c>
      <c r="H102" s="1777">
        <v>132005.1219</v>
      </c>
      <c r="I102" s="1778" t="s">
        <v>1433</v>
      </c>
      <c r="J102" s="1779" t="s">
        <v>1434</v>
      </c>
      <c r="K102" s="1780">
        <v>43086</v>
      </c>
      <c r="L102" s="1778" t="s">
        <v>3841</v>
      </c>
      <c r="M102" s="1779" t="s">
        <v>3842</v>
      </c>
      <c r="N102" s="1778" t="s">
        <v>66</v>
      </c>
      <c r="O102" s="1777" t="s">
        <v>67</v>
      </c>
      <c r="P102" s="1781" t="s">
        <v>3844</v>
      </c>
      <c r="Q102" s="1779" t="s">
        <v>2326</v>
      </c>
      <c r="R102" s="1779" t="s">
        <v>2327</v>
      </c>
      <c r="S102" s="1782"/>
      <c r="T102" s="1783">
        <v>369</v>
      </c>
      <c r="U102" s="1784">
        <v>0</v>
      </c>
      <c r="V102" s="1785">
        <f t="shared" si="33"/>
        <v>369</v>
      </c>
      <c r="W102" s="1783">
        <v>0</v>
      </c>
      <c r="X102" s="1784">
        <v>0</v>
      </c>
      <c r="Y102" s="1785">
        <f t="shared" si="41"/>
        <v>0</v>
      </c>
      <c r="Z102" s="1783">
        <v>1795</v>
      </c>
      <c r="AA102" s="1784">
        <v>0</v>
      </c>
      <c r="AB102" s="1785">
        <f t="shared" si="34"/>
        <v>1795</v>
      </c>
      <c r="AC102" s="1696"/>
      <c r="AD102" s="1786"/>
      <c r="AE102" s="1787"/>
      <c r="AF102" s="1696"/>
      <c r="AG102" s="1786"/>
      <c r="AH102" s="1787"/>
      <c r="AI102" s="1788">
        <f t="shared" si="38"/>
        <v>2164</v>
      </c>
      <c r="AJ102" s="1784">
        <f t="shared" si="39"/>
        <v>0</v>
      </c>
      <c r="AK102" s="3903">
        <v>0</v>
      </c>
      <c r="AL102" s="1789">
        <f t="shared" si="40"/>
        <v>2164</v>
      </c>
      <c r="AM102" s="1774" t="s">
        <v>1061</v>
      </c>
      <c r="AN102" s="3426">
        <v>42521</v>
      </c>
      <c r="AO102" s="3427">
        <v>1181080</v>
      </c>
      <c r="AP102" s="3428">
        <v>42430</v>
      </c>
      <c r="AQ102" s="3429">
        <v>108.5</v>
      </c>
      <c r="AR102" s="1790">
        <f t="shared" si="44"/>
        <v>383</v>
      </c>
      <c r="AS102" s="1791">
        <f t="shared" si="42"/>
        <v>0</v>
      </c>
      <c r="AT102" s="1791">
        <f t="shared" si="43"/>
        <v>1862</v>
      </c>
      <c r="AU102" s="1792"/>
      <c r="AV102" s="1792"/>
      <c r="AW102" s="2869">
        <f t="shared" si="35"/>
        <v>2245</v>
      </c>
      <c r="AX102" s="2890"/>
      <c r="AY102" s="764" t="s">
        <v>3783</v>
      </c>
      <c r="AZ102" s="1662">
        <f>SUM(AW99:AW102)</f>
        <v>16196</v>
      </c>
      <c r="BA102" s="1663">
        <f>AZ102-BB102</f>
        <v>16196</v>
      </c>
      <c r="BB102" s="884">
        <f>SUM(AU99:AV102)</f>
        <v>0</v>
      </c>
      <c r="BC102" s="4117">
        <f t="shared" si="36"/>
        <v>0</v>
      </c>
      <c r="BD102" s="4117">
        <f t="shared" si="37"/>
        <v>0</v>
      </c>
    </row>
    <row r="103" spans="1:61" ht="51">
      <c r="A103" s="5973" t="s">
        <v>11138</v>
      </c>
      <c r="B103" s="908" t="s">
        <v>1712</v>
      </c>
      <c r="C103" s="909">
        <v>0</v>
      </c>
      <c r="D103" s="910">
        <v>41737</v>
      </c>
      <c r="E103" s="3044" t="s">
        <v>6383</v>
      </c>
      <c r="F103" s="1914">
        <v>41609</v>
      </c>
      <c r="G103" s="1607">
        <v>104.6</v>
      </c>
      <c r="H103" s="913" t="s">
        <v>1977</v>
      </c>
      <c r="I103" s="914" t="s">
        <v>1330</v>
      </c>
      <c r="J103" s="915" t="s">
        <v>1445</v>
      </c>
      <c r="K103" s="916">
        <v>42462</v>
      </c>
      <c r="L103" s="914" t="s">
        <v>1970</v>
      </c>
      <c r="M103" s="915" t="s">
        <v>1971</v>
      </c>
      <c r="N103" s="914" t="s">
        <v>453</v>
      </c>
      <c r="O103" s="913" t="s">
        <v>1972</v>
      </c>
      <c r="P103" s="1018" t="s">
        <v>1974</v>
      </c>
      <c r="Q103" s="915" t="s">
        <v>1973</v>
      </c>
      <c r="R103" s="915" t="s">
        <v>1975</v>
      </c>
      <c r="S103" s="918" t="s">
        <v>1974</v>
      </c>
      <c r="T103" s="919">
        <v>2546</v>
      </c>
      <c r="U103" s="920">
        <v>0</v>
      </c>
      <c r="V103" s="921">
        <f t="shared" si="33"/>
        <v>2546</v>
      </c>
      <c r="W103" s="919">
        <v>3183</v>
      </c>
      <c r="X103" s="920">
        <v>3183</v>
      </c>
      <c r="Y103" s="921">
        <f t="shared" si="41"/>
        <v>0</v>
      </c>
      <c r="Z103" s="919">
        <v>637</v>
      </c>
      <c r="AA103" s="920">
        <v>0</v>
      </c>
      <c r="AB103" s="921">
        <f t="shared" si="34"/>
        <v>637</v>
      </c>
      <c r="AC103" s="820">
        <v>0</v>
      </c>
      <c r="AD103" s="821">
        <v>0</v>
      </c>
      <c r="AE103" s="822">
        <f>AC103-AD103</f>
        <v>0</v>
      </c>
      <c r="AF103" s="820">
        <v>0</v>
      </c>
      <c r="AG103" s="821">
        <v>0</v>
      </c>
      <c r="AH103" s="822">
        <f>AF103-AG103</f>
        <v>0</v>
      </c>
      <c r="AI103" s="922">
        <f t="shared" si="38"/>
        <v>6366</v>
      </c>
      <c r="AJ103" s="920">
        <f t="shared" si="39"/>
        <v>3183</v>
      </c>
      <c r="AK103" s="3907">
        <v>0</v>
      </c>
      <c r="AL103" s="923">
        <f t="shared" si="40"/>
        <v>3183</v>
      </c>
      <c r="AM103" s="1605" t="s">
        <v>1061</v>
      </c>
      <c r="AN103" s="3364">
        <v>42523</v>
      </c>
      <c r="AO103" s="3365">
        <v>1181125</v>
      </c>
      <c r="AP103" s="3366">
        <v>42430</v>
      </c>
      <c r="AQ103" s="3367">
        <v>108.5</v>
      </c>
      <c r="AR103" s="924">
        <f t="shared" si="44"/>
        <v>2641</v>
      </c>
      <c r="AS103" s="925">
        <f t="shared" si="42"/>
        <v>0</v>
      </c>
      <c r="AT103" s="925">
        <f t="shared" si="43"/>
        <v>661</v>
      </c>
      <c r="AU103" s="849">
        <f>ROUND($AQ103/$G103*AE103,0)</f>
        <v>0</v>
      </c>
      <c r="AV103" s="849">
        <f>ROUND($AQ103/$G103*AH103,0)</f>
        <v>0</v>
      </c>
      <c r="AW103" s="2874">
        <f t="shared" si="35"/>
        <v>3302</v>
      </c>
      <c r="AX103" s="3143"/>
      <c r="BB103" s="267"/>
      <c r="BC103" s="4117">
        <v>0</v>
      </c>
      <c r="BD103" s="4117">
        <f t="shared" si="37"/>
        <v>0</v>
      </c>
    </row>
    <row r="104" spans="1:61" ht="76.5">
      <c r="A104" s="5973" t="s">
        <v>11138</v>
      </c>
      <c r="B104" s="908" t="s">
        <v>3861</v>
      </c>
      <c r="C104" s="1808">
        <v>1</v>
      </c>
      <c r="D104" s="1714" t="s">
        <v>3868</v>
      </c>
      <c r="E104" s="3044" t="s">
        <v>6387</v>
      </c>
      <c r="F104" s="1914">
        <v>42430</v>
      </c>
      <c r="G104" s="1607">
        <v>108.5</v>
      </c>
      <c r="H104" s="913" t="s">
        <v>3857</v>
      </c>
      <c r="I104" s="914" t="s">
        <v>1436</v>
      </c>
      <c r="J104" s="915" t="s">
        <v>1437</v>
      </c>
      <c r="K104" s="916">
        <v>43226</v>
      </c>
      <c r="L104" s="1709" t="s">
        <v>3858</v>
      </c>
      <c r="M104" s="1710" t="s">
        <v>3547</v>
      </c>
      <c r="N104" s="1709" t="s">
        <v>3859</v>
      </c>
      <c r="O104" s="1809" t="s">
        <v>3860</v>
      </c>
      <c r="P104" s="1717" t="s">
        <v>3862</v>
      </c>
      <c r="Q104" s="915" t="s">
        <v>2544</v>
      </c>
      <c r="R104" s="915" t="s">
        <v>1443</v>
      </c>
      <c r="S104" s="1810" t="s">
        <v>3863</v>
      </c>
      <c r="T104" s="1811">
        <v>138</v>
      </c>
      <c r="U104" s="920">
        <v>0</v>
      </c>
      <c r="V104" s="921">
        <f t="shared" si="33"/>
        <v>138</v>
      </c>
      <c r="W104" s="919">
        <v>0</v>
      </c>
      <c r="X104" s="920">
        <v>0</v>
      </c>
      <c r="Y104" s="921">
        <f t="shared" si="41"/>
        <v>0</v>
      </c>
      <c r="Z104" s="919">
        <v>1733</v>
      </c>
      <c r="AA104" s="920">
        <v>0</v>
      </c>
      <c r="AB104" s="921">
        <f t="shared" si="34"/>
        <v>1733</v>
      </c>
      <c r="AC104" s="820"/>
      <c r="AD104" s="821"/>
      <c r="AE104" s="822"/>
      <c r="AF104" s="820"/>
      <c r="AG104" s="821"/>
      <c r="AH104" s="822"/>
      <c r="AI104" s="922">
        <f t="shared" si="38"/>
        <v>1871</v>
      </c>
      <c r="AJ104" s="920">
        <f t="shared" si="39"/>
        <v>0</v>
      </c>
      <c r="AK104" s="3907">
        <v>0</v>
      </c>
      <c r="AL104" s="923">
        <f t="shared" si="40"/>
        <v>1871</v>
      </c>
      <c r="AM104" s="1605" t="s">
        <v>1061</v>
      </c>
      <c r="AN104" s="3364">
        <v>42538</v>
      </c>
      <c r="AO104" s="3365">
        <v>1181502</v>
      </c>
      <c r="AP104" s="3366">
        <v>42430</v>
      </c>
      <c r="AQ104" s="3367">
        <v>108.5</v>
      </c>
      <c r="AR104" s="924">
        <f t="shared" si="44"/>
        <v>138</v>
      </c>
      <c r="AS104" s="925">
        <f t="shared" si="42"/>
        <v>0</v>
      </c>
      <c r="AT104" s="925">
        <f t="shared" si="43"/>
        <v>1733</v>
      </c>
      <c r="AU104" s="849"/>
      <c r="AV104" s="849"/>
      <c r="AW104" s="2874">
        <f t="shared" si="35"/>
        <v>1871</v>
      </c>
      <c r="AX104" s="3143"/>
      <c r="BB104" s="267"/>
      <c r="BC104" s="4117">
        <f t="shared" ref="BC104:BC114" si="45">ROUND($AJ104*$AQ104/$G104,0)</f>
        <v>0</v>
      </c>
      <c r="BD104" s="4117">
        <f t="shared" si="37"/>
        <v>0</v>
      </c>
    </row>
    <row r="105" spans="1:61" ht="63.75">
      <c r="A105" s="5973" t="s">
        <v>11138</v>
      </c>
      <c r="B105" s="908" t="s">
        <v>2949</v>
      </c>
      <c r="C105" s="909">
        <v>0</v>
      </c>
      <c r="D105" s="910">
        <v>42520</v>
      </c>
      <c r="E105" s="3044" t="s">
        <v>6387</v>
      </c>
      <c r="F105" s="1914">
        <v>42430</v>
      </c>
      <c r="G105" s="1607">
        <v>108.5</v>
      </c>
      <c r="H105" s="913" t="s">
        <v>3821</v>
      </c>
      <c r="I105" s="914" t="s">
        <v>1330</v>
      </c>
      <c r="J105" s="915" t="s">
        <v>1445</v>
      </c>
      <c r="K105" s="916">
        <v>43250</v>
      </c>
      <c r="L105" s="914" t="s">
        <v>2596</v>
      </c>
      <c r="M105" s="915" t="s">
        <v>3822</v>
      </c>
      <c r="N105" s="914" t="s">
        <v>3823</v>
      </c>
      <c r="O105" s="913" t="s">
        <v>3824</v>
      </c>
      <c r="P105" s="1018"/>
      <c r="Q105" s="915" t="s">
        <v>3825</v>
      </c>
      <c r="R105" s="915" t="s">
        <v>3826</v>
      </c>
      <c r="S105" s="918" t="s">
        <v>3827</v>
      </c>
      <c r="T105" s="919">
        <v>138</v>
      </c>
      <c r="U105" s="920">
        <v>0</v>
      </c>
      <c r="V105" s="921">
        <f t="shared" si="33"/>
        <v>138</v>
      </c>
      <c r="W105" s="919">
        <v>0</v>
      </c>
      <c r="X105" s="920">
        <v>0</v>
      </c>
      <c r="Y105" s="921">
        <f t="shared" si="41"/>
        <v>0</v>
      </c>
      <c r="Z105" s="919">
        <v>1238</v>
      </c>
      <c r="AA105" s="920">
        <v>0</v>
      </c>
      <c r="AB105" s="921">
        <f t="shared" si="34"/>
        <v>1238</v>
      </c>
      <c r="AC105" s="820"/>
      <c r="AD105" s="821"/>
      <c r="AE105" s="822"/>
      <c r="AF105" s="820"/>
      <c r="AG105" s="821"/>
      <c r="AH105" s="822"/>
      <c r="AI105" s="922">
        <f t="shared" si="38"/>
        <v>1376</v>
      </c>
      <c r="AJ105" s="920">
        <f t="shared" si="39"/>
        <v>0</v>
      </c>
      <c r="AK105" s="3907">
        <v>0</v>
      </c>
      <c r="AL105" s="923">
        <f t="shared" si="40"/>
        <v>1376</v>
      </c>
      <c r="AM105" s="3430" t="s">
        <v>1061</v>
      </c>
      <c r="AN105" s="3364">
        <v>42548</v>
      </c>
      <c r="AO105" s="3365">
        <v>1181655</v>
      </c>
      <c r="AP105" s="3366">
        <v>42430</v>
      </c>
      <c r="AQ105" s="3367">
        <v>108.5</v>
      </c>
      <c r="AR105" s="924">
        <f t="shared" si="44"/>
        <v>138</v>
      </c>
      <c r="AS105" s="925">
        <f t="shared" si="42"/>
        <v>0</v>
      </c>
      <c r="AT105" s="925">
        <f t="shared" si="43"/>
        <v>1238</v>
      </c>
      <c r="AU105" s="849"/>
      <c r="AV105" s="849"/>
      <c r="AW105" s="2874">
        <f t="shared" si="35"/>
        <v>1376</v>
      </c>
      <c r="AX105" s="3143"/>
      <c r="BB105" s="267"/>
      <c r="BC105" s="4117">
        <f t="shared" si="45"/>
        <v>0</v>
      </c>
      <c r="BD105" s="4117">
        <f t="shared" si="37"/>
        <v>0</v>
      </c>
    </row>
    <row r="106" spans="1:61" ht="68.25" customHeight="1">
      <c r="A106" s="5979" t="s">
        <v>11139</v>
      </c>
      <c r="B106" s="908" t="s">
        <v>2951</v>
      </c>
      <c r="C106" s="909">
        <v>0</v>
      </c>
      <c r="D106" s="1812">
        <v>42538</v>
      </c>
      <c r="E106" s="3048" t="s">
        <v>6387</v>
      </c>
      <c r="F106" s="911">
        <v>41821</v>
      </c>
      <c r="G106" s="1218">
        <v>1</v>
      </c>
      <c r="H106" s="913" t="s">
        <v>3869</v>
      </c>
      <c r="I106" s="914" t="s">
        <v>1433</v>
      </c>
      <c r="J106" s="915" t="s">
        <v>1434</v>
      </c>
      <c r="K106" s="916">
        <v>43999</v>
      </c>
      <c r="L106" s="914" t="s">
        <v>3870</v>
      </c>
      <c r="M106" s="915" t="s">
        <v>3621</v>
      </c>
      <c r="N106" s="914" t="s">
        <v>3871</v>
      </c>
      <c r="O106" s="913" t="s">
        <v>3872</v>
      </c>
      <c r="P106" s="1018" t="s">
        <v>3875</v>
      </c>
      <c r="Q106" s="915" t="s">
        <v>3874</v>
      </c>
      <c r="R106" s="915" t="s">
        <v>3873</v>
      </c>
      <c r="S106" s="918"/>
      <c r="T106" s="919">
        <v>1131</v>
      </c>
      <c r="U106" s="920">
        <v>0</v>
      </c>
      <c r="V106" s="921">
        <f t="shared" si="33"/>
        <v>1131</v>
      </c>
      <c r="W106" s="919">
        <v>200</v>
      </c>
      <c r="X106" s="920">
        <v>0</v>
      </c>
      <c r="Y106" s="921">
        <f t="shared" si="41"/>
        <v>200</v>
      </c>
      <c r="Z106" s="919">
        <v>0</v>
      </c>
      <c r="AA106" s="920">
        <v>0</v>
      </c>
      <c r="AB106" s="921">
        <f t="shared" si="34"/>
        <v>0</v>
      </c>
      <c r="AC106" s="820"/>
      <c r="AD106" s="821"/>
      <c r="AE106" s="822"/>
      <c r="AF106" s="820"/>
      <c r="AG106" s="821"/>
      <c r="AH106" s="822"/>
      <c r="AI106" s="922">
        <f t="shared" si="38"/>
        <v>1331</v>
      </c>
      <c r="AJ106" s="920">
        <f t="shared" si="39"/>
        <v>0</v>
      </c>
      <c r="AK106" s="3907">
        <v>0</v>
      </c>
      <c r="AL106" s="923">
        <f t="shared" si="40"/>
        <v>1331</v>
      </c>
      <c r="AM106" s="1605" t="s">
        <v>3877</v>
      </c>
      <c r="AN106" s="3364">
        <v>42549</v>
      </c>
      <c r="AO106" s="3365">
        <v>1181720</v>
      </c>
      <c r="AP106" s="3366">
        <v>41821</v>
      </c>
      <c r="AQ106" s="3367">
        <v>1</v>
      </c>
      <c r="AR106" s="924">
        <f t="shared" si="44"/>
        <v>1131</v>
      </c>
      <c r="AS106" s="925">
        <f t="shared" si="42"/>
        <v>200</v>
      </c>
      <c r="AT106" s="925">
        <f t="shared" si="43"/>
        <v>0</v>
      </c>
      <c r="AU106" s="849"/>
      <c r="AV106" s="849"/>
      <c r="AW106" s="2874">
        <f t="shared" si="35"/>
        <v>1331</v>
      </c>
      <c r="AX106" s="3143"/>
      <c r="BB106" s="267"/>
      <c r="BC106" s="4117">
        <f t="shared" si="45"/>
        <v>0</v>
      </c>
      <c r="BD106" s="4117">
        <f t="shared" si="37"/>
        <v>0</v>
      </c>
    </row>
    <row r="107" spans="1:61" s="307" customFormat="1" ht="64.5" thickBot="1">
      <c r="A107" s="5990" t="s">
        <v>11139</v>
      </c>
      <c r="B107" s="4410" t="s">
        <v>3443</v>
      </c>
      <c r="C107" s="4411" t="s">
        <v>1432</v>
      </c>
      <c r="D107" s="4412">
        <v>41163</v>
      </c>
      <c r="E107" s="4412" t="s">
        <v>6390</v>
      </c>
      <c r="F107" s="4463">
        <v>41061</v>
      </c>
      <c r="G107" s="4464">
        <v>1</v>
      </c>
      <c r="H107" s="4415" t="s">
        <v>1522</v>
      </c>
      <c r="I107" s="4416" t="s">
        <v>1433</v>
      </c>
      <c r="J107" s="4417" t="s">
        <v>1434</v>
      </c>
      <c r="K107" s="4418">
        <v>42619</v>
      </c>
      <c r="L107" s="4416" t="s">
        <v>1814</v>
      </c>
      <c r="M107" s="4417" t="s">
        <v>1810</v>
      </c>
      <c r="N107" s="4416" t="s">
        <v>2830</v>
      </c>
      <c r="O107" s="4415" t="s">
        <v>2831</v>
      </c>
      <c r="P107" s="4419" t="s">
        <v>3508</v>
      </c>
      <c r="Q107" s="4417" t="s">
        <v>1660</v>
      </c>
      <c r="R107" s="4417" t="s">
        <v>1523</v>
      </c>
      <c r="S107" s="4465" t="s">
        <v>7227</v>
      </c>
      <c r="T107" s="4421">
        <v>576</v>
      </c>
      <c r="U107" s="4422">
        <v>0</v>
      </c>
      <c r="V107" s="4423">
        <f t="shared" si="33"/>
        <v>576</v>
      </c>
      <c r="W107" s="4421">
        <v>102</v>
      </c>
      <c r="X107" s="4422">
        <v>0</v>
      </c>
      <c r="Y107" s="4423">
        <f t="shared" si="41"/>
        <v>102</v>
      </c>
      <c r="Z107" s="4421">
        <v>42</v>
      </c>
      <c r="AA107" s="4422">
        <v>0</v>
      </c>
      <c r="AB107" s="4423">
        <f t="shared" si="34"/>
        <v>42</v>
      </c>
      <c r="AC107" s="3736"/>
      <c r="AD107" s="4451"/>
      <c r="AE107" s="4452"/>
      <c r="AF107" s="3736"/>
      <c r="AG107" s="4451"/>
      <c r="AH107" s="4452"/>
      <c r="AI107" s="4424">
        <f t="shared" si="38"/>
        <v>720</v>
      </c>
      <c r="AJ107" s="4422">
        <f t="shared" si="39"/>
        <v>0</v>
      </c>
      <c r="AK107" s="4425">
        <v>0</v>
      </c>
      <c r="AL107" s="4426">
        <f t="shared" si="40"/>
        <v>720</v>
      </c>
      <c r="AM107" s="4450" t="s">
        <v>1061</v>
      </c>
      <c r="AN107" s="4428" t="s">
        <v>3878</v>
      </c>
      <c r="AO107" s="4429">
        <v>118803</v>
      </c>
      <c r="AP107" s="4430" t="s">
        <v>3005</v>
      </c>
      <c r="AQ107" s="4431">
        <v>1</v>
      </c>
      <c r="AR107" s="4432">
        <f t="shared" si="44"/>
        <v>576</v>
      </c>
      <c r="AS107" s="4433">
        <f t="shared" si="42"/>
        <v>102</v>
      </c>
      <c r="AT107" s="4433">
        <f t="shared" si="43"/>
        <v>42</v>
      </c>
      <c r="AU107" s="4453"/>
      <c r="AV107" s="4453"/>
      <c r="AW107" s="4434">
        <f t="shared" si="35"/>
        <v>720</v>
      </c>
      <c r="AX107" s="4435" t="s">
        <v>3000</v>
      </c>
      <c r="AY107" s="743" t="s">
        <v>3845</v>
      </c>
      <c r="AZ107" s="1680">
        <f>SUM(AW103:AW107)</f>
        <v>8600</v>
      </c>
      <c r="BA107" s="1681">
        <f>AZ107-BB107</f>
        <v>8600</v>
      </c>
      <c r="BB107" s="929">
        <f>SUM(AU103:AV107)</f>
        <v>0</v>
      </c>
      <c r="BC107" s="4118">
        <f t="shared" si="45"/>
        <v>0</v>
      </c>
      <c r="BD107" s="4118">
        <f t="shared" si="37"/>
        <v>0</v>
      </c>
      <c r="BE107" s="4112"/>
      <c r="BF107" s="4523">
        <f>SUM(BA52:BA107)</f>
        <v>1243092.82</v>
      </c>
      <c r="BG107" s="4518">
        <f>SUM(BC52:BC107)</f>
        <v>27292</v>
      </c>
      <c r="BH107" s="4518">
        <f>SUM(BD52:BD107)</f>
        <v>0</v>
      </c>
      <c r="BI107" s="4527">
        <f>SUM(BE52:BE107)</f>
        <v>-19261</v>
      </c>
    </row>
    <row r="108" spans="1:61" ht="63.75">
      <c r="A108" s="5966" t="s">
        <v>11139</v>
      </c>
      <c r="B108" s="4454" t="s">
        <v>7217</v>
      </c>
      <c r="C108" s="4455">
        <v>1</v>
      </c>
      <c r="D108" s="4456" t="s">
        <v>2593</v>
      </c>
      <c r="E108" s="4456" t="s">
        <v>6383</v>
      </c>
      <c r="F108" s="4457">
        <v>41821</v>
      </c>
      <c r="G108" s="4458">
        <v>1</v>
      </c>
      <c r="H108" s="4459" t="s">
        <v>2573</v>
      </c>
      <c r="I108" s="833" t="s">
        <v>1433</v>
      </c>
      <c r="J108" s="834" t="s">
        <v>1434</v>
      </c>
      <c r="K108" s="835">
        <v>43376</v>
      </c>
      <c r="L108" s="4460" t="s">
        <v>3498</v>
      </c>
      <c r="M108" s="834" t="s">
        <v>2574</v>
      </c>
      <c r="N108" s="833" t="s">
        <v>2575</v>
      </c>
      <c r="O108" s="832" t="s">
        <v>2576</v>
      </c>
      <c r="P108" s="836" t="s">
        <v>7259</v>
      </c>
      <c r="Q108" s="834" t="s">
        <v>2577</v>
      </c>
      <c r="R108" s="834" t="s">
        <v>2578</v>
      </c>
      <c r="S108" s="4461" t="s">
        <v>3501</v>
      </c>
      <c r="T108" s="838">
        <v>20563</v>
      </c>
      <c r="U108" s="839">
        <f>T108</f>
        <v>20563</v>
      </c>
      <c r="V108" s="840">
        <f t="shared" si="33"/>
        <v>0</v>
      </c>
      <c r="W108" s="838">
        <v>3629</v>
      </c>
      <c r="X108" s="839">
        <f>W108</f>
        <v>3629</v>
      </c>
      <c r="Y108" s="840">
        <f t="shared" si="41"/>
        <v>0</v>
      </c>
      <c r="Z108" s="838">
        <v>7550</v>
      </c>
      <c r="AA108" s="839">
        <f>Z108</f>
        <v>7550</v>
      </c>
      <c r="AB108" s="840">
        <f t="shared" si="34"/>
        <v>0</v>
      </c>
      <c r="AC108" s="838"/>
      <c r="AD108" s="839"/>
      <c r="AE108" s="840"/>
      <c r="AF108" s="838"/>
      <c r="AG108" s="839"/>
      <c r="AH108" s="840"/>
      <c r="AI108" s="841">
        <f t="shared" ref="AI108:AI117" si="46">T108+W108+Z108+AC108+AF108</f>
        <v>31742</v>
      </c>
      <c r="AJ108" s="839">
        <f t="shared" ref="AJ108:AJ117" si="47">U108+X108+AA108+AD108+AG108</f>
        <v>31742</v>
      </c>
      <c r="AK108" s="3906"/>
      <c r="AL108" s="869">
        <f t="shared" si="40"/>
        <v>0</v>
      </c>
      <c r="AM108" s="4462" t="s">
        <v>7273</v>
      </c>
      <c r="AN108" s="842"/>
      <c r="AO108" s="843"/>
      <c r="AP108" s="844"/>
      <c r="AQ108" s="845"/>
      <c r="AR108" s="846">
        <f t="shared" si="44"/>
        <v>0</v>
      </c>
      <c r="AS108" s="847">
        <f t="shared" si="42"/>
        <v>0</v>
      </c>
      <c r="AT108" s="847">
        <f t="shared" si="43"/>
        <v>0</v>
      </c>
      <c r="AU108" s="848"/>
      <c r="AV108" s="848"/>
      <c r="AW108" s="871">
        <f t="shared" si="35"/>
        <v>0</v>
      </c>
      <c r="AX108" s="2891"/>
      <c r="BA108" s="267"/>
      <c r="BB108" s="267"/>
      <c r="BC108" s="4117">
        <f t="shared" si="45"/>
        <v>0</v>
      </c>
      <c r="BD108" s="4117">
        <f t="shared" si="37"/>
        <v>0</v>
      </c>
    </row>
    <row r="109" spans="1:61" ht="63.75">
      <c r="A109" s="2418" t="s">
        <v>11139</v>
      </c>
      <c r="B109" s="4056" t="s">
        <v>7215</v>
      </c>
      <c r="C109" s="4057">
        <v>0</v>
      </c>
      <c r="D109" s="4058">
        <v>42272</v>
      </c>
      <c r="E109" s="4059" t="s">
        <v>6384</v>
      </c>
      <c r="F109" s="4060">
        <v>41821</v>
      </c>
      <c r="G109" s="4061">
        <v>1</v>
      </c>
      <c r="H109" s="4062" t="s">
        <v>3314</v>
      </c>
      <c r="I109" s="339" t="s">
        <v>3309</v>
      </c>
      <c r="J109" s="322" t="s">
        <v>1434</v>
      </c>
      <c r="K109" s="340">
        <v>43733</v>
      </c>
      <c r="L109" s="4063" t="s">
        <v>3315</v>
      </c>
      <c r="M109" s="322" t="s">
        <v>3316</v>
      </c>
      <c r="N109" s="339" t="s">
        <v>3317</v>
      </c>
      <c r="O109" s="332" t="s">
        <v>3318</v>
      </c>
      <c r="P109" s="345" t="s">
        <v>7260</v>
      </c>
      <c r="Q109" s="322" t="s">
        <v>3319</v>
      </c>
      <c r="R109" s="322" t="s">
        <v>3320</v>
      </c>
      <c r="S109" s="4055" t="s">
        <v>3321</v>
      </c>
      <c r="T109" s="347">
        <v>6426</v>
      </c>
      <c r="U109" s="326">
        <v>6426</v>
      </c>
      <c r="V109" s="348">
        <f t="shared" si="33"/>
        <v>0</v>
      </c>
      <c r="W109" s="347">
        <v>1134</v>
      </c>
      <c r="X109" s="326">
        <v>1134</v>
      </c>
      <c r="Y109" s="348">
        <f t="shared" si="41"/>
        <v>0</v>
      </c>
      <c r="Z109" s="347">
        <v>960</v>
      </c>
      <c r="AA109" s="326">
        <v>960</v>
      </c>
      <c r="AB109" s="348">
        <f t="shared" si="34"/>
        <v>0</v>
      </c>
      <c r="AC109" s="820"/>
      <c r="AD109" s="821"/>
      <c r="AE109" s="822"/>
      <c r="AF109" s="820"/>
      <c r="AG109" s="821"/>
      <c r="AH109" s="822"/>
      <c r="AI109" s="482">
        <f t="shared" si="46"/>
        <v>8520</v>
      </c>
      <c r="AJ109" s="326">
        <f t="shared" si="47"/>
        <v>8520</v>
      </c>
      <c r="AK109" s="3899"/>
      <c r="AL109" s="349">
        <f t="shared" si="40"/>
        <v>0</v>
      </c>
      <c r="AM109" s="337" t="s">
        <v>7273</v>
      </c>
      <c r="AN109" s="327"/>
      <c r="AO109" s="328"/>
      <c r="AP109" s="329"/>
      <c r="AQ109" s="336"/>
      <c r="AR109" s="333">
        <f t="shared" si="44"/>
        <v>0</v>
      </c>
      <c r="AS109" s="330">
        <f t="shared" si="42"/>
        <v>0</v>
      </c>
      <c r="AT109" s="330">
        <f t="shared" si="43"/>
        <v>0</v>
      </c>
      <c r="AU109" s="849"/>
      <c r="AV109" s="849"/>
      <c r="AW109" s="826">
        <f t="shared" si="35"/>
        <v>0</v>
      </c>
      <c r="AX109" s="3882"/>
      <c r="BA109" s="267"/>
      <c r="BB109" s="267"/>
      <c r="BC109" s="4117">
        <f t="shared" si="45"/>
        <v>0</v>
      </c>
      <c r="BD109" s="4117">
        <f t="shared" si="37"/>
        <v>0</v>
      </c>
    </row>
    <row r="110" spans="1:61" ht="51.75" thickBot="1">
      <c r="A110" s="5991" t="s">
        <v>11139</v>
      </c>
      <c r="B110" s="4038" t="s">
        <v>2947</v>
      </c>
      <c r="C110" s="4039">
        <v>0</v>
      </c>
      <c r="D110" s="3792">
        <v>42487</v>
      </c>
      <c r="E110" s="3792" t="s">
        <v>6387</v>
      </c>
      <c r="F110" s="3793">
        <v>41821</v>
      </c>
      <c r="G110" s="4040">
        <v>1</v>
      </c>
      <c r="H110" s="4041" t="s">
        <v>3897</v>
      </c>
      <c r="I110" s="4042" t="s">
        <v>1436</v>
      </c>
      <c r="J110" s="4043" t="s">
        <v>1437</v>
      </c>
      <c r="K110" s="4044">
        <v>43948</v>
      </c>
      <c r="L110" s="4042" t="s">
        <v>3760</v>
      </c>
      <c r="M110" s="4043" t="s">
        <v>3547</v>
      </c>
      <c r="N110" s="4042" t="s">
        <v>3761</v>
      </c>
      <c r="O110" s="4041" t="s">
        <v>3762</v>
      </c>
      <c r="P110" s="4045"/>
      <c r="Q110" s="4043" t="s">
        <v>2544</v>
      </c>
      <c r="R110" s="4043" t="s">
        <v>1443</v>
      </c>
      <c r="S110" s="4046"/>
      <c r="T110" s="1268">
        <v>6720</v>
      </c>
      <c r="U110" s="1269">
        <v>0</v>
      </c>
      <c r="V110" s="1270">
        <f t="shared" si="33"/>
        <v>6720</v>
      </c>
      <c r="W110" s="1268">
        <v>8400</v>
      </c>
      <c r="X110" s="1269">
        <v>0</v>
      </c>
      <c r="Y110" s="1270">
        <f t="shared" si="41"/>
        <v>8400</v>
      </c>
      <c r="Z110" s="1268">
        <v>1680</v>
      </c>
      <c r="AA110" s="1269">
        <v>0</v>
      </c>
      <c r="AB110" s="1270">
        <f t="shared" si="34"/>
        <v>1680</v>
      </c>
      <c r="AC110" s="1271"/>
      <c r="AD110" s="1272"/>
      <c r="AE110" s="1273"/>
      <c r="AF110" s="1271"/>
      <c r="AG110" s="1272"/>
      <c r="AH110" s="1273"/>
      <c r="AI110" s="1274">
        <f t="shared" si="46"/>
        <v>16800</v>
      </c>
      <c r="AJ110" s="1269">
        <f t="shared" si="47"/>
        <v>0</v>
      </c>
      <c r="AK110" s="3910">
        <v>0</v>
      </c>
      <c r="AL110" s="1275">
        <f t="shared" si="40"/>
        <v>16800</v>
      </c>
      <c r="AM110" s="4047" t="s">
        <v>1061</v>
      </c>
      <c r="AN110" s="3385">
        <v>42571</v>
      </c>
      <c r="AO110" s="3386">
        <v>1182255</v>
      </c>
      <c r="AP110" s="3387">
        <v>41821</v>
      </c>
      <c r="AQ110" s="3388">
        <v>1</v>
      </c>
      <c r="AR110" s="1276">
        <f t="shared" si="44"/>
        <v>6720</v>
      </c>
      <c r="AS110" s="1277">
        <f t="shared" si="42"/>
        <v>8400</v>
      </c>
      <c r="AT110" s="1277">
        <f t="shared" si="43"/>
        <v>1680</v>
      </c>
      <c r="AU110" s="1278"/>
      <c r="AV110" s="1278"/>
      <c r="AW110" s="2877">
        <f t="shared" si="35"/>
        <v>16800</v>
      </c>
      <c r="AX110" s="2901"/>
      <c r="AY110" s="764" t="s">
        <v>3903</v>
      </c>
      <c r="AZ110" s="1662">
        <f>SUM(AW108:AW110)</f>
        <v>16800</v>
      </c>
      <c r="BA110" s="1663">
        <f>AZ110-BB110</f>
        <v>16800</v>
      </c>
      <c r="BB110" s="884">
        <f>SUM(AU108:AV110)</f>
        <v>0</v>
      </c>
      <c r="BC110" s="4117">
        <f t="shared" si="45"/>
        <v>0</v>
      </c>
      <c r="BD110" s="4117">
        <f t="shared" si="37"/>
        <v>0</v>
      </c>
    </row>
    <row r="111" spans="1:61" ht="63.75">
      <c r="A111" s="5977" t="s">
        <v>11139</v>
      </c>
      <c r="B111" s="546" t="s">
        <v>3876</v>
      </c>
      <c r="C111" s="547">
        <v>0</v>
      </c>
      <c r="D111" s="548">
        <v>42489</v>
      </c>
      <c r="E111" s="548" t="s">
        <v>6387</v>
      </c>
      <c r="F111" s="549">
        <v>41821</v>
      </c>
      <c r="G111" s="1303">
        <v>1</v>
      </c>
      <c r="H111" s="550" t="s">
        <v>3763</v>
      </c>
      <c r="I111" s="551" t="s">
        <v>1433</v>
      </c>
      <c r="J111" s="552" t="s">
        <v>1434</v>
      </c>
      <c r="K111" s="1864" t="s">
        <v>3764</v>
      </c>
      <c r="L111" s="551" t="s">
        <v>3765</v>
      </c>
      <c r="M111" s="552" t="s">
        <v>3362</v>
      </c>
      <c r="N111" s="551" t="s">
        <v>3766</v>
      </c>
      <c r="O111" s="550" t="s">
        <v>3767</v>
      </c>
      <c r="P111" s="554" t="s">
        <v>3769</v>
      </c>
      <c r="Q111" s="552" t="s">
        <v>3768</v>
      </c>
      <c r="R111" s="552"/>
      <c r="S111" s="555"/>
      <c r="T111" s="556">
        <v>14552</v>
      </c>
      <c r="U111" s="557">
        <v>0</v>
      </c>
      <c r="V111" s="558">
        <f t="shared" si="33"/>
        <v>14552</v>
      </c>
      <c r="W111" s="556">
        <v>2568</v>
      </c>
      <c r="X111" s="557">
        <v>0</v>
      </c>
      <c r="Y111" s="558">
        <f t="shared" si="41"/>
        <v>2568</v>
      </c>
      <c r="Z111" s="556">
        <v>7750</v>
      </c>
      <c r="AA111" s="557">
        <v>0</v>
      </c>
      <c r="AB111" s="558">
        <f t="shared" si="34"/>
        <v>7750</v>
      </c>
      <c r="AC111" s="823"/>
      <c r="AD111" s="824"/>
      <c r="AE111" s="825"/>
      <c r="AF111" s="823"/>
      <c r="AG111" s="824"/>
      <c r="AH111" s="825"/>
      <c r="AI111" s="559">
        <f t="shared" si="46"/>
        <v>24870</v>
      </c>
      <c r="AJ111" s="557">
        <f t="shared" si="47"/>
        <v>0</v>
      </c>
      <c r="AK111" s="3900">
        <v>0</v>
      </c>
      <c r="AL111" s="561">
        <f t="shared" si="40"/>
        <v>24870</v>
      </c>
      <c r="AM111" s="3434" t="s">
        <v>1061</v>
      </c>
      <c r="AN111" s="682">
        <v>42583</v>
      </c>
      <c r="AO111" s="683">
        <v>1182906</v>
      </c>
      <c r="AP111" s="684">
        <v>41821</v>
      </c>
      <c r="AQ111" s="685">
        <v>1</v>
      </c>
      <c r="AR111" s="562">
        <f t="shared" si="44"/>
        <v>14552</v>
      </c>
      <c r="AS111" s="563">
        <f t="shared" si="42"/>
        <v>2568</v>
      </c>
      <c r="AT111" s="563">
        <f t="shared" si="43"/>
        <v>7750</v>
      </c>
      <c r="AU111" s="848"/>
      <c r="AV111" s="848"/>
      <c r="AW111" s="2866">
        <f t="shared" si="35"/>
        <v>24870</v>
      </c>
      <c r="AX111" s="2887"/>
      <c r="BC111" s="4117">
        <f t="shared" si="45"/>
        <v>0</v>
      </c>
      <c r="BD111" s="4117">
        <f t="shared" si="37"/>
        <v>0</v>
      </c>
    </row>
    <row r="112" spans="1:61" ht="25.5">
      <c r="A112" s="5973" t="s">
        <v>11138</v>
      </c>
      <c r="B112" s="1863" t="s">
        <v>3969</v>
      </c>
      <c r="C112" s="909">
        <v>0</v>
      </c>
      <c r="D112" s="910">
        <v>41793</v>
      </c>
      <c r="E112" s="3044" t="s">
        <v>6383</v>
      </c>
      <c r="F112" s="1914" t="s">
        <v>3982</v>
      </c>
      <c r="G112" s="1607">
        <v>98.6</v>
      </c>
      <c r="H112" s="913" t="s">
        <v>3970</v>
      </c>
      <c r="I112" s="1709" t="s">
        <v>1433</v>
      </c>
      <c r="J112" s="1710" t="s">
        <v>1434</v>
      </c>
      <c r="K112" s="1711">
        <v>42706</v>
      </c>
      <c r="L112" s="914" t="s">
        <v>475</v>
      </c>
      <c r="M112" s="915" t="s">
        <v>3971</v>
      </c>
      <c r="N112" s="914" t="s">
        <v>1346</v>
      </c>
      <c r="O112" s="913" t="s">
        <v>3972</v>
      </c>
      <c r="P112" s="1018" t="s">
        <v>3973</v>
      </c>
      <c r="Q112" s="915" t="s">
        <v>3974</v>
      </c>
      <c r="R112" s="915" t="s">
        <v>3975</v>
      </c>
      <c r="S112" s="918"/>
      <c r="T112" s="919">
        <v>4176</v>
      </c>
      <c r="U112" s="920">
        <v>0</v>
      </c>
      <c r="V112" s="921">
        <f t="shared" si="33"/>
        <v>4176</v>
      </c>
      <c r="W112" s="919">
        <v>0</v>
      </c>
      <c r="X112" s="920">
        <v>0</v>
      </c>
      <c r="Y112" s="921">
        <f t="shared" si="41"/>
        <v>0</v>
      </c>
      <c r="Z112" s="919">
        <v>64296</v>
      </c>
      <c r="AA112" s="920">
        <v>0</v>
      </c>
      <c r="AB112" s="921">
        <f t="shared" si="34"/>
        <v>64296</v>
      </c>
      <c r="AC112" s="820"/>
      <c r="AD112" s="821"/>
      <c r="AE112" s="822"/>
      <c r="AF112" s="820"/>
      <c r="AG112" s="821"/>
      <c r="AH112" s="822"/>
      <c r="AI112" s="922">
        <f t="shared" si="46"/>
        <v>68472</v>
      </c>
      <c r="AJ112" s="920">
        <f t="shared" si="47"/>
        <v>0</v>
      </c>
      <c r="AK112" s="3907">
        <v>0</v>
      </c>
      <c r="AL112" s="923">
        <f t="shared" si="40"/>
        <v>68472</v>
      </c>
      <c r="AM112" s="1605" t="s">
        <v>1061</v>
      </c>
      <c r="AN112" s="3364">
        <v>42593</v>
      </c>
      <c r="AO112" s="3365">
        <v>1183739</v>
      </c>
      <c r="AP112" s="3366">
        <v>42522</v>
      </c>
      <c r="AQ112" s="3367">
        <v>109</v>
      </c>
      <c r="AR112" s="924">
        <v>4327</v>
      </c>
      <c r="AS112" s="925">
        <v>0</v>
      </c>
      <c r="AT112" s="925">
        <v>71078</v>
      </c>
      <c r="AU112" s="849"/>
      <c r="AV112" s="849"/>
      <c r="AW112" s="2874">
        <f t="shared" si="35"/>
        <v>75405</v>
      </c>
      <c r="AX112" s="3143"/>
      <c r="BB112" s="267"/>
      <c r="BC112" s="4117">
        <f t="shared" si="45"/>
        <v>0</v>
      </c>
      <c r="BD112" s="4117">
        <f t="shared" si="37"/>
        <v>0</v>
      </c>
    </row>
    <row r="113" spans="1:56" ht="38.25">
      <c r="A113" s="5973" t="s">
        <v>11138</v>
      </c>
      <c r="B113" s="1863" t="s">
        <v>3981</v>
      </c>
      <c r="C113" s="909">
        <v>0</v>
      </c>
      <c r="D113" s="910">
        <v>41620</v>
      </c>
      <c r="E113" s="3044" t="s">
        <v>6389</v>
      </c>
      <c r="F113" s="1914" t="s">
        <v>3982</v>
      </c>
      <c r="G113" s="1607">
        <v>98.6</v>
      </c>
      <c r="H113" s="913" t="s">
        <v>3983</v>
      </c>
      <c r="I113" s="1709" t="s">
        <v>1436</v>
      </c>
      <c r="J113" s="1710" t="s">
        <v>1437</v>
      </c>
      <c r="K113" s="1711">
        <v>43948</v>
      </c>
      <c r="L113" s="914" t="s">
        <v>53</v>
      </c>
      <c r="M113" s="915" t="s">
        <v>497</v>
      </c>
      <c r="N113" s="914" t="s">
        <v>3984</v>
      </c>
      <c r="O113" s="913" t="s">
        <v>305</v>
      </c>
      <c r="P113" s="1018" t="s">
        <v>3985</v>
      </c>
      <c r="Q113" s="915" t="s">
        <v>3987</v>
      </c>
      <c r="R113" s="915" t="s">
        <v>187</v>
      </c>
      <c r="S113" s="918"/>
      <c r="T113" s="919">
        <v>0</v>
      </c>
      <c r="U113" s="920">
        <v>0</v>
      </c>
      <c r="V113" s="921">
        <f t="shared" si="33"/>
        <v>0</v>
      </c>
      <c r="W113" s="919">
        <v>0</v>
      </c>
      <c r="X113" s="920">
        <v>0</v>
      </c>
      <c r="Y113" s="921">
        <f t="shared" si="41"/>
        <v>0</v>
      </c>
      <c r="Z113" s="919">
        <v>74448</v>
      </c>
      <c r="AA113" s="920">
        <v>0</v>
      </c>
      <c r="AB113" s="921">
        <f t="shared" si="34"/>
        <v>74448</v>
      </c>
      <c r="AC113" s="820"/>
      <c r="AD113" s="821"/>
      <c r="AE113" s="822"/>
      <c r="AF113" s="820"/>
      <c r="AG113" s="821"/>
      <c r="AH113" s="822"/>
      <c r="AI113" s="922">
        <f t="shared" si="46"/>
        <v>74448</v>
      </c>
      <c r="AJ113" s="920">
        <f t="shared" si="47"/>
        <v>0</v>
      </c>
      <c r="AK113" s="3907">
        <v>0</v>
      </c>
      <c r="AL113" s="923">
        <f t="shared" si="40"/>
        <v>74448</v>
      </c>
      <c r="AM113" s="1605" t="s">
        <v>1061</v>
      </c>
      <c r="AN113" s="3364">
        <v>42594</v>
      </c>
      <c r="AO113" s="3365">
        <v>1183792</v>
      </c>
      <c r="AP113" s="3366">
        <v>42522</v>
      </c>
      <c r="AQ113" s="3367">
        <v>109</v>
      </c>
      <c r="AR113" s="562">
        <f t="shared" ref="AR113:AR136" si="48">ROUND($AQ113/$G113*V113,0)</f>
        <v>0</v>
      </c>
      <c r="AS113" s="563">
        <f t="shared" ref="AS113:AS136" si="49">ROUND($AQ113/$G113*Y113,0)</f>
        <v>0</v>
      </c>
      <c r="AT113" s="563">
        <f t="shared" ref="AT113:AT148" si="50">ROUND($AQ113/$G113*AB113,0)</f>
        <v>82301</v>
      </c>
      <c r="AU113" s="849"/>
      <c r="AV113" s="849"/>
      <c r="AW113" s="2874">
        <f t="shared" si="35"/>
        <v>82301</v>
      </c>
      <c r="AX113" s="3143"/>
      <c r="BB113" s="267"/>
      <c r="BC113" s="4117">
        <f t="shared" si="45"/>
        <v>0</v>
      </c>
      <c r="BD113" s="4117">
        <f t="shared" si="37"/>
        <v>0</v>
      </c>
    </row>
    <row r="114" spans="1:56" ht="38.25">
      <c r="A114" s="5979" t="s">
        <v>11139</v>
      </c>
      <c r="B114" s="908" t="s">
        <v>2579</v>
      </c>
      <c r="C114" s="909">
        <v>0</v>
      </c>
      <c r="D114" s="910">
        <v>41978</v>
      </c>
      <c r="E114" s="3044" t="s">
        <v>6383</v>
      </c>
      <c r="F114" s="911">
        <v>41821</v>
      </c>
      <c r="G114" s="1218">
        <v>1</v>
      </c>
      <c r="H114" s="913" t="s">
        <v>2713</v>
      </c>
      <c r="I114" s="551" t="s">
        <v>1436</v>
      </c>
      <c r="J114" s="552" t="s">
        <v>2712</v>
      </c>
      <c r="K114" s="553">
        <v>43438</v>
      </c>
      <c r="L114" s="914" t="s">
        <v>53</v>
      </c>
      <c r="M114" s="915" t="s">
        <v>2709</v>
      </c>
      <c r="N114" s="914" t="s">
        <v>2710</v>
      </c>
      <c r="O114" s="913" t="s">
        <v>2711</v>
      </c>
      <c r="P114" s="1018"/>
      <c r="Q114" s="915" t="s">
        <v>2714</v>
      </c>
      <c r="R114" s="915" t="s">
        <v>2715</v>
      </c>
      <c r="S114" s="918"/>
      <c r="T114" s="919">
        <v>7168</v>
      </c>
      <c r="U114" s="920">
        <v>0</v>
      </c>
      <c r="V114" s="921">
        <f t="shared" si="33"/>
        <v>7168</v>
      </c>
      <c r="W114" s="919">
        <v>8960</v>
      </c>
      <c r="X114" s="920">
        <v>0</v>
      </c>
      <c r="Y114" s="921">
        <f t="shared" si="41"/>
        <v>8960</v>
      </c>
      <c r="Z114" s="919">
        <v>1792</v>
      </c>
      <c r="AA114" s="920">
        <v>0</v>
      </c>
      <c r="AB114" s="921">
        <f t="shared" si="34"/>
        <v>1792</v>
      </c>
      <c r="AC114" s="820"/>
      <c r="AD114" s="821"/>
      <c r="AE114" s="822"/>
      <c r="AF114" s="820"/>
      <c r="AG114" s="821"/>
      <c r="AH114" s="822"/>
      <c r="AI114" s="922">
        <f t="shared" si="46"/>
        <v>17920</v>
      </c>
      <c r="AJ114" s="920">
        <f t="shared" si="47"/>
        <v>0</v>
      </c>
      <c r="AK114" s="3907">
        <v>0</v>
      </c>
      <c r="AL114" s="923">
        <f t="shared" si="40"/>
        <v>17920</v>
      </c>
      <c r="AM114" s="1605" t="s">
        <v>1061</v>
      </c>
      <c r="AN114" s="3364">
        <v>42594</v>
      </c>
      <c r="AO114" s="3365">
        <v>1183793</v>
      </c>
      <c r="AP114" s="3366" t="s">
        <v>3988</v>
      </c>
      <c r="AQ114" s="3435">
        <v>1.0111000000000001</v>
      </c>
      <c r="AR114" s="924">
        <f t="shared" si="48"/>
        <v>7248</v>
      </c>
      <c r="AS114" s="925">
        <f t="shared" si="49"/>
        <v>9059</v>
      </c>
      <c r="AT114" s="925">
        <f t="shared" si="50"/>
        <v>1812</v>
      </c>
      <c r="AU114" s="849"/>
      <c r="AV114" s="849"/>
      <c r="AW114" s="2874">
        <f t="shared" si="35"/>
        <v>18119</v>
      </c>
      <c r="AX114" s="3143"/>
      <c r="AY114" s="2006"/>
      <c r="AZ114" s="1726"/>
      <c r="BA114" s="1727"/>
      <c r="BB114" s="1222"/>
      <c r="BC114" s="4117">
        <f t="shared" si="45"/>
        <v>0</v>
      </c>
      <c r="BD114" s="4117">
        <f t="shared" si="37"/>
        <v>0</v>
      </c>
    </row>
    <row r="115" spans="1:56" ht="178.5">
      <c r="A115" s="5973" t="s">
        <v>11138</v>
      </c>
      <c r="B115" s="908" t="s">
        <v>3552</v>
      </c>
      <c r="C115" s="909" t="s">
        <v>1439</v>
      </c>
      <c r="D115" s="910">
        <v>41155</v>
      </c>
      <c r="E115" s="3044" t="s">
        <v>6390</v>
      </c>
      <c r="F115" s="1914">
        <v>40603</v>
      </c>
      <c r="G115" s="1607">
        <v>98.6</v>
      </c>
      <c r="H115" s="913" t="s">
        <v>1515</v>
      </c>
      <c r="I115" s="914" t="s">
        <v>1433</v>
      </c>
      <c r="J115" s="915" t="s">
        <v>1434</v>
      </c>
      <c r="K115" s="916">
        <v>42599</v>
      </c>
      <c r="L115" s="914" t="s">
        <v>1854</v>
      </c>
      <c r="M115" s="915" t="s">
        <v>1832</v>
      </c>
      <c r="N115" s="914" t="s">
        <v>1516</v>
      </c>
      <c r="O115" s="913" t="s">
        <v>1657</v>
      </c>
      <c r="P115" s="1018"/>
      <c r="Q115" s="915" t="s">
        <v>1656</v>
      </c>
      <c r="R115" s="915" t="s">
        <v>1435</v>
      </c>
      <c r="S115" s="918" t="s">
        <v>2284</v>
      </c>
      <c r="T115" s="919">
        <v>105624</v>
      </c>
      <c r="U115" s="920">
        <v>0</v>
      </c>
      <c r="V115" s="921">
        <f t="shared" si="33"/>
        <v>105624</v>
      </c>
      <c r="W115" s="919">
        <v>176040</v>
      </c>
      <c r="X115" s="920">
        <v>0</v>
      </c>
      <c r="Y115" s="921">
        <f t="shared" si="41"/>
        <v>176040</v>
      </c>
      <c r="Z115" s="919">
        <v>70416</v>
      </c>
      <c r="AA115" s="920">
        <v>0</v>
      </c>
      <c r="AB115" s="921">
        <f t="shared" si="34"/>
        <v>70416</v>
      </c>
      <c r="AC115" s="820">
        <v>82368</v>
      </c>
      <c r="AD115" s="821">
        <v>55112</v>
      </c>
      <c r="AE115" s="822">
        <f>AC115-AD115</f>
        <v>27256</v>
      </c>
      <c r="AF115" s="820">
        <v>123552</v>
      </c>
      <c r="AG115" s="821">
        <v>93312</v>
      </c>
      <c r="AH115" s="822">
        <f>AF115-AG115</f>
        <v>30240</v>
      </c>
      <c r="AI115" s="922">
        <f t="shared" si="46"/>
        <v>558000</v>
      </c>
      <c r="AJ115" s="920">
        <f t="shared" si="47"/>
        <v>148424</v>
      </c>
      <c r="AK115" s="3907">
        <v>0</v>
      </c>
      <c r="AL115" s="923">
        <f t="shared" si="40"/>
        <v>409576</v>
      </c>
      <c r="AM115" s="3368" t="s">
        <v>1061</v>
      </c>
      <c r="AN115" s="3364">
        <v>42611</v>
      </c>
      <c r="AO115" s="3365">
        <v>1185095</v>
      </c>
      <c r="AP115" s="3366">
        <v>42522</v>
      </c>
      <c r="AQ115" s="3367">
        <v>109</v>
      </c>
      <c r="AR115" s="924">
        <f t="shared" si="48"/>
        <v>116765</v>
      </c>
      <c r="AS115" s="925">
        <f t="shared" si="49"/>
        <v>194608</v>
      </c>
      <c r="AT115" s="925">
        <f t="shared" si="50"/>
        <v>77843</v>
      </c>
      <c r="AU115" s="849"/>
      <c r="AV115" s="849"/>
      <c r="AW115" s="2874">
        <f t="shared" si="35"/>
        <v>389216</v>
      </c>
      <c r="AX115" s="3143" t="s">
        <v>7233</v>
      </c>
      <c r="BB115" s="267"/>
      <c r="BC115" s="4117">
        <v>0</v>
      </c>
      <c r="BD115" s="4117">
        <f t="shared" si="37"/>
        <v>0</v>
      </c>
    </row>
    <row r="116" spans="1:56" ht="90" thickBot="1">
      <c r="A116" s="5992" t="s">
        <v>11138</v>
      </c>
      <c r="B116" s="1682" t="s">
        <v>4031</v>
      </c>
      <c r="C116" s="1815">
        <v>0</v>
      </c>
      <c r="D116" s="1816">
        <v>42576</v>
      </c>
      <c r="E116" s="3042" t="s">
        <v>6387</v>
      </c>
      <c r="F116" s="1915">
        <v>42430</v>
      </c>
      <c r="G116" s="1916">
        <v>108.5</v>
      </c>
      <c r="H116" s="1817" t="s">
        <v>3931</v>
      </c>
      <c r="I116" s="1688" t="s">
        <v>1330</v>
      </c>
      <c r="J116" s="1818" t="s">
        <v>1445</v>
      </c>
      <c r="K116" s="1819">
        <v>43306</v>
      </c>
      <c r="L116" s="1688" t="s">
        <v>3932</v>
      </c>
      <c r="M116" s="1818" t="s">
        <v>3933</v>
      </c>
      <c r="N116" s="1688" t="s">
        <v>3823</v>
      </c>
      <c r="O116" s="1817" t="s">
        <v>3934</v>
      </c>
      <c r="P116" s="1917" t="s">
        <v>3939</v>
      </c>
      <c r="Q116" s="1818" t="s">
        <v>3936</v>
      </c>
      <c r="R116" s="1818" t="s">
        <v>3935</v>
      </c>
      <c r="S116" s="1918" t="s">
        <v>3964</v>
      </c>
      <c r="T116" s="1693">
        <v>3050</v>
      </c>
      <c r="U116" s="1820">
        <v>0</v>
      </c>
      <c r="V116" s="1821">
        <f t="shared" si="33"/>
        <v>3050</v>
      </c>
      <c r="W116" s="1693">
        <v>0</v>
      </c>
      <c r="X116" s="1820">
        <v>0</v>
      </c>
      <c r="Y116" s="1821">
        <f t="shared" si="41"/>
        <v>0</v>
      </c>
      <c r="Z116" s="1693">
        <v>27228</v>
      </c>
      <c r="AA116" s="1820">
        <v>0</v>
      </c>
      <c r="AB116" s="1821">
        <f t="shared" si="34"/>
        <v>27228</v>
      </c>
      <c r="AC116" s="1696"/>
      <c r="AD116" s="1786"/>
      <c r="AE116" s="1787"/>
      <c r="AF116" s="1696"/>
      <c r="AG116" s="1786"/>
      <c r="AH116" s="1787"/>
      <c r="AI116" s="1699">
        <f t="shared" si="46"/>
        <v>30278</v>
      </c>
      <c r="AJ116" s="1820">
        <f t="shared" si="47"/>
        <v>0</v>
      </c>
      <c r="AK116" s="3901">
        <v>0</v>
      </c>
      <c r="AL116" s="1822">
        <f t="shared" si="40"/>
        <v>30278</v>
      </c>
      <c r="AM116" s="3415" t="s">
        <v>4029</v>
      </c>
      <c r="AN116" s="3431">
        <v>42613</v>
      </c>
      <c r="AO116" s="3432">
        <v>1185195</v>
      </c>
      <c r="AP116" s="3433">
        <v>42430</v>
      </c>
      <c r="AQ116" s="3436">
        <v>108.5</v>
      </c>
      <c r="AR116" s="1701">
        <f t="shared" si="48"/>
        <v>3050</v>
      </c>
      <c r="AS116" s="1823">
        <f t="shared" si="49"/>
        <v>0</v>
      </c>
      <c r="AT116" s="1823">
        <f t="shared" si="50"/>
        <v>27228</v>
      </c>
      <c r="AU116" s="1792"/>
      <c r="AV116" s="1792"/>
      <c r="AW116" s="2867">
        <f t="shared" si="35"/>
        <v>30278</v>
      </c>
      <c r="AX116" s="2888"/>
      <c r="AY116" s="743" t="s">
        <v>3937</v>
      </c>
      <c r="AZ116" s="1680">
        <f>SUM(AW111:AW116)</f>
        <v>620189</v>
      </c>
      <c r="BA116" s="1681">
        <f>AZ116-BB116</f>
        <v>620189</v>
      </c>
      <c r="BB116" s="929">
        <f>SUM(AU112:AV116)</f>
        <v>0</v>
      </c>
      <c r="BC116" s="4117">
        <f t="shared" ref="BC116:BC134" si="51">ROUND($AJ116*$AQ116/$G116,0)</f>
        <v>0</v>
      </c>
      <c r="BD116" s="4117">
        <f t="shared" si="37"/>
        <v>0</v>
      </c>
    </row>
    <row r="117" spans="1:56" ht="89.25">
      <c r="A117" s="5967" t="s">
        <v>11138</v>
      </c>
      <c r="B117" s="827" t="s">
        <v>4015</v>
      </c>
      <c r="C117" s="828" t="s">
        <v>1432</v>
      </c>
      <c r="D117" s="829">
        <v>41038</v>
      </c>
      <c r="E117" s="829" t="s">
        <v>6390</v>
      </c>
      <c r="F117" s="1865">
        <v>40969</v>
      </c>
      <c r="G117" s="1597">
        <v>99.9</v>
      </c>
      <c r="H117" s="832" t="s">
        <v>1494</v>
      </c>
      <c r="I117" s="833" t="s">
        <v>1433</v>
      </c>
      <c r="J117" s="834" t="s">
        <v>1434</v>
      </c>
      <c r="K117" s="835">
        <v>42492</v>
      </c>
      <c r="L117" s="833" t="s">
        <v>1493</v>
      </c>
      <c r="M117" s="834" t="s">
        <v>1844</v>
      </c>
      <c r="N117" s="833" t="s">
        <v>1495</v>
      </c>
      <c r="O117" s="832" t="s">
        <v>1646</v>
      </c>
      <c r="P117" s="836"/>
      <c r="Q117" s="834" t="s">
        <v>1647</v>
      </c>
      <c r="R117" s="834" t="s">
        <v>1441</v>
      </c>
      <c r="S117" s="837"/>
      <c r="T117" s="838">
        <v>2340</v>
      </c>
      <c r="U117" s="839">
        <v>0</v>
      </c>
      <c r="V117" s="840">
        <f t="shared" si="33"/>
        <v>2340</v>
      </c>
      <c r="W117" s="838">
        <v>3900</v>
      </c>
      <c r="X117" s="839">
        <v>0</v>
      </c>
      <c r="Y117" s="840">
        <f t="shared" si="41"/>
        <v>3900</v>
      </c>
      <c r="Z117" s="838">
        <v>1560</v>
      </c>
      <c r="AA117" s="839">
        <v>0</v>
      </c>
      <c r="AB117" s="840">
        <f t="shared" si="34"/>
        <v>1560</v>
      </c>
      <c r="AC117" s="823">
        <v>0</v>
      </c>
      <c r="AD117" s="824">
        <v>0</v>
      </c>
      <c r="AE117" s="825">
        <f>AC117-AD117</f>
        <v>0</v>
      </c>
      <c r="AF117" s="823">
        <v>0</v>
      </c>
      <c r="AG117" s="824">
        <v>0</v>
      </c>
      <c r="AH117" s="825">
        <f>AF117-AG117</f>
        <v>0</v>
      </c>
      <c r="AI117" s="841">
        <f t="shared" si="46"/>
        <v>7800</v>
      </c>
      <c r="AJ117" s="839">
        <f t="shared" si="47"/>
        <v>0</v>
      </c>
      <c r="AK117" s="3906">
        <v>0</v>
      </c>
      <c r="AL117" s="869">
        <f t="shared" si="40"/>
        <v>7800</v>
      </c>
      <c r="AM117" s="3359" t="s">
        <v>1061</v>
      </c>
      <c r="AN117" s="3360">
        <v>42614</v>
      </c>
      <c r="AO117" s="3361">
        <v>1185224</v>
      </c>
      <c r="AP117" s="3362">
        <v>42522</v>
      </c>
      <c r="AQ117" s="3437">
        <v>109</v>
      </c>
      <c r="AR117" s="846">
        <f t="shared" si="48"/>
        <v>2553</v>
      </c>
      <c r="AS117" s="847">
        <f t="shared" si="49"/>
        <v>4255</v>
      </c>
      <c r="AT117" s="847">
        <f t="shared" si="50"/>
        <v>1702</v>
      </c>
      <c r="AU117" s="848">
        <f>ROUND($AQ117/$G117*AE117,0)</f>
        <v>0</v>
      </c>
      <c r="AV117" s="848">
        <f>ROUND($AQ117/$G117*AH117,0)</f>
        <v>0</v>
      </c>
      <c r="AW117" s="2872">
        <f t="shared" si="35"/>
        <v>8510</v>
      </c>
      <c r="AX117" s="2891" t="s">
        <v>1728</v>
      </c>
      <c r="BB117" s="267"/>
      <c r="BC117" s="4117">
        <f t="shared" si="51"/>
        <v>0</v>
      </c>
      <c r="BD117" s="4117">
        <f t="shared" si="37"/>
        <v>0</v>
      </c>
    </row>
    <row r="118" spans="1:56" ht="212.25" customHeight="1">
      <c r="A118" s="5964" t="s">
        <v>11138</v>
      </c>
      <c r="B118" s="338" t="s">
        <v>3635</v>
      </c>
      <c r="C118" s="321">
        <v>1</v>
      </c>
      <c r="D118" s="323" t="s">
        <v>3989</v>
      </c>
      <c r="E118" s="3012" t="s">
        <v>6383</v>
      </c>
      <c r="F118" s="1203">
        <v>41699</v>
      </c>
      <c r="G118" s="1594">
        <v>105.2</v>
      </c>
      <c r="H118" s="332" t="s">
        <v>2097</v>
      </c>
      <c r="I118" s="339" t="s">
        <v>1433</v>
      </c>
      <c r="J118" s="322" t="s">
        <v>1434</v>
      </c>
      <c r="K118" s="340">
        <v>43242</v>
      </c>
      <c r="L118" s="339" t="s">
        <v>2101</v>
      </c>
      <c r="M118" s="322" t="s">
        <v>2102</v>
      </c>
      <c r="N118" s="339" t="s">
        <v>1132</v>
      </c>
      <c r="O118" s="332" t="s">
        <v>2098</v>
      </c>
      <c r="P118" s="345" t="s">
        <v>3990</v>
      </c>
      <c r="Q118" s="322" t="s">
        <v>2099</v>
      </c>
      <c r="R118" s="322" t="s">
        <v>2100</v>
      </c>
      <c r="S118" s="346" t="s">
        <v>3852</v>
      </c>
      <c r="T118" s="347">
        <v>143163</v>
      </c>
      <c r="U118" s="326">
        <v>60836</v>
      </c>
      <c r="V118" s="348">
        <f t="shared" si="33"/>
        <v>82327</v>
      </c>
      <c r="W118" s="347">
        <v>0</v>
      </c>
      <c r="X118" s="326">
        <v>0</v>
      </c>
      <c r="Y118" s="348">
        <f t="shared" si="41"/>
        <v>0</v>
      </c>
      <c r="Z118" s="347">
        <v>33218</v>
      </c>
      <c r="AA118" s="326">
        <v>0</v>
      </c>
      <c r="AB118" s="348">
        <f t="shared" si="34"/>
        <v>33218</v>
      </c>
      <c r="AC118" s="820">
        <v>0</v>
      </c>
      <c r="AD118" s="821">
        <v>0</v>
      </c>
      <c r="AE118" s="822">
        <f>AC118-AD118</f>
        <v>0</v>
      </c>
      <c r="AF118" s="820">
        <v>0</v>
      </c>
      <c r="AG118" s="821">
        <v>0</v>
      </c>
      <c r="AH118" s="822">
        <f>AF118-AG118</f>
        <v>0</v>
      </c>
      <c r="AI118" s="482">
        <f t="shared" ref="AI118:AI149" si="52">T118+W118+Z118+AC118+AF118</f>
        <v>176381</v>
      </c>
      <c r="AJ118" s="284">
        <v>0</v>
      </c>
      <c r="AK118" s="326">
        <f>U118+X118+AA118+AD118+AG118</f>
        <v>60836</v>
      </c>
      <c r="AL118" s="349">
        <f t="shared" si="40"/>
        <v>115545</v>
      </c>
      <c r="AM118" s="2002" t="s">
        <v>1061</v>
      </c>
      <c r="AN118" s="3357">
        <v>42614</v>
      </c>
      <c r="AO118" s="695">
        <v>1185250</v>
      </c>
      <c r="AP118" s="2722">
        <v>42522</v>
      </c>
      <c r="AQ118" s="3438">
        <v>109</v>
      </c>
      <c r="AR118" s="333">
        <f t="shared" si="48"/>
        <v>85301</v>
      </c>
      <c r="AS118" s="330">
        <f t="shared" si="49"/>
        <v>0</v>
      </c>
      <c r="AT118" s="330">
        <f t="shared" si="50"/>
        <v>34418</v>
      </c>
      <c r="AU118" s="849">
        <f>ROUND($AQ118/$G118*AE118,0)</f>
        <v>0</v>
      </c>
      <c r="AV118" s="849">
        <f>ROUND($AQ118/$G118*AH118,0)</f>
        <v>0</v>
      </c>
      <c r="AW118" s="2870">
        <f t="shared" si="35"/>
        <v>119719</v>
      </c>
      <c r="AX118" s="3140"/>
      <c r="BC118" s="4117">
        <f t="shared" si="51"/>
        <v>0</v>
      </c>
      <c r="BD118" s="4117">
        <f t="shared" si="37"/>
        <v>63033</v>
      </c>
    </row>
    <row r="119" spans="1:56" ht="89.25">
      <c r="A119" s="5964" t="s">
        <v>11138</v>
      </c>
      <c r="B119" s="338" t="s">
        <v>4035</v>
      </c>
      <c r="C119" s="321">
        <v>0</v>
      </c>
      <c r="D119" s="323">
        <v>42576</v>
      </c>
      <c r="E119" s="3012" t="s">
        <v>6387</v>
      </c>
      <c r="F119" s="1203" t="s">
        <v>4030</v>
      </c>
      <c r="G119" s="1594">
        <v>109</v>
      </c>
      <c r="H119" s="332" t="s">
        <v>3931</v>
      </c>
      <c r="I119" s="339" t="s">
        <v>1330</v>
      </c>
      <c r="J119" s="322" t="s">
        <v>1445</v>
      </c>
      <c r="K119" s="340">
        <v>43306</v>
      </c>
      <c r="L119" s="339" t="s">
        <v>3932</v>
      </c>
      <c r="M119" s="322" t="s">
        <v>3933</v>
      </c>
      <c r="N119" s="339" t="s">
        <v>3823</v>
      </c>
      <c r="O119" s="332" t="s">
        <v>3934</v>
      </c>
      <c r="P119" s="667" t="s">
        <v>4036</v>
      </c>
      <c r="Q119" s="322" t="s">
        <v>3936</v>
      </c>
      <c r="R119" s="322" t="s">
        <v>3935</v>
      </c>
      <c r="S119" s="346" t="s">
        <v>3964</v>
      </c>
      <c r="T119" s="347">
        <v>14</v>
      </c>
      <c r="U119" s="326">
        <v>0</v>
      </c>
      <c r="V119" s="348">
        <f t="shared" si="33"/>
        <v>14</v>
      </c>
      <c r="W119" s="347">
        <v>0</v>
      </c>
      <c r="X119" s="326">
        <v>0</v>
      </c>
      <c r="Y119" s="348">
        <f t="shared" si="41"/>
        <v>0</v>
      </c>
      <c r="Z119" s="347">
        <v>125</v>
      </c>
      <c r="AA119" s="326">
        <v>0</v>
      </c>
      <c r="AB119" s="348">
        <f t="shared" si="34"/>
        <v>125</v>
      </c>
      <c r="AC119" s="820"/>
      <c r="AD119" s="821"/>
      <c r="AE119" s="822"/>
      <c r="AF119" s="820"/>
      <c r="AG119" s="821"/>
      <c r="AH119" s="822"/>
      <c r="AI119" s="482">
        <f t="shared" si="52"/>
        <v>139</v>
      </c>
      <c r="AJ119" s="326">
        <f t="shared" ref="AJ119:AJ132" si="53">U119+X119+AA119+AD119+AG119</f>
        <v>0</v>
      </c>
      <c r="AK119" s="3899">
        <v>0</v>
      </c>
      <c r="AL119" s="349">
        <f t="shared" si="40"/>
        <v>139</v>
      </c>
      <c r="AM119" s="2002" t="s">
        <v>2977</v>
      </c>
      <c r="AN119" s="3357">
        <v>42615</v>
      </c>
      <c r="AO119" s="695">
        <v>1185264</v>
      </c>
      <c r="AP119" s="2722">
        <v>42522</v>
      </c>
      <c r="AQ119" s="3438">
        <v>109</v>
      </c>
      <c r="AR119" s="333">
        <f t="shared" si="48"/>
        <v>14</v>
      </c>
      <c r="AS119" s="330">
        <f t="shared" si="49"/>
        <v>0</v>
      </c>
      <c r="AT119" s="330">
        <f t="shared" si="50"/>
        <v>125</v>
      </c>
      <c r="AU119" s="849"/>
      <c r="AV119" s="849"/>
      <c r="AW119" s="2873">
        <f t="shared" si="35"/>
        <v>139</v>
      </c>
      <c r="AX119" s="3140"/>
      <c r="BB119" s="267"/>
      <c r="BC119" s="4117">
        <f t="shared" si="51"/>
        <v>0</v>
      </c>
      <c r="BD119" s="4117">
        <f t="shared" si="37"/>
        <v>0</v>
      </c>
    </row>
    <row r="120" spans="1:56" ht="39" thickBot="1">
      <c r="A120" s="5993" t="s">
        <v>11138</v>
      </c>
      <c r="B120" s="1946">
        <v>537</v>
      </c>
      <c r="C120" s="1947" t="s">
        <v>1432</v>
      </c>
      <c r="D120" s="1948">
        <v>41572</v>
      </c>
      <c r="E120" s="2992" t="s">
        <v>6389</v>
      </c>
      <c r="F120" s="1949">
        <v>41518</v>
      </c>
      <c r="G120" s="1950">
        <v>103.8</v>
      </c>
      <c r="H120" s="1951" t="s">
        <v>1567</v>
      </c>
      <c r="I120" s="1778" t="s">
        <v>1436</v>
      </c>
      <c r="J120" s="1952" t="s">
        <v>1437</v>
      </c>
      <c r="K120" s="1953">
        <v>42948</v>
      </c>
      <c r="L120" s="1778" t="s">
        <v>1796</v>
      </c>
      <c r="M120" s="1952" t="s">
        <v>1799</v>
      </c>
      <c r="N120" s="1778" t="s">
        <v>1561</v>
      </c>
      <c r="O120" s="1951" t="s">
        <v>1692</v>
      </c>
      <c r="P120" s="1781" t="s">
        <v>3431</v>
      </c>
      <c r="Q120" s="1952" t="s">
        <v>1442</v>
      </c>
      <c r="R120" s="1952" t="s">
        <v>1449</v>
      </c>
      <c r="S120" s="1954"/>
      <c r="T120" s="1783">
        <v>6822</v>
      </c>
      <c r="U120" s="1955">
        <v>0</v>
      </c>
      <c r="V120" s="1956">
        <f t="shared" si="33"/>
        <v>6822</v>
      </c>
      <c r="W120" s="1783">
        <v>8527</v>
      </c>
      <c r="X120" s="1955">
        <v>0</v>
      </c>
      <c r="Y120" s="1956">
        <f t="shared" si="41"/>
        <v>8527</v>
      </c>
      <c r="Z120" s="1783">
        <v>1705</v>
      </c>
      <c r="AA120" s="1955">
        <v>0</v>
      </c>
      <c r="AB120" s="1956">
        <f t="shared" si="34"/>
        <v>1705</v>
      </c>
      <c r="AC120" s="1696">
        <v>0</v>
      </c>
      <c r="AD120" s="1957">
        <v>0</v>
      </c>
      <c r="AE120" s="1958">
        <f>AC120-AD120</f>
        <v>0</v>
      </c>
      <c r="AF120" s="1696">
        <v>0</v>
      </c>
      <c r="AG120" s="1957">
        <v>0</v>
      </c>
      <c r="AH120" s="1958">
        <f>AF120-AG120</f>
        <v>0</v>
      </c>
      <c r="AI120" s="1788">
        <f t="shared" si="52"/>
        <v>17054</v>
      </c>
      <c r="AJ120" s="1955">
        <f t="shared" si="53"/>
        <v>0</v>
      </c>
      <c r="AK120" s="3903">
        <v>0</v>
      </c>
      <c r="AL120" s="1959">
        <f t="shared" si="40"/>
        <v>17054</v>
      </c>
      <c r="AM120" s="1774" t="s">
        <v>2977</v>
      </c>
      <c r="AN120" s="3439">
        <v>42615</v>
      </c>
      <c r="AO120" s="3440">
        <v>1185265</v>
      </c>
      <c r="AP120" s="3441">
        <v>42522</v>
      </c>
      <c r="AQ120" s="3442">
        <v>109</v>
      </c>
      <c r="AR120" s="1790">
        <f t="shared" si="48"/>
        <v>7164</v>
      </c>
      <c r="AS120" s="1960">
        <f t="shared" si="49"/>
        <v>8954</v>
      </c>
      <c r="AT120" s="1960">
        <f t="shared" si="50"/>
        <v>1790</v>
      </c>
      <c r="AU120" s="1961">
        <f>ROUND($AQ120/$G120*AE120,0)</f>
        <v>0</v>
      </c>
      <c r="AV120" s="1961">
        <f>ROUND($AQ120/$G120*AH120,0)</f>
        <v>0</v>
      </c>
      <c r="AW120" s="2869">
        <f t="shared" si="35"/>
        <v>17908</v>
      </c>
      <c r="AX120" s="2890" t="s">
        <v>1728</v>
      </c>
      <c r="AY120" s="764" t="s">
        <v>4032</v>
      </c>
      <c r="AZ120" s="1662">
        <f>SUM(AW117:AW120)</f>
        <v>146276</v>
      </c>
      <c r="BA120" s="1663">
        <f>AZ120-BB120</f>
        <v>146276</v>
      </c>
      <c r="BB120" s="884">
        <f>SUM(AU117:AV120)</f>
        <v>0</v>
      </c>
      <c r="BC120" s="4117">
        <f t="shared" si="51"/>
        <v>0</v>
      </c>
      <c r="BD120" s="4117">
        <f t="shared" si="37"/>
        <v>0</v>
      </c>
    </row>
    <row r="121" spans="1:56" ht="48">
      <c r="A121" s="5979" t="s">
        <v>11139</v>
      </c>
      <c r="B121" s="908" t="s">
        <v>3489</v>
      </c>
      <c r="C121" s="909">
        <v>0</v>
      </c>
      <c r="D121" s="910">
        <v>42044</v>
      </c>
      <c r="E121" s="3044" t="s">
        <v>6383</v>
      </c>
      <c r="F121" s="911">
        <v>41821</v>
      </c>
      <c r="G121" s="1218">
        <v>1</v>
      </c>
      <c r="H121" s="913" t="s">
        <v>2868</v>
      </c>
      <c r="I121" s="914" t="s">
        <v>1433</v>
      </c>
      <c r="J121" s="915" t="s">
        <v>1434</v>
      </c>
      <c r="K121" s="916">
        <v>43505</v>
      </c>
      <c r="L121" s="914" t="s">
        <v>2869</v>
      </c>
      <c r="M121" s="915" t="s">
        <v>2870</v>
      </c>
      <c r="N121" s="914" t="s">
        <v>2871</v>
      </c>
      <c r="O121" s="913" t="s">
        <v>2872</v>
      </c>
      <c r="P121" s="1018"/>
      <c r="Q121" s="915" t="s">
        <v>2874</v>
      </c>
      <c r="R121" s="915" t="s">
        <v>2809</v>
      </c>
      <c r="S121" s="918"/>
      <c r="T121" s="919">
        <v>7168</v>
      </c>
      <c r="U121" s="920">
        <v>0</v>
      </c>
      <c r="V121" s="921">
        <f t="shared" si="33"/>
        <v>7168</v>
      </c>
      <c r="W121" s="919">
        <v>8960</v>
      </c>
      <c r="X121" s="920">
        <v>0</v>
      </c>
      <c r="Y121" s="921">
        <f t="shared" si="41"/>
        <v>8960</v>
      </c>
      <c r="Z121" s="919">
        <v>1792</v>
      </c>
      <c r="AA121" s="920">
        <v>0</v>
      </c>
      <c r="AB121" s="921">
        <f t="shared" si="34"/>
        <v>1792</v>
      </c>
      <c r="AC121" s="820"/>
      <c r="AD121" s="821"/>
      <c r="AE121" s="822"/>
      <c r="AF121" s="820"/>
      <c r="AG121" s="821"/>
      <c r="AH121" s="822"/>
      <c r="AI121" s="922">
        <f t="shared" si="52"/>
        <v>17920</v>
      </c>
      <c r="AJ121" s="920">
        <f t="shared" si="53"/>
        <v>0</v>
      </c>
      <c r="AK121" s="3907">
        <v>0</v>
      </c>
      <c r="AL121" s="923">
        <f t="shared" si="40"/>
        <v>17920</v>
      </c>
      <c r="AM121" s="1605" t="s">
        <v>1061</v>
      </c>
      <c r="AN121" s="3364">
        <v>42661</v>
      </c>
      <c r="AO121" s="3365">
        <v>1186951</v>
      </c>
      <c r="AP121" s="3366" t="s">
        <v>4093</v>
      </c>
      <c r="AQ121" s="3435">
        <v>1.0111000000000001</v>
      </c>
      <c r="AR121" s="924">
        <f t="shared" si="48"/>
        <v>7248</v>
      </c>
      <c r="AS121" s="925">
        <f t="shared" si="49"/>
        <v>9059</v>
      </c>
      <c r="AT121" s="925">
        <f t="shared" si="50"/>
        <v>1812</v>
      </c>
      <c r="AU121" s="849"/>
      <c r="AV121" s="849"/>
      <c r="AW121" s="2876">
        <f t="shared" si="35"/>
        <v>18119</v>
      </c>
      <c r="AX121" s="3143"/>
      <c r="BB121" s="267"/>
      <c r="BC121" s="4117">
        <f t="shared" si="51"/>
        <v>0</v>
      </c>
      <c r="BD121" s="4117">
        <f t="shared" si="37"/>
        <v>0</v>
      </c>
    </row>
    <row r="122" spans="1:56" ht="179.25" thickBot="1">
      <c r="A122" s="5994" t="s">
        <v>11138</v>
      </c>
      <c r="B122" s="1682" t="s">
        <v>2954</v>
      </c>
      <c r="C122" s="1972">
        <v>0</v>
      </c>
      <c r="D122" s="1973">
        <v>42573</v>
      </c>
      <c r="E122" s="3042" t="s">
        <v>6387</v>
      </c>
      <c r="F122" s="1974">
        <v>42430</v>
      </c>
      <c r="G122" s="1975">
        <v>108.5</v>
      </c>
      <c r="H122" s="1976" t="s">
        <v>3907</v>
      </c>
      <c r="I122" s="1688" t="s">
        <v>1433</v>
      </c>
      <c r="J122" s="1977" t="s">
        <v>1434</v>
      </c>
      <c r="K122" s="1978">
        <v>44034</v>
      </c>
      <c r="L122" s="1688" t="s">
        <v>3908</v>
      </c>
      <c r="M122" s="1977" t="s">
        <v>3909</v>
      </c>
      <c r="N122" s="1688" t="s">
        <v>3910</v>
      </c>
      <c r="O122" s="1976" t="s">
        <v>3911</v>
      </c>
      <c r="P122" s="1691" t="s">
        <v>3916</v>
      </c>
      <c r="Q122" s="1977" t="s">
        <v>3912</v>
      </c>
      <c r="R122" s="1977" t="s">
        <v>3913</v>
      </c>
      <c r="S122" s="1979" t="s">
        <v>3914</v>
      </c>
      <c r="T122" s="1693">
        <v>227872</v>
      </c>
      <c r="U122" s="1980">
        <v>0</v>
      </c>
      <c r="V122" s="1981">
        <f t="shared" si="33"/>
        <v>227872</v>
      </c>
      <c r="W122" s="1693">
        <v>331876</v>
      </c>
      <c r="X122" s="1980">
        <v>0</v>
      </c>
      <c r="Y122" s="1981">
        <f t="shared" si="41"/>
        <v>331876</v>
      </c>
      <c r="Z122" s="1693">
        <v>93525</v>
      </c>
      <c r="AA122" s="1980">
        <v>0</v>
      </c>
      <c r="AB122" s="1981">
        <f t="shared" si="34"/>
        <v>93525</v>
      </c>
      <c r="AC122" s="1696"/>
      <c r="AD122" s="1957"/>
      <c r="AE122" s="1958"/>
      <c r="AF122" s="1696"/>
      <c r="AG122" s="1957"/>
      <c r="AH122" s="1958"/>
      <c r="AI122" s="1699">
        <f t="shared" si="52"/>
        <v>653273</v>
      </c>
      <c r="AJ122" s="1980">
        <f t="shared" si="53"/>
        <v>0</v>
      </c>
      <c r="AK122" s="3901">
        <v>0</v>
      </c>
      <c r="AL122" s="1982">
        <f t="shared" si="40"/>
        <v>653273</v>
      </c>
      <c r="AM122" s="3415" t="s">
        <v>1061</v>
      </c>
      <c r="AN122" s="3443">
        <v>42668</v>
      </c>
      <c r="AO122" s="3444">
        <v>1187176</v>
      </c>
      <c r="AP122" s="3445">
        <v>42522</v>
      </c>
      <c r="AQ122" s="3446">
        <v>109</v>
      </c>
      <c r="AR122" s="1701">
        <f t="shared" si="48"/>
        <v>228922</v>
      </c>
      <c r="AS122" s="1983">
        <f t="shared" si="49"/>
        <v>333405</v>
      </c>
      <c r="AT122" s="1983">
        <f t="shared" si="50"/>
        <v>93956</v>
      </c>
      <c r="AU122" s="1961"/>
      <c r="AV122" s="1961"/>
      <c r="AW122" s="2867">
        <f t="shared" si="35"/>
        <v>656283</v>
      </c>
      <c r="AX122" s="2888"/>
      <c r="AY122" s="743" t="s">
        <v>4096</v>
      </c>
      <c r="AZ122" s="1680">
        <f>SUM(AW121:AW122)</f>
        <v>674402</v>
      </c>
      <c r="BA122" s="1681">
        <f>AZ122-BB122</f>
        <v>674402</v>
      </c>
      <c r="BB122" s="929">
        <f>SUM(AU121:AV122)</f>
        <v>0</v>
      </c>
      <c r="BC122" s="4117">
        <f t="shared" si="51"/>
        <v>0</v>
      </c>
      <c r="BD122" s="4117">
        <f t="shared" si="37"/>
        <v>0</v>
      </c>
    </row>
    <row r="123" spans="1:56" ht="51">
      <c r="A123" s="2418" t="s">
        <v>11139</v>
      </c>
      <c r="B123" s="338" t="s">
        <v>4110</v>
      </c>
      <c r="C123" s="321">
        <v>0</v>
      </c>
      <c r="D123" s="323">
        <v>42208</v>
      </c>
      <c r="E123" s="3012" t="s">
        <v>6387</v>
      </c>
      <c r="F123" s="324">
        <v>41821</v>
      </c>
      <c r="G123" s="331">
        <v>1</v>
      </c>
      <c r="H123" s="332" t="s">
        <v>3165</v>
      </c>
      <c r="I123" s="339" t="s">
        <v>1436</v>
      </c>
      <c r="J123" s="322" t="s">
        <v>2712</v>
      </c>
      <c r="K123" s="340">
        <v>43669</v>
      </c>
      <c r="L123" s="339" t="s">
        <v>3160</v>
      </c>
      <c r="M123" s="322" t="s">
        <v>3161</v>
      </c>
      <c r="N123" s="339" t="s">
        <v>3162</v>
      </c>
      <c r="O123" s="332" t="s">
        <v>3163</v>
      </c>
      <c r="P123" s="345" t="s">
        <v>3584</v>
      </c>
      <c r="Q123" s="322" t="s">
        <v>2966</v>
      </c>
      <c r="R123" s="322" t="s">
        <v>3060</v>
      </c>
      <c r="S123" s="346"/>
      <c r="T123" s="347">
        <v>6720</v>
      </c>
      <c r="U123" s="326">
        <v>0</v>
      </c>
      <c r="V123" s="348">
        <f t="shared" si="33"/>
        <v>6720</v>
      </c>
      <c r="W123" s="347">
        <v>8400</v>
      </c>
      <c r="X123" s="326">
        <v>0</v>
      </c>
      <c r="Y123" s="348">
        <f t="shared" si="41"/>
        <v>8400</v>
      </c>
      <c r="Z123" s="347">
        <v>1680</v>
      </c>
      <c r="AA123" s="326">
        <v>0</v>
      </c>
      <c r="AB123" s="348">
        <f t="shared" si="34"/>
        <v>1680</v>
      </c>
      <c r="AC123" s="820"/>
      <c r="AD123" s="821"/>
      <c r="AE123" s="822"/>
      <c r="AF123" s="820"/>
      <c r="AG123" s="821"/>
      <c r="AH123" s="822"/>
      <c r="AI123" s="482">
        <f t="shared" si="52"/>
        <v>16800</v>
      </c>
      <c r="AJ123" s="326">
        <f t="shared" si="53"/>
        <v>0</v>
      </c>
      <c r="AK123" s="3899">
        <v>0</v>
      </c>
      <c r="AL123" s="349">
        <f t="shared" si="40"/>
        <v>16800</v>
      </c>
      <c r="AM123" s="2002" t="s">
        <v>1061</v>
      </c>
      <c r="AN123" s="3357">
        <v>42690</v>
      </c>
      <c r="AO123" s="695">
        <v>1187715</v>
      </c>
      <c r="AP123" s="2722" t="s">
        <v>4093</v>
      </c>
      <c r="AQ123" s="3438">
        <v>1.0111000000000001</v>
      </c>
      <c r="AR123" s="333">
        <f t="shared" si="48"/>
        <v>6795</v>
      </c>
      <c r="AS123" s="330">
        <f t="shared" si="49"/>
        <v>8493</v>
      </c>
      <c r="AT123" s="330">
        <f t="shared" si="50"/>
        <v>1699</v>
      </c>
      <c r="AU123" s="849"/>
      <c r="AV123" s="849"/>
      <c r="AW123" s="2868">
        <f t="shared" si="35"/>
        <v>16987</v>
      </c>
      <c r="AX123" s="3140"/>
      <c r="BC123" s="4117">
        <f t="shared" si="51"/>
        <v>0</v>
      </c>
      <c r="BD123" s="4117">
        <f t="shared" si="37"/>
        <v>0</v>
      </c>
    </row>
    <row r="124" spans="1:56" ht="63.75">
      <c r="A124" s="5964" t="s">
        <v>11138</v>
      </c>
      <c r="B124" s="2002" t="s">
        <v>4152</v>
      </c>
      <c r="C124" s="321">
        <v>0</v>
      </c>
      <c r="D124" s="323">
        <v>41829</v>
      </c>
      <c r="E124" s="3012" t="s">
        <v>6383</v>
      </c>
      <c r="F124" s="1203">
        <v>41609</v>
      </c>
      <c r="G124" s="1594">
        <v>104.6</v>
      </c>
      <c r="H124" s="332" t="s">
        <v>4146</v>
      </c>
      <c r="I124" s="339" t="s">
        <v>1433</v>
      </c>
      <c r="J124" s="322" t="s">
        <v>1434</v>
      </c>
      <c r="K124" s="340">
        <v>43183</v>
      </c>
      <c r="L124" s="339" t="s">
        <v>757</v>
      </c>
      <c r="M124" s="322" t="s">
        <v>1064</v>
      </c>
      <c r="N124" s="2003" t="s">
        <v>1177</v>
      </c>
      <c r="O124" s="332" t="s">
        <v>905</v>
      </c>
      <c r="P124" s="345" t="s">
        <v>4151</v>
      </c>
      <c r="Q124" s="322" t="s">
        <v>584</v>
      </c>
      <c r="R124" s="322" t="s">
        <v>4150</v>
      </c>
      <c r="S124" s="346"/>
      <c r="T124" s="347">
        <v>396</v>
      </c>
      <c r="U124" s="326">
        <v>0</v>
      </c>
      <c r="V124" s="348">
        <f t="shared" si="33"/>
        <v>396</v>
      </c>
      <c r="W124" s="347">
        <v>0</v>
      </c>
      <c r="X124" s="326">
        <v>0</v>
      </c>
      <c r="Y124" s="348">
        <f t="shared" si="41"/>
        <v>0</v>
      </c>
      <c r="Z124" s="347">
        <v>1795</v>
      </c>
      <c r="AA124" s="326">
        <v>0</v>
      </c>
      <c r="AB124" s="348">
        <f t="shared" si="34"/>
        <v>1795</v>
      </c>
      <c r="AC124" s="820"/>
      <c r="AD124" s="821"/>
      <c r="AE124" s="822"/>
      <c r="AF124" s="820"/>
      <c r="AG124" s="821"/>
      <c r="AH124" s="822"/>
      <c r="AI124" s="482">
        <f t="shared" si="52"/>
        <v>2191</v>
      </c>
      <c r="AJ124" s="326">
        <f t="shared" si="53"/>
        <v>0</v>
      </c>
      <c r="AK124" s="3899">
        <v>0</v>
      </c>
      <c r="AL124" s="349">
        <f t="shared" si="40"/>
        <v>2191</v>
      </c>
      <c r="AM124" s="2002" t="s">
        <v>1061</v>
      </c>
      <c r="AN124" s="3357">
        <v>42690</v>
      </c>
      <c r="AO124" s="695">
        <v>1187720</v>
      </c>
      <c r="AP124" s="2722">
        <v>42614</v>
      </c>
      <c r="AQ124" s="3447">
        <v>109.7</v>
      </c>
      <c r="AR124" s="333">
        <f t="shared" si="48"/>
        <v>415</v>
      </c>
      <c r="AS124" s="330">
        <f t="shared" si="49"/>
        <v>0</v>
      </c>
      <c r="AT124" s="330">
        <f t="shared" si="50"/>
        <v>1883</v>
      </c>
      <c r="AU124" s="849"/>
      <c r="AV124" s="849"/>
      <c r="AW124" s="2870">
        <f t="shared" si="35"/>
        <v>2298</v>
      </c>
      <c r="AX124" s="3140"/>
      <c r="BC124" s="4117">
        <f t="shared" si="51"/>
        <v>0</v>
      </c>
      <c r="BD124" s="4117">
        <f t="shared" si="37"/>
        <v>0</v>
      </c>
    </row>
    <row r="125" spans="1:56" ht="63.75">
      <c r="A125" s="5964" t="s">
        <v>11138</v>
      </c>
      <c r="B125" s="2002" t="s">
        <v>4153</v>
      </c>
      <c r="C125" s="321">
        <v>0</v>
      </c>
      <c r="D125" s="323">
        <v>41905</v>
      </c>
      <c r="E125" s="3012" t="s">
        <v>6383</v>
      </c>
      <c r="F125" s="1203">
        <v>41609</v>
      </c>
      <c r="G125" s="1594">
        <v>104.6</v>
      </c>
      <c r="H125" s="332" t="s">
        <v>4147</v>
      </c>
      <c r="I125" s="339" t="s">
        <v>1433</v>
      </c>
      <c r="J125" s="322" t="s">
        <v>1434</v>
      </c>
      <c r="K125" s="340">
        <v>43135</v>
      </c>
      <c r="L125" s="339" t="s">
        <v>4148</v>
      </c>
      <c r="M125" s="322" t="s">
        <v>4149</v>
      </c>
      <c r="N125" s="2004" t="s">
        <v>406</v>
      </c>
      <c r="O125" s="2005" t="s">
        <v>953</v>
      </c>
      <c r="P125" s="345" t="s">
        <v>4151</v>
      </c>
      <c r="Q125" s="322" t="s">
        <v>584</v>
      </c>
      <c r="R125" s="322" t="s">
        <v>4150</v>
      </c>
      <c r="S125" s="346"/>
      <c r="T125" s="347">
        <v>396</v>
      </c>
      <c r="U125" s="326">
        <v>0</v>
      </c>
      <c r="V125" s="348">
        <f t="shared" si="33"/>
        <v>396</v>
      </c>
      <c r="W125" s="347">
        <v>0</v>
      </c>
      <c r="X125" s="326">
        <v>0</v>
      </c>
      <c r="Y125" s="348">
        <f t="shared" si="41"/>
        <v>0</v>
      </c>
      <c r="Z125" s="347">
        <v>1795</v>
      </c>
      <c r="AA125" s="326">
        <v>0</v>
      </c>
      <c r="AB125" s="348">
        <f t="shared" si="34"/>
        <v>1795</v>
      </c>
      <c r="AC125" s="820"/>
      <c r="AD125" s="821"/>
      <c r="AE125" s="822"/>
      <c r="AF125" s="820"/>
      <c r="AG125" s="821"/>
      <c r="AH125" s="822"/>
      <c r="AI125" s="482">
        <f t="shared" si="52"/>
        <v>2191</v>
      </c>
      <c r="AJ125" s="326">
        <f t="shared" si="53"/>
        <v>0</v>
      </c>
      <c r="AK125" s="3899">
        <v>0</v>
      </c>
      <c r="AL125" s="349">
        <f t="shared" si="40"/>
        <v>2191</v>
      </c>
      <c r="AM125" s="2002" t="s">
        <v>1061</v>
      </c>
      <c r="AN125" s="3357">
        <v>42690</v>
      </c>
      <c r="AO125" s="695">
        <v>1187721</v>
      </c>
      <c r="AP125" s="2722">
        <v>42614</v>
      </c>
      <c r="AQ125" s="3447">
        <v>109.7</v>
      </c>
      <c r="AR125" s="333">
        <f t="shared" si="48"/>
        <v>415</v>
      </c>
      <c r="AS125" s="330">
        <f t="shared" si="49"/>
        <v>0</v>
      </c>
      <c r="AT125" s="330">
        <f t="shared" si="50"/>
        <v>1883</v>
      </c>
      <c r="AU125" s="849"/>
      <c r="AV125" s="849"/>
      <c r="AW125" s="2872">
        <f t="shared" si="35"/>
        <v>2298</v>
      </c>
      <c r="AX125" s="3140"/>
      <c r="BB125" s="267"/>
      <c r="BC125" s="4117">
        <f t="shared" si="51"/>
        <v>0</v>
      </c>
      <c r="BD125" s="4117">
        <f t="shared" si="37"/>
        <v>0</v>
      </c>
    </row>
    <row r="126" spans="1:56" ht="51">
      <c r="A126" s="5964" t="s">
        <v>11138</v>
      </c>
      <c r="B126" s="2002" t="s">
        <v>4158</v>
      </c>
      <c r="C126" s="321">
        <v>0</v>
      </c>
      <c r="D126" s="323">
        <v>41936</v>
      </c>
      <c r="E126" s="3012" t="s">
        <v>6383</v>
      </c>
      <c r="F126" s="1203">
        <v>41699</v>
      </c>
      <c r="G126" s="1594">
        <v>105.2</v>
      </c>
      <c r="H126" s="332" t="s">
        <v>4155</v>
      </c>
      <c r="I126" s="339" t="s">
        <v>1433</v>
      </c>
      <c r="J126" s="322" t="s">
        <v>1434</v>
      </c>
      <c r="K126" s="340">
        <v>42649</v>
      </c>
      <c r="L126" s="2009" t="s">
        <v>1265</v>
      </c>
      <c r="M126" s="2010" t="s">
        <v>113</v>
      </c>
      <c r="N126" s="2011" t="s">
        <v>1080</v>
      </c>
      <c r="O126" s="2010" t="s">
        <v>6</v>
      </c>
      <c r="P126" s="345" t="s">
        <v>4159</v>
      </c>
      <c r="Q126" s="322" t="s">
        <v>4157</v>
      </c>
      <c r="R126" s="322" t="s">
        <v>4156</v>
      </c>
      <c r="S126" s="346"/>
      <c r="T126" s="347">
        <v>31</v>
      </c>
      <c r="U126" s="326">
        <v>0</v>
      </c>
      <c r="V126" s="348">
        <f t="shared" si="33"/>
        <v>31</v>
      </c>
      <c r="W126" s="347">
        <v>0</v>
      </c>
      <c r="X126" s="326">
        <v>0</v>
      </c>
      <c r="Y126" s="348">
        <f t="shared" si="41"/>
        <v>0</v>
      </c>
      <c r="Z126" s="347">
        <v>1280</v>
      </c>
      <c r="AA126" s="326">
        <v>0</v>
      </c>
      <c r="AB126" s="348">
        <f t="shared" si="34"/>
        <v>1280</v>
      </c>
      <c r="AC126" s="820"/>
      <c r="AD126" s="821"/>
      <c r="AE126" s="822"/>
      <c r="AF126" s="820"/>
      <c r="AG126" s="821"/>
      <c r="AH126" s="822"/>
      <c r="AI126" s="482">
        <f t="shared" si="52"/>
        <v>1311</v>
      </c>
      <c r="AJ126" s="326">
        <f t="shared" si="53"/>
        <v>0</v>
      </c>
      <c r="AK126" s="3899">
        <v>0</v>
      </c>
      <c r="AL126" s="349">
        <f t="shared" si="40"/>
        <v>1311</v>
      </c>
      <c r="AM126" s="2002" t="s">
        <v>1061</v>
      </c>
      <c r="AN126" s="3357">
        <v>42692</v>
      </c>
      <c r="AO126" s="695">
        <v>1187794</v>
      </c>
      <c r="AP126" s="2722">
        <v>42614</v>
      </c>
      <c r="AQ126" s="3447">
        <v>109.7</v>
      </c>
      <c r="AR126" s="333">
        <f t="shared" si="48"/>
        <v>32</v>
      </c>
      <c r="AS126" s="330">
        <f t="shared" si="49"/>
        <v>0</v>
      </c>
      <c r="AT126" s="330">
        <f t="shared" si="50"/>
        <v>1335</v>
      </c>
      <c r="AU126" s="849"/>
      <c r="AV126" s="849"/>
      <c r="AW126" s="2872">
        <f t="shared" si="35"/>
        <v>1367</v>
      </c>
      <c r="AX126" s="3140"/>
      <c r="BB126" s="267"/>
      <c r="BC126" s="4117">
        <f t="shared" si="51"/>
        <v>0</v>
      </c>
      <c r="BD126" s="4117">
        <f t="shared" si="37"/>
        <v>0</v>
      </c>
    </row>
    <row r="127" spans="1:56" ht="63.75">
      <c r="A127" s="2418" t="s">
        <v>11139</v>
      </c>
      <c r="B127" s="338" t="s">
        <v>4175</v>
      </c>
      <c r="C127" s="321">
        <v>0</v>
      </c>
      <c r="D127" s="323">
        <v>42664</v>
      </c>
      <c r="E127" s="3012" t="s">
        <v>6385</v>
      </c>
      <c r="F127" s="324" t="s">
        <v>3976</v>
      </c>
      <c r="G127" s="3085">
        <v>1.0111000000000001</v>
      </c>
      <c r="H127" s="332" t="s">
        <v>4104</v>
      </c>
      <c r="I127" s="339" t="s">
        <v>1433</v>
      </c>
      <c r="J127" s="322" t="s">
        <v>1434</v>
      </c>
      <c r="K127" s="340">
        <v>44125</v>
      </c>
      <c r="L127" s="339" t="s">
        <v>4105</v>
      </c>
      <c r="M127" s="322" t="s">
        <v>303</v>
      </c>
      <c r="N127" s="339" t="s">
        <v>4106</v>
      </c>
      <c r="O127" s="332" t="s">
        <v>4107</v>
      </c>
      <c r="P127" s="345"/>
      <c r="Q127" s="322" t="s">
        <v>4108</v>
      </c>
      <c r="R127" s="322" t="s">
        <v>4108</v>
      </c>
      <c r="S127" s="346"/>
      <c r="T127" s="347">
        <v>3501</v>
      </c>
      <c r="U127" s="326">
        <v>0</v>
      </c>
      <c r="V127" s="348">
        <f t="shared" si="33"/>
        <v>3501</v>
      </c>
      <c r="W127" s="347">
        <v>618</v>
      </c>
      <c r="X127" s="326">
        <v>0</v>
      </c>
      <c r="Y127" s="348">
        <f t="shared" si="41"/>
        <v>618</v>
      </c>
      <c r="Z127" s="347">
        <v>0</v>
      </c>
      <c r="AA127" s="326">
        <v>0</v>
      </c>
      <c r="AB127" s="348">
        <f t="shared" si="34"/>
        <v>0</v>
      </c>
      <c r="AC127" s="820"/>
      <c r="AD127" s="821"/>
      <c r="AE127" s="822"/>
      <c r="AF127" s="820"/>
      <c r="AG127" s="821"/>
      <c r="AH127" s="822"/>
      <c r="AI127" s="482">
        <f t="shared" si="52"/>
        <v>4119</v>
      </c>
      <c r="AJ127" s="326">
        <f t="shared" si="53"/>
        <v>0</v>
      </c>
      <c r="AK127" s="3899">
        <v>0</v>
      </c>
      <c r="AL127" s="349">
        <f t="shared" si="40"/>
        <v>4119</v>
      </c>
      <c r="AM127" s="2002" t="s">
        <v>1061</v>
      </c>
      <c r="AN127" s="3357">
        <v>42692</v>
      </c>
      <c r="AO127" s="695">
        <v>1187811</v>
      </c>
      <c r="AP127" s="2722" t="s">
        <v>4093</v>
      </c>
      <c r="AQ127" s="3438">
        <v>1.0111000000000001</v>
      </c>
      <c r="AR127" s="333">
        <f t="shared" si="48"/>
        <v>3501</v>
      </c>
      <c r="AS127" s="330">
        <f t="shared" si="49"/>
        <v>618</v>
      </c>
      <c r="AT127" s="330">
        <f t="shared" si="50"/>
        <v>0</v>
      </c>
      <c r="AU127" s="849"/>
      <c r="AV127" s="849"/>
      <c r="AW127" s="2870">
        <f t="shared" si="35"/>
        <v>4119</v>
      </c>
      <c r="AX127" s="3140"/>
      <c r="BB127" s="267"/>
      <c r="BC127" s="4117">
        <f t="shared" si="51"/>
        <v>0</v>
      </c>
      <c r="BD127" s="4117">
        <f t="shared" si="37"/>
        <v>0</v>
      </c>
    </row>
    <row r="128" spans="1:56" ht="89.25">
      <c r="A128" s="5967" t="s">
        <v>11138</v>
      </c>
      <c r="B128" s="827" t="s">
        <v>4176</v>
      </c>
      <c r="C128" s="828" t="s">
        <v>1432</v>
      </c>
      <c r="D128" s="829">
        <v>40758</v>
      </c>
      <c r="E128" s="829" t="s">
        <v>6391</v>
      </c>
      <c r="F128" s="1865">
        <v>40695</v>
      </c>
      <c r="G128" s="1597">
        <v>99.6</v>
      </c>
      <c r="H128" s="832" t="s">
        <v>3263</v>
      </c>
      <c r="I128" s="833" t="s">
        <v>1433</v>
      </c>
      <c r="J128" s="834" t="s">
        <v>1434</v>
      </c>
      <c r="K128" s="835" t="s">
        <v>3264</v>
      </c>
      <c r="L128" s="833" t="s">
        <v>1800</v>
      </c>
      <c r="M128" s="834" t="s">
        <v>1832</v>
      </c>
      <c r="N128" s="833" t="s">
        <v>1455</v>
      </c>
      <c r="O128" s="832" t="s">
        <v>1625</v>
      </c>
      <c r="P128" s="836"/>
      <c r="Q128" s="834" t="s">
        <v>1626</v>
      </c>
      <c r="R128" s="834" t="s">
        <v>1444</v>
      </c>
      <c r="S128" s="837"/>
      <c r="T128" s="838">
        <v>5076</v>
      </c>
      <c r="U128" s="839">
        <v>0</v>
      </c>
      <c r="V128" s="840">
        <f t="shared" si="33"/>
        <v>5076</v>
      </c>
      <c r="W128" s="838">
        <v>8460</v>
      </c>
      <c r="X128" s="839">
        <v>0</v>
      </c>
      <c r="Y128" s="840">
        <f t="shared" si="41"/>
        <v>8460</v>
      </c>
      <c r="Z128" s="838">
        <v>3384</v>
      </c>
      <c r="AA128" s="839">
        <v>0</v>
      </c>
      <c r="AB128" s="840">
        <f t="shared" si="34"/>
        <v>3384</v>
      </c>
      <c r="AC128" s="823">
        <v>4032</v>
      </c>
      <c r="AD128" s="824">
        <v>0</v>
      </c>
      <c r="AE128" s="825">
        <f>AC128-AD128</f>
        <v>4032</v>
      </c>
      <c r="AF128" s="823">
        <v>6048</v>
      </c>
      <c r="AG128" s="824">
        <v>0</v>
      </c>
      <c r="AH128" s="825">
        <f>AF128-AG128</f>
        <v>6048</v>
      </c>
      <c r="AI128" s="841">
        <f t="shared" si="52"/>
        <v>27000</v>
      </c>
      <c r="AJ128" s="839">
        <f t="shared" si="53"/>
        <v>0</v>
      </c>
      <c r="AK128" s="3906">
        <v>0</v>
      </c>
      <c r="AL128" s="869">
        <f t="shared" si="40"/>
        <v>27000</v>
      </c>
      <c r="AM128" s="3359" t="s">
        <v>1061</v>
      </c>
      <c r="AN128" s="3360">
        <v>42695</v>
      </c>
      <c r="AO128" s="3361">
        <v>1187841</v>
      </c>
      <c r="AP128" s="3362">
        <v>42614</v>
      </c>
      <c r="AQ128" s="3437">
        <v>109.7</v>
      </c>
      <c r="AR128" s="846">
        <f t="shared" si="48"/>
        <v>5591</v>
      </c>
      <c r="AS128" s="847">
        <f t="shared" si="49"/>
        <v>9318</v>
      </c>
      <c r="AT128" s="847">
        <f t="shared" si="50"/>
        <v>3727</v>
      </c>
      <c r="AU128" s="848"/>
      <c r="AV128" s="848"/>
      <c r="AW128" s="2872">
        <f t="shared" si="35"/>
        <v>18636</v>
      </c>
      <c r="AX128" s="2891" t="s">
        <v>1728</v>
      </c>
      <c r="BB128" s="267"/>
      <c r="BC128" s="4117">
        <f t="shared" si="51"/>
        <v>0</v>
      </c>
      <c r="BD128" s="4117">
        <f t="shared" si="37"/>
        <v>0</v>
      </c>
    </row>
    <row r="129" spans="1:56" ht="38.25">
      <c r="A129" s="2418" t="s">
        <v>11139</v>
      </c>
      <c r="B129" s="338" t="s">
        <v>4177</v>
      </c>
      <c r="C129" s="321">
        <v>0</v>
      </c>
      <c r="D129" s="323">
        <v>42208</v>
      </c>
      <c r="E129" s="3012" t="s">
        <v>6387</v>
      </c>
      <c r="F129" s="324" t="s">
        <v>4182</v>
      </c>
      <c r="G129" s="331">
        <v>1</v>
      </c>
      <c r="H129" s="332" t="s">
        <v>4178</v>
      </c>
      <c r="I129" s="339" t="s">
        <v>1433</v>
      </c>
      <c r="J129" s="322" t="s">
        <v>1434</v>
      </c>
      <c r="K129" s="340">
        <v>43669</v>
      </c>
      <c r="L129" s="339" t="s">
        <v>4179</v>
      </c>
      <c r="M129" s="322" t="s">
        <v>4180</v>
      </c>
      <c r="N129" s="339" t="s">
        <v>3162</v>
      </c>
      <c r="O129" s="332" t="s">
        <v>3163</v>
      </c>
      <c r="P129" s="930" t="s">
        <v>4181</v>
      </c>
      <c r="Q129" s="322" t="s">
        <v>3164</v>
      </c>
      <c r="R129" s="322" t="s">
        <v>3060</v>
      </c>
      <c r="S129" s="761"/>
      <c r="T129" s="347">
        <v>489</v>
      </c>
      <c r="U129" s="326">
        <v>0</v>
      </c>
      <c r="V129" s="348">
        <f t="shared" si="33"/>
        <v>489</v>
      </c>
      <c r="W129" s="347">
        <v>0</v>
      </c>
      <c r="X129" s="326">
        <v>0</v>
      </c>
      <c r="Y129" s="348">
        <f t="shared" si="41"/>
        <v>0</v>
      </c>
      <c r="Z129" s="347">
        <v>0</v>
      </c>
      <c r="AA129" s="326">
        <v>0</v>
      </c>
      <c r="AB129" s="348">
        <f t="shared" si="34"/>
        <v>0</v>
      </c>
      <c r="AC129" s="820"/>
      <c r="AD129" s="821"/>
      <c r="AE129" s="822"/>
      <c r="AF129" s="820"/>
      <c r="AG129" s="821"/>
      <c r="AH129" s="822"/>
      <c r="AI129" s="482">
        <f t="shared" si="52"/>
        <v>489</v>
      </c>
      <c r="AJ129" s="326">
        <f t="shared" si="53"/>
        <v>0</v>
      </c>
      <c r="AK129" s="3899">
        <v>0</v>
      </c>
      <c r="AL129" s="349">
        <f t="shared" si="40"/>
        <v>489</v>
      </c>
      <c r="AM129" s="2002" t="s">
        <v>1061</v>
      </c>
      <c r="AN129" s="3357">
        <v>42696</v>
      </c>
      <c r="AO129" s="695">
        <v>1187891</v>
      </c>
      <c r="AP129" s="1866" t="s">
        <v>4182</v>
      </c>
      <c r="AQ129" s="3438">
        <v>1</v>
      </c>
      <c r="AR129" s="333">
        <f t="shared" si="48"/>
        <v>489</v>
      </c>
      <c r="AS129" s="330">
        <f t="shared" si="49"/>
        <v>0</v>
      </c>
      <c r="AT129" s="330">
        <f t="shared" si="50"/>
        <v>0</v>
      </c>
      <c r="AU129" s="849"/>
      <c r="AV129" s="849"/>
      <c r="AW129" s="2870">
        <f t="shared" si="35"/>
        <v>489</v>
      </c>
      <c r="AX129" s="3140"/>
      <c r="BB129" s="267"/>
      <c r="BC129" s="4117">
        <f t="shared" si="51"/>
        <v>0</v>
      </c>
      <c r="BD129" s="4117">
        <f t="shared" si="37"/>
        <v>0</v>
      </c>
    </row>
    <row r="130" spans="1:56" ht="51">
      <c r="A130" s="2418" t="s">
        <v>11139</v>
      </c>
      <c r="B130" s="338" t="s">
        <v>2950</v>
      </c>
      <c r="C130" s="321">
        <v>0</v>
      </c>
      <c r="D130" s="323">
        <v>42529</v>
      </c>
      <c r="E130" s="3012" t="s">
        <v>6387</v>
      </c>
      <c r="F130" s="324">
        <v>41821</v>
      </c>
      <c r="G130" s="331">
        <v>1</v>
      </c>
      <c r="H130" s="332" t="s">
        <v>3846</v>
      </c>
      <c r="I130" s="339" t="s">
        <v>1433</v>
      </c>
      <c r="J130" s="322" t="s">
        <v>1434</v>
      </c>
      <c r="K130" s="340">
        <v>43990</v>
      </c>
      <c r="L130" s="339" t="s">
        <v>3847</v>
      </c>
      <c r="M130" s="322" t="s">
        <v>3621</v>
      </c>
      <c r="N130" s="339" t="s">
        <v>3848</v>
      </c>
      <c r="O130" s="332" t="s">
        <v>3849</v>
      </c>
      <c r="P130" s="345"/>
      <c r="Q130" s="322" t="s">
        <v>3850</v>
      </c>
      <c r="R130" s="322" t="s">
        <v>939</v>
      </c>
      <c r="S130" s="346"/>
      <c r="T130" s="347">
        <v>4800</v>
      </c>
      <c r="U130" s="326">
        <v>0</v>
      </c>
      <c r="V130" s="348">
        <f t="shared" si="33"/>
        <v>4800</v>
      </c>
      <c r="W130" s="347">
        <v>6000</v>
      </c>
      <c r="X130" s="326">
        <v>0</v>
      </c>
      <c r="Y130" s="348">
        <f t="shared" si="41"/>
        <v>6000</v>
      </c>
      <c r="Z130" s="347">
        <v>1200</v>
      </c>
      <c r="AA130" s="326">
        <v>0</v>
      </c>
      <c r="AB130" s="348">
        <f t="shared" si="34"/>
        <v>1200</v>
      </c>
      <c r="AC130" s="820"/>
      <c r="AD130" s="821"/>
      <c r="AE130" s="822"/>
      <c r="AF130" s="820"/>
      <c r="AG130" s="821"/>
      <c r="AH130" s="822"/>
      <c r="AI130" s="482">
        <f t="shared" si="52"/>
        <v>12000</v>
      </c>
      <c r="AJ130" s="326">
        <f t="shared" si="53"/>
        <v>0</v>
      </c>
      <c r="AK130" s="3899">
        <v>0</v>
      </c>
      <c r="AL130" s="349">
        <f t="shared" si="40"/>
        <v>12000</v>
      </c>
      <c r="AM130" s="2002" t="s">
        <v>1061</v>
      </c>
      <c r="AN130" s="3357">
        <v>42697</v>
      </c>
      <c r="AO130" s="695">
        <v>1187933</v>
      </c>
      <c r="AP130" s="2722" t="s">
        <v>4154</v>
      </c>
      <c r="AQ130" s="3438">
        <v>1.0111000000000001</v>
      </c>
      <c r="AR130" s="333">
        <f t="shared" si="48"/>
        <v>4853</v>
      </c>
      <c r="AS130" s="330">
        <f t="shared" si="49"/>
        <v>6067</v>
      </c>
      <c r="AT130" s="330">
        <f t="shared" si="50"/>
        <v>1213</v>
      </c>
      <c r="AU130" s="849"/>
      <c r="AV130" s="849"/>
      <c r="AW130" s="2873">
        <f t="shared" si="35"/>
        <v>12133</v>
      </c>
      <c r="AX130" s="3140"/>
      <c r="BB130" s="267"/>
      <c r="BC130" s="4117">
        <f t="shared" si="51"/>
        <v>0</v>
      </c>
      <c r="BD130" s="4117">
        <f t="shared" si="37"/>
        <v>0</v>
      </c>
    </row>
    <row r="131" spans="1:56" ht="38.25">
      <c r="A131" s="2418" t="s">
        <v>11139</v>
      </c>
      <c r="B131" s="338" t="s">
        <v>2918</v>
      </c>
      <c r="C131" s="321">
        <v>0</v>
      </c>
      <c r="D131" s="323">
        <v>42178</v>
      </c>
      <c r="E131" s="3012" t="s">
        <v>6387</v>
      </c>
      <c r="F131" s="324">
        <v>41821</v>
      </c>
      <c r="G131" s="331">
        <v>1</v>
      </c>
      <c r="H131" s="332" t="s">
        <v>3094</v>
      </c>
      <c r="I131" s="339" t="s">
        <v>1436</v>
      </c>
      <c r="J131" s="322" t="s">
        <v>2712</v>
      </c>
      <c r="K131" s="340">
        <v>43639</v>
      </c>
      <c r="L131" s="339" t="s">
        <v>3095</v>
      </c>
      <c r="M131" s="322" t="s">
        <v>1843</v>
      </c>
      <c r="N131" s="339" t="s">
        <v>3096</v>
      </c>
      <c r="O131" s="332" t="s">
        <v>3568</v>
      </c>
      <c r="P131" s="345"/>
      <c r="Q131" s="322" t="s">
        <v>2802</v>
      </c>
      <c r="R131" s="322" t="s">
        <v>2809</v>
      </c>
      <c r="S131" s="346"/>
      <c r="T131" s="347">
        <v>6720</v>
      </c>
      <c r="U131" s="326">
        <v>0</v>
      </c>
      <c r="V131" s="348">
        <f t="shared" si="33"/>
        <v>6720</v>
      </c>
      <c r="W131" s="347">
        <v>8400</v>
      </c>
      <c r="X131" s="326">
        <v>0</v>
      </c>
      <c r="Y131" s="348">
        <f t="shared" si="41"/>
        <v>8400</v>
      </c>
      <c r="Z131" s="347">
        <v>1680</v>
      </c>
      <c r="AA131" s="326">
        <v>0</v>
      </c>
      <c r="AB131" s="348">
        <f t="shared" si="34"/>
        <v>1680</v>
      </c>
      <c r="AC131" s="820"/>
      <c r="AD131" s="821"/>
      <c r="AE131" s="822"/>
      <c r="AF131" s="820"/>
      <c r="AG131" s="821"/>
      <c r="AH131" s="822"/>
      <c r="AI131" s="482">
        <f t="shared" si="52"/>
        <v>16800</v>
      </c>
      <c r="AJ131" s="326">
        <f t="shared" si="53"/>
        <v>0</v>
      </c>
      <c r="AK131" s="3899">
        <v>0</v>
      </c>
      <c r="AL131" s="349">
        <f t="shared" si="40"/>
        <v>16800</v>
      </c>
      <c r="AM131" s="2002" t="s">
        <v>4185</v>
      </c>
      <c r="AN131" s="3357">
        <v>42698</v>
      </c>
      <c r="AO131" s="695">
        <v>1187953</v>
      </c>
      <c r="AP131" s="2722" t="s">
        <v>4154</v>
      </c>
      <c r="AQ131" s="3438">
        <v>1.0111000000000001</v>
      </c>
      <c r="AR131" s="333">
        <f t="shared" si="48"/>
        <v>6795</v>
      </c>
      <c r="AS131" s="330">
        <f t="shared" si="49"/>
        <v>8493</v>
      </c>
      <c r="AT131" s="330">
        <f t="shared" si="50"/>
        <v>1699</v>
      </c>
      <c r="AU131" s="849"/>
      <c r="AV131" s="849"/>
      <c r="AW131" s="2870">
        <f t="shared" si="35"/>
        <v>16987</v>
      </c>
      <c r="AX131" s="3140"/>
      <c r="BB131" s="267"/>
      <c r="BC131" s="4117">
        <f t="shared" si="51"/>
        <v>0</v>
      </c>
      <c r="BD131" s="4117">
        <f t="shared" si="37"/>
        <v>0</v>
      </c>
    </row>
    <row r="132" spans="1:56" ht="64.5" thickBot="1">
      <c r="A132" s="5995" t="s">
        <v>11139</v>
      </c>
      <c r="B132" s="2033" t="s">
        <v>4193</v>
      </c>
      <c r="C132" s="2034">
        <v>0</v>
      </c>
      <c r="D132" s="2035">
        <v>42208</v>
      </c>
      <c r="E132" s="2992" t="s">
        <v>6387</v>
      </c>
      <c r="F132" s="2036">
        <v>41821</v>
      </c>
      <c r="G132" s="3086">
        <v>1.0111000000000001</v>
      </c>
      <c r="H132" s="2037" t="s">
        <v>3781</v>
      </c>
      <c r="I132" s="2038" t="s">
        <v>1433</v>
      </c>
      <c r="J132" s="2039" t="s">
        <v>1434</v>
      </c>
      <c r="K132" s="2040">
        <v>43669</v>
      </c>
      <c r="L132" s="2038" t="s">
        <v>3160</v>
      </c>
      <c r="M132" s="2039" t="s">
        <v>3161</v>
      </c>
      <c r="N132" s="2038" t="s">
        <v>3162</v>
      </c>
      <c r="O132" s="2037" t="s">
        <v>3163</v>
      </c>
      <c r="P132" s="2041" t="s">
        <v>4189</v>
      </c>
      <c r="Q132" s="2039" t="s">
        <v>4191</v>
      </c>
      <c r="R132" s="2039" t="s">
        <v>3060</v>
      </c>
      <c r="S132" s="2042" t="s">
        <v>4188</v>
      </c>
      <c r="T132" s="2043">
        <v>17472</v>
      </c>
      <c r="U132" s="2044">
        <v>0</v>
      </c>
      <c r="V132" s="2045">
        <f t="shared" ref="V132:V195" si="54">T132-U132</f>
        <v>17472</v>
      </c>
      <c r="W132" s="2043">
        <v>21840</v>
      </c>
      <c r="X132" s="2044">
        <v>0</v>
      </c>
      <c r="Y132" s="2045">
        <f t="shared" si="41"/>
        <v>21840</v>
      </c>
      <c r="Z132" s="2043">
        <v>4368</v>
      </c>
      <c r="AA132" s="2044">
        <v>0</v>
      </c>
      <c r="AB132" s="2045">
        <f t="shared" ref="AB132:AB195" si="55">Z132-AA132</f>
        <v>4368</v>
      </c>
      <c r="AC132" s="2046"/>
      <c r="AD132" s="2047"/>
      <c r="AE132" s="2048"/>
      <c r="AF132" s="2046"/>
      <c r="AG132" s="2047"/>
      <c r="AH132" s="2048"/>
      <c r="AI132" s="2049">
        <f t="shared" si="52"/>
        <v>43680</v>
      </c>
      <c r="AJ132" s="2044">
        <f t="shared" si="53"/>
        <v>0</v>
      </c>
      <c r="AK132" s="3903">
        <v>0</v>
      </c>
      <c r="AL132" s="2050">
        <f t="shared" si="40"/>
        <v>43680</v>
      </c>
      <c r="AM132" s="3448" t="s">
        <v>2977</v>
      </c>
      <c r="AN132" s="3449">
        <v>42702</v>
      </c>
      <c r="AO132" s="3450">
        <v>1188047</v>
      </c>
      <c r="AP132" s="3451" t="s">
        <v>4154</v>
      </c>
      <c r="AQ132" s="3452">
        <v>1.0111000000000001</v>
      </c>
      <c r="AR132" s="2051">
        <f t="shared" si="48"/>
        <v>17472</v>
      </c>
      <c r="AS132" s="2052">
        <f t="shared" si="49"/>
        <v>21840</v>
      </c>
      <c r="AT132" s="2052">
        <f t="shared" si="50"/>
        <v>4368</v>
      </c>
      <c r="AU132" s="2053"/>
      <c r="AV132" s="2053"/>
      <c r="AW132" s="2869">
        <f t="shared" ref="AW132:AW195" si="56">SUM(AR132:AV132)</f>
        <v>43680</v>
      </c>
      <c r="AX132" s="2890"/>
      <c r="AY132" s="764" t="s">
        <v>4136</v>
      </c>
      <c r="AZ132" s="1662">
        <f>SUM(AW123:AW132)</f>
        <v>118994</v>
      </c>
      <c r="BA132" s="1663">
        <f>AZ132-BB132</f>
        <v>118994</v>
      </c>
      <c r="BB132" s="884">
        <f>SUM(AU123:AV132)</f>
        <v>0</v>
      </c>
      <c r="BC132" s="4117">
        <f t="shared" si="51"/>
        <v>0</v>
      </c>
      <c r="BD132" s="4117">
        <f t="shared" ref="BD132:BD195" si="57">ROUND($AK132*$AQ132/$G132,0)</f>
        <v>0</v>
      </c>
    </row>
    <row r="133" spans="1:56" ht="89.25">
      <c r="A133" s="5973" t="s">
        <v>11138</v>
      </c>
      <c r="B133" s="908" t="s">
        <v>3556</v>
      </c>
      <c r="C133" s="909">
        <v>0</v>
      </c>
      <c r="D133" s="910">
        <v>42692</v>
      </c>
      <c r="E133" s="3044" t="s">
        <v>6385</v>
      </c>
      <c r="F133" s="1914">
        <v>42614</v>
      </c>
      <c r="G133" s="1607">
        <v>109.7</v>
      </c>
      <c r="H133" s="913" t="s">
        <v>4168</v>
      </c>
      <c r="I133" s="914" t="s">
        <v>1433</v>
      </c>
      <c r="J133" s="915" t="s">
        <v>1434</v>
      </c>
      <c r="K133" s="916">
        <v>44153</v>
      </c>
      <c r="L133" s="914" t="s">
        <v>3991</v>
      </c>
      <c r="M133" s="915" t="s">
        <v>4163</v>
      </c>
      <c r="N133" s="914" t="s">
        <v>4164</v>
      </c>
      <c r="O133" s="913" t="s">
        <v>4165</v>
      </c>
      <c r="P133" s="1018"/>
      <c r="Q133" s="915" t="s">
        <v>4167</v>
      </c>
      <c r="R133" s="915" t="s">
        <v>4166</v>
      </c>
      <c r="S133" s="918"/>
      <c r="T133" s="919">
        <v>16567</v>
      </c>
      <c r="U133" s="920">
        <v>1092</v>
      </c>
      <c r="V133" s="921">
        <f t="shared" si="54"/>
        <v>15475</v>
      </c>
      <c r="W133" s="919">
        <v>6416</v>
      </c>
      <c r="X133" s="920">
        <v>0</v>
      </c>
      <c r="Y133" s="921">
        <f t="shared" si="41"/>
        <v>6416</v>
      </c>
      <c r="Z133" s="919">
        <v>14807</v>
      </c>
      <c r="AA133" s="920">
        <v>0</v>
      </c>
      <c r="AB133" s="921">
        <f t="shared" si="55"/>
        <v>14807</v>
      </c>
      <c r="AC133" s="820"/>
      <c r="AD133" s="821"/>
      <c r="AE133" s="822"/>
      <c r="AF133" s="820"/>
      <c r="AG133" s="821"/>
      <c r="AH133" s="822"/>
      <c r="AI133" s="922">
        <f t="shared" si="52"/>
        <v>37790</v>
      </c>
      <c r="AJ133" s="3921">
        <v>0</v>
      </c>
      <c r="AK133" s="920">
        <f>U133+X133+AA133+AD133+AG133</f>
        <v>1092</v>
      </c>
      <c r="AL133" s="923">
        <f t="shared" si="40"/>
        <v>36698</v>
      </c>
      <c r="AM133" s="1605" t="s">
        <v>1061</v>
      </c>
      <c r="AN133" s="3364">
        <v>42712</v>
      </c>
      <c r="AO133" s="3365">
        <v>1188349</v>
      </c>
      <c r="AP133" s="3366">
        <v>42614</v>
      </c>
      <c r="AQ133" s="3435">
        <v>109.7</v>
      </c>
      <c r="AR133" s="924">
        <f t="shared" si="48"/>
        <v>15475</v>
      </c>
      <c r="AS133" s="925">
        <f t="shared" si="49"/>
        <v>6416</v>
      </c>
      <c r="AT133" s="925">
        <f t="shared" si="50"/>
        <v>14807</v>
      </c>
      <c r="AU133" s="849"/>
      <c r="AV133" s="849"/>
      <c r="AW133" s="2874">
        <f t="shared" si="56"/>
        <v>36698</v>
      </c>
      <c r="AX133" s="3143"/>
      <c r="AY133" s="2006"/>
      <c r="AZ133" s="1726"/>
      <c r="BA133" s="1727"/>
      <c r="BB133" s="1222"/>
      <c r="BC133" s="4117">
        <f t="shared" si="51"/>
        <v>0</v>
      </c>
      <c r="BD133" s="4117">
        <f t="shared" si="57"/>
        <v>1092</v>
      </c>
    </row>
    <row r="134" spans="1:56" ht="114.75">
      <c r="A134" s="5979" t="s">
        <v>11139</v>
      </c>
      <c r="B134" s="908" t="s">
        <v>2955</v>
      </c>
      <c r="C134" s="909">
        <v>1</v>
      </c>
      <c r="D134" s="910" t="s">
        <v>4025</v>
      </c>
      <c r="E134" s="3044" t="s">
        <v>6387</v>
      </c>
      <c r="F134" s="911" t="s">
        <v>6401</v>
      </c>
      <c r="G134" s="3087">
        <v>1.0111000000000001</v>
      </c>
      <c r="H134" s="913" t="s">
        <v>4026</v>
      </c>
      <c r="I134" s="914" t="s">
        <v>1433</v>
      </c>
      <c r="J134" s="915" t="s">
        <v>1434</v>
      </c>
      <c r="K134" s="916">
        <v>44034</v>
      </c>
      <c r="L134" s="914" t="s">
        <v>3917</v>
      </c>
      <c r="M134" s="915" t="s">
        <v>3726</v>
      </c>
      <c r="N134" s="914" t="s">
        <v>3918</v>
      </c>
      <c r="O134" s="913" t="s">
        <v>3919</v>
      </c>
      <c r="P134" s="1018" t="s">
        <v>3921</v>
      </c>
      <c r="Q134" s="915" t="s">
        <v>4027</v>
      </c>
      <c r="R134" s="915" t="s">
        <v>3920</v>
      </c>
      <c r="S134" s="918"/>
      <c r="T134" s="919">
        <v>48155</v>
      </c>
      <c r="U134" s="920">
        <v>0</v>
      </c>
      <c r="V134" s="921">
        <f t="shared" si="54"/>
        <v>48155</v>
      </c>
      <c r="W134" s="919">
        <v>8497</v>
      </c>
      <c r="X134" s="920">
        <v>0</v>
      </c>
      <c r="Y134" s="921">
        <f t="shared" si="41"/>
        <v>8497</v>
      </c>
      <c r="Z134" s="919">
        <v>0</v>
      </c>
      <c r="AA134" s="920">
        <v>0</v>
      </c>
      <c r="AB134" s="921">
        <f t="shared" si="55"/>
        <v>0</v>
      </c>
      <c r="AC134" s="820"/>
      <c r="AD134" s="821"/>
      <c r="AE134" s="822"/>
      <c r="AF134" s="820"/>
      <c r="AG134" s="821"/>
      <c r="AH134" s="822"/>
      <c r="AI134" s="922">
        <f t="shared" si="52"/>
        <v>56652</v>
      </c>
      <c r="AJ134" s="920">
        <f t="shared" ref="AJ134:AJ150" si="58">U134+X134+AA134+AD134+AG134</f>
        <v>0</v>
      </c>
      <c r="AK134" s="3907">
        <v>0</v>
      </c>
      <c r="AL134" s="923">
        <f t="shared" si="40"/>
        <v>56652</v>
      </c>
      <c r="AM134" s="1605" t="s">
        <v>1061</v>
      </c>
      <c r="AN134" s="3364">
        <v>42726</v>
      </c>
      <c r="AO134" s="3365">
        <v>1188705</v>
      </c>
      <c r="AP134" s="3366" t="s">
        <v>4154</v>
      </c>
      <c r="AQ134" s="3435">
        <v>1.0111000000000001</v>
      </c>
      <c r="AR134" s="924">
        <f t="shared" si="48"/>
        <v>48155</v>
      </c>
      <c r="AS134" s="925">
        <f t="shared" si="49"/>
        <v>8497</v>
      </c>
      <c r="AT134" s="925">
        <f t="shared" si="50"/>
        <v>0</v>
      </c>
      <c r="AU134" s="849"/>
      <c r="AV134" s="849"/>
      <c r="AW134" s="2874">
        <f t="shared" si="56"/>
        <v>56652</v>
      </c>
      <c r="AX134" s="3143"/>
      <c r="AY134" s="2006"/>
      <c r="AZ134" s="1726"/>
      <c r="BA134" s="1727"/>
      <c r="BB134" s="1222"/>
      <c r="BC134" s="4117">
        <f t="shared" si="51"/>
        <v>0</v>
      </c>
      <c r="BD134" s="4117">
        <f t="shared" si="57"/>
        <v>0</v>
      </c>
    </row>
    <row r="135" spans="1:56" ht="204.75" thickBot="1">
      <c r="A135" s="5996" t="s">
        <v>11139</v>
      </c>
      <c r="B135" s="2086" t="s">
        <v>3322</v>
      </c>
      <c r="C135" s="2087">
        <v>2</v>
      </c>
      <c r="D135" s="2088" t="s">
        <v>3544</v>
      </c>
      <c r="E135" s="3042" t="s">
        <v>6387</v>
      </c>
      <c r="F135" s="2089">
        <v>41821</v>
      </c>
      <c r="G135" s="2090">
        <v>1</v>
      </c>
      <c r="H135" s="2091" t="s">
        <v>3440</v>
      </c>
      <c r="I135" s="2092" t="s">
        <v>1433</v>
      </c>
      <c r="J135" s="2093" t="s">
        <v>1434</v>
      </c>
      <c r="K135" s="2094" t="s">
        <v>3543</v>
      </c>
      <c r="L135" s="2092" t="s">
        <v>3071</v>
      </c>
      <c r="M135" s="2093" t="s">
        <v>2046</v>
      </c>
      <c r="N135" s="2092" t="s">
        <v>3072</v>
      </c>
      <c r="O135" s="2091" t="s">
        <v>3073</v>
      </c>
      <c r="P135" s="2095" t="s">
        <v>3579</v>
      </c>
      <c r="Q135" s="2093" t="s">
        <v>3441</v>
      </c>
      <c r="R135" s="2093" t="s">
        <v>3074</v>
      </c>
      <c r="S135" s="2096" t="s">
        <v>3578</v>
      </c>
      <c r="T135" s="2097">
        <v>73437</v>
      </c>
      <c r="U135" s="2098">
        <v>0</v>
      </c>
      <c r="V135" s="2099">
        <f t="shared" si="54"/>
        <v>73437</v>
      </c>
      <c r="W135" s="2097">
        <v>12960</v>
      </c>
      <c r="X135" s="2098">
        <v>2520</v>
      </c>
      <c r="Y135" s="2099">
        <f t="shared" si="41"/>
        <v>10440</v>
      </c>
      <c r="Z135" s="2097">
        <v>27760</v>
      </c>
      <c r="AA135" s="2098">
        <v>0</v>
      </c>
      <c r="AB135" s="2099">
        <f t="shared" si="55"/>
        <v>27760</v>
      </c>
      <c r="AC135" s="2046"/>
      <c r="AD135" s="2100"/>
      <c r="AE135" s="2101"/>
      <c r="AF135" s="2046"/>
      <c r="AG135" s="2100"/>
      <c r="AH135" s="2101"/>
      <c r="AI135" s="2102">
        <f t="shared" si="52"/>
        <v>114157</v>
      </c>
      <c r="AJ135" s="2098">
        <f t="shared" si="58"/>
        <v>2520</v>
      </c>
      <c r="AK135" s="3901">
        <v>0</v>
      </c>
      <c r="AL135" s="2103">
        <f t="shared" si="40"/>
        <v>111637</v>
      </c>
      <c r="AM135" s="3453" t="s">
        <v>1061</v>
      </c>
      <c r="AN135" s="3454">
        <v>42726</v>
      </c>
      <c r="AO135" s="2087">
        <v>1188727</v>
      </c>
      <c r="AP135" s="3455">
        <v>41821</v>
      </c>
      <c r="AQ135" s="3456">
        <v>1</v>
      </c>
      <c r="AR135" s="2104">
        <f t="shared" si="48"/>
        <v>73437</v>
      </c>
      <c r="AS135" s="2105">
        <f t="shared" si="49"/>
        <v>10440</v>
      </c>
      <c r="AT135" s="2105">
        <f t="shared" si="50"/>
        <v>27760</v>
      </c>
      <c r="AU135" s="2106"/>
      <c r="AV135" s="2106"/>
      <c r="AW135" s="2867">
        <f t="shared" si="56"/>
        <v>111637</v>
      </c>
      <c r="AX135" s="2888"/>
      <c r="AY135" s="743" t="s">
        <v>4217</v>
      </c>
      <c r="AZ135" s="1680">
        <f>SUM(AW133:AW135)</f>
        <v>204987</v>
      </c>
      <c r="BA135" s="1681">
        <f>AZ135-BB135</f>
        <v>204987</v>
      </c>
      <c r="BB135" s="929">
        <f>SUM(AU133:AV135)</f>
        <v>0</v>
      </c>
      <c r="BC135" s="4117">
        <v>0</v>
      </c>
      <c r="BD135" s="4117">
        <f t="shared" si="57"/>
        <v>0</v>
      </c>
    </row>
    <row r="136" spans="1:56" ht="38.25">
      <c r="A136" s="5966" t="s">
        <v>11135</v>
      </c>
      <c r="B136" s="827" t="s">
        <v>3719</v>
      </c>
      <c r="C136" s="828">
        <v>0</v>
      </c>
      <c r="D136" s="829">
        <v>42227</v>
      </c>
      <c r="E136" s="829" t="s">
        <v>6387</v>
      </c>
      <c r="F136" s="830">
        <v>41821</v>
      </c>
      <c r="G136" s="1591">
        <v>1</v>
      </c>
      <c r="H136" s="832" t="s">
        <v>3217</v>
      </c>
      <c r="I136" s="833" t="s">
        <v>1433</v>
      </c>
      <c r="J136" s="834" t="s">
        <v>1434</v>
      </c>
      <c r="K136" s="835">
        <v>43688</v>
      </c>
      <c r="L136" s="833" t="s">
        <v>3218</v>
      </c>
      <c r="M136" s="834" t="s">
        <v>1957</v>
      </c>
      <c r="N136" s="833" t="s">
        <v>3219</v>
      </c>
      <c r="O136" s="832" t="s">
        <v>3220</v>
      </c>
      <c r="P136" s="836"/>
      <c r="Q136" s="834" t="s">
        <v>3221</v>
      </c>
      <c r="R136" s="834" t="s">
        <v>3222</v>
      </c>
      <c r="S136" s="837"/>
      <c r="T136" s="838">
        <v>2880</v>
      </c>
      <c r="U136" s="839">
        <v>0</v>
      </c>
      <c r="V136" s="840">
        <f t="shared" si="54"/>
        <v>2880</v>
      </c>
      <c r="W136" s="838">
        <v>3600</v>
      </c>
      <c r="X136" s="839">
        <v>0</v>
      </c>
      <c r="Y136" s="840">
        <f t="shared" si="41"/>
        <v>3600</v>
      </c>
      <c r="Z136" s="838">
        <v>720</v>
      </c>
      <c r="AA136" s="839">
        <v>0</v>
      </c>
      <c r="AB136" s="840">
        <f t="shared" si="55"/>
        <v>720</v>
      </c>
      <c r="AC136" s="823"/>
      <c r="AD136" s="824"/>
      <c r="AE136" s="825"/>
      <c r="AF136" s="823"/>
      <c r="AG136" s="824"/>
      <c r="AH136" s="825"/>
      <c r="AI136" s="841">
        <f t="shared" si="52"/>
        <v>7200</v>
      </c>
      <c r="AJ136" s="839">
        <f t="shared" si="58"/>
        <v>0</v>
      </c>
      <c r="AK136" s="3906">
        <v>0</v>
      </c>
      <c r="AL136" s="869">
        <f t="shared" si="40"/>
        <v>7200</v>
      </c>
      <c r="AM136" s="3369" t="s">
        <v>1061</v>
      </c>
      <c r="AN136" s="3360">
        <v>42746</v>
      </c>
      <c r="AO136" s="3361">
        <v>118930</v>
      </c>
      <c r="AP136" s="3362" t="s">
        <v>4154</v>
      </c>
      <c r="AQ136" s="3437">
        <v>1.0111000000000001</v>
      </c>
      <c r="AR136" s="846">
        <f t="shared" si="48"/>
        <v>2912</v>
      </c>
      <c r="AS136" s="847">
        <f t="shared" si="49"/>
        <v>3640</v>
      </c>
      <c r="AT136" s="847">
        <f t="shared" si="50"/>
        <v>728</v>
      </c>
      <c r="AU136" s="848"/>
      <c r="AV136" s="848"/>
      <c r="AW136" s="2868">
        <f t="shared" si="56"/>
        <v>7280</v>
      </c>
      <c r="AX136" s="2889"/>
      <c r="BB136" s="267"/>
      <c r="BC136" s="4117">
        <f t="shared" ref="BC136:BC156" si="59">ROUND($AJ136*$AQ136/$G136,0)</f>
        <v>0</v>
      </c>
      <c r="BD136" s="4117">
        <f t="shared" si="57"/>
        <v>0</v>
      </c>
    </row>
    <row r="137" spans="1:56" ht="76.5">
      <c r="A137" s="2418" t="s">
        <v>11135</v>
      </c>
      <c r="B137" s="338" t="s">
        <v>4278</v>
      </c>
      <c r="C137" s="321">
        <v>0</v>
      </c>
      <c r="D137" s="323">
        <v>42205</v>
      </c>
      <c r="E137" s="3012" t="s">
        <v>6387</v>
      </c>
      <c r="F137" s="324">
        <v>41821</v>
      </c>
      <c r="G137" s="331">
        <v>1</v>
      </c>
      <c r="H137" s="332" t="s">
        <v>3150</v>
      </c>
      <c r="I137" s="339" t="s">
        <v>1433</v>
      </c>
      <c r="J137" s="322" t="s">
        <v>1434</v>
      </c>
      <c r="K137" s="340">
        <v>43666</v>
      </c>
      <c r="L137" s="339" t="s">
        <v>3151</v>
      </c>
      <c r="M137" s="322" t="s">
        <v>1957</v>
      </c>
      <c r="N137" s="339" t="s">
        <v>3152</v>
      </c>
      <c r="O137" s="332" t="s">
        <v>3153</v>
      </c>
      <c r="P137" s="345"/>
      <c r="Q137" s="322" t="s">
        <v>3154</v>
      </c>
      <c r="R137" s="322" t="s">
        <v>3158</v>
      </c>
      <c r="S137" s="346"/>
      <c r="T137" s="347"/>
      <c r="U137" s="326">
        <v>0</v>
      </c>
      <c r="V137" s="348">
        <f t="shared" si="54"/>
        <v>0</v>
      </c>
      <c r="W137" s="347"/>
      <c r="X137" s="326">
        <v>0</v>
      </c>
      <c r="Y137" s="348">
        <f t="shared" si="41"/>
        <v>0</v>
      </c>
      <c r="Z137" s="347">
        <v>9890</v>
      </c>
      <c r="AA137" s="326">
        <v>0</v>
      </c>
      <c r="AB137" s="348">
        <f t="shared" si="55"/>
        <v>9890</v>
      </c>
      <c r="AC137" s="820"/>
      <c r="AD137" s="821"/>
      <c r="AE137" s="822"/>
      <c r="AF137" s="820"/>
      <c r="AG137" s="821"/>
      <c r="AH137" s="822"/>
      <c r="AI137" s="482">
        <f t="shared" si="52"/>
        <v>9890</v>
      </c>
      <c r="AJ137" s="326">
        <f t="shared" si="58"/>
        <v>0</v>
      </c>
      <c r="AK137" s="3899">
        <v>0</v>
      </c>
      <c r="AL137" s="349">
        <f t="shared" si="40"/>
        <v>9890</v>
      </c>
      <c r="AM137" s="2002" t="s">
        <v>4279</v>
      </c>
      <c r="AN137" s="3357"/>
      <c r="AO137" s="695"/>
      <c r="AP137" s="2722" t="s">
        <v>4154</v>
      </c>
      <c r="AQ137" s="3438">
        <v>1.0111000000000001</v>
      </c>
      <c r="AR137" s="333"/>
      <c r="AS137" s="330"/>
      <c r="AT137" s="847">
        <f t="shared" si="50"/>
        <v>10000</v>
      </c>
      <c r="AU137" s="849"/>
      <c r="AV137" s="849"/>
      <c r="AW137" s="2870">
        <f t="shared" si="56"/>
        <v>10000</v>
      </c>
      <c r="AX137" s="3147" t="s">
        <v>4280</v>
      </c>
      <c r="BB137" s="267"/>
      <c r="BC137" s="4117">
        <f t="shared" si="59"/>
        <v>0</v>
      </c>
      <c r="BD137" s="4117">
        <f t="shared" si="57"/>
        <v>0</v>
      </c>
    </row>
    <row r="138" spans="1:56" ht="38.25">
      <c r="A138" s="2418" t="s">
        <v>11135</v>
      </c>
      <c r="B138" s="338" t="s">
        <v>2943</v>
      </c>
      <c r="C138" s="321">
        <v>0</v>
      </c>
      <c r="D138" s="323">
        <v>42356</v>
      </c>
      <c r="E138" s="3012" t="s">
        <v>6387</v>
      </c>
      <c r="F138" s="324">
        <v>41821</v>
      </c>
      <c r="G138" s="331">
        <v>1</v>
      </c>
      <c r="H138" s="332" t="s">
        <v>3612</v>
      </c>
      <c r="I138" s="339" t="s">
        <v>1436</v>
      </c>
      <c r="J138" s="322" t="s">
        <v>1437</v>
      </c>
      <c r="K138" s="340">
        <v>43817</v>
      </c>
      <c r="L138" s="339" t="s">
        <v>842</v>
      </c>
      <c r="M138" s="322" t="s">
        <v>3613</v>
      </c>
      <c r="N138" s="339" t="s">
        <v>3614</v>
      </c>
      <c r="O138" s="332" t="s">
        <v>3615</v>
      </c>
      <c r="P138" s="345"/>
      <c r="Q138" s="322" t="s">
        <v>3616</v>
      </c>
      <c r="R138" s="322" t="s">
        <v>3617</v>
      </c>
      <c r="S138" s="346"/>
      <c r="T138" s="347">
        <v>67200</v>
      </c>
      <c r="U138" s="326">
        <v>0</v>
      </c>
      <c r="V138" s="348">
        <f t="shared" si="54"/>
        <v>67200</v>
      </c>
      <c r="W138" s="347">
        <v>84000</v>
      </c>
      <c r="X138" s="326">
        <v>0</v>
      </c>
      <c r="Y138" s="348">
        <f t="shared" si="41"/>
        <v>84000</v>
      </c>
      <c r="Z138" s="347">
        <v>16800</v>
      </c>
      <c r="AA138" s="326">
        <v>0</v>
      </c>
      <c r="AB138" s="348">
        <f t="shared" si="55"/>
        <v>16800</v>
      </c>
      <c r="AC138" s="820"/>
      <c r="AD138" s="821"/>
      <c r="AE138" s="822"/>
      <c r="AF138" s="820"/>
      <c r="AG138" s="821"/>
      <c r="AH138" s="822"/>
      <c r="AI138" s="482">
        <f t="shared" si="52"/>
        <v>168000</v>
      </c>
      <c r="AJ138" s="326">
        <f t="shared" si="58"/>
        <v>0</v>
      </c>
      <c r="AK138" s="3899">
        <v>0</v>
      </c>
      <c r="AL138" s="349">
        <f t="shared" si="40"/>
        <v>168000</v>
      </c>
      <c r="AM138" s="2002" t="s">
        <v>2977</v>
      </c>
      <c r="AN138" s="3357">
        <v>42765</v>
      </c>
      <c r="AO138" s="695">
        <v>1189758</v>
      </c>
      <c r="AP138" s="2722" t="s">
        <v>4154</v>
      </c>
      <c r="AQ138" s="3438">
        <v>1.0111000000000001</v>
      </c>
      <c r="AR138" s="333">
        <f t="shared" ref="AR138:AR148" si="60">ROUND($AQ138/$G138*V138,0)</f>
        <v>67946</v>
      </c>
      <c r="AS138" s="330">
        <f t="shared" ref="AS138:AS148" si="61">ROUND($AQ138/$G138*Y138,0)</f>
        <v>84932</v>
      </c>
      <c r="AT138" s="330">
        <f t="shared" si="50"/>
        <v>16986</v>
      </c>
      <c r="AU138" s="849"/>
      <c r="AV138" s="849"/>
      <c r="AW138" s="2873">
        <f t="shared" si="56"/>
        <v>169864</v>
      </c>
      <c r="AX138" s="3140"/>
      <c r="BB138" s="267"/>
      <c r="BC138" s="4117">
        <f t="shared" si="59"/>
        <v>0</v>
      </c>
      <c r="BD138" s="4117">
        <f t="shared" si="57"/>
        <v>0</v>
      </c>
    </row>
    <row r="139" spans="1:56" ht="51">
      <c r="A139" s="2418" t="s">
        <v>11135</v>
      </c>
      <c r="B139" s="338" t="s">
        <v>2961</v>
      </c>
      <c r="C139" s="321">
        <v>0</v>
      </c>
      <c r="D139" s="323">
        <v>42647</v>
      </c>
      <c r="E139" s="3012" t="s">
        <v>6387</v>
      </c>
      <c r="F139" s="324" t="s">
        <v>3976</v>
      </c>
      <c r="G139" s="3085">
        <v>1.0111000000000001</v>
      </c>
      <c r="H139" s="332" t="s">
        <v>4063</v>
      </c>
      <c r="I139" s="339" t="s">
        <v>1433</v>
      </c>
      <c r="J139" s="322" t="s">
        <v>1434</v>
      </c>
      <c r="K139" s="340">
        <v>44108</v>
      </c>
      <c r="L139" s="339" t="s">
        <v>4064</v>
      </c>
      <c r="M139" s="322" t="s">
        <v>4065</v>
      </c>
      <c r="N139" s="339" t="s">
        <v>4067</v>
      </c>
      <c r="O139" s="332" t="s">
        <v>4066</v>
      </c>
      <c r="P139" s="345"/>
      <c r="Q139" s="322" t="s">
        <v>4069</v>
      </c>
      <c r="R139" s="322" t="s">
        <v>4070</v>
      </c>
      <c r="S139" s="1577" t="s">
        <v>4068</v>
      </c>
      <c r="T139" s="347">
        <v>4764</v>
      </c>
      <c r="U139" s="326">
        <v>2382</v>
      </c>
      <c r="V139" s="348">
        <f t="shared" si="54"/>
        <v>2382</v>
      </c>
      <c r="W139" s="347">
        <v>841</v>
      </c>
      <c r="X139" s="326">
        <v>421</v>
      </c>
      <c r="Y139" s="348">
        <f t="shared" si="41"/>
        <v>420</v>
      </c>
      <c r="Z139" s="347">
        <v>0</v>
      </c>
      <c r="AA139" s="326">
        <v>0</v>
      </c>
      <c r="AB139" s="348">
        <f t="shared" si="55"/>
        <v>0</v>
      </c>
      <c r="AC139" s="820"/>
      <c r="AD139" s="821"/>
      <c r="AE139" s="822"/>
      <c r="AF139" s="820"/>
      <c r="AG139" s="821"/>
      <c r="AH139" s="822"/>
      <c r="AI139" s="482">
        <f t="shared" si="52"/>
        <v>5605</v>
      </c>
      <c r="AJ139" s="326">
        <f t="shared" si="58"/>
        <v>2803</v>
      </c>
      <c r="AK139" s="3899">
        <v>0</v>
      </c>
      <c r="AL139" s="349">
        <f t="shared" si="40"/>
        <v>2802</v>
      </c>
      <c r="AM139" s="2002" t="s">
        <v>1061</v>
      </c>
      <c r="AN139" s="3357">
        <v>42765</v>
      </c>
      <c r="AO139" s="695">
        <v>118759</v>
      </c>
      <c r="AP139" s="2722" t="s">
        <v>4154</v>
      </c>
      <c r="AQ139" s="3438">
        <v>1.0111000000000001</v>
      </c>
      <c r="AR139" s="333">
        <f t="shared" si="60"/>
        <v>2382</v>
      </c>
      <c r="AS139" s="330">
        <f t="shared" si="61"/>
        <v>420</v>
      </c>
      <c r="AT139" s="330">
        <f t="shared" si="50"/>
        <v>0</v>
      </c>
      <c r="AU139" s="849"/>
      <c r="AV139" s="849"/>
      <c r="AW139" s="2870">
        <f t="shared" si="56"/>
        <v>2802</v>
      </c>
      <c r="AX139" s="3140"/>
      <c r="BB139" s="267"/>
      <c r="BC139" s="4117">
        <f t="shared" si="59"/>
        <v>2803</v>
      </c>
      <c r="BD139" s="4117">
        <f t="shared" si="57"/>
        <v>0</v>
      </c>
    </row>
    <row r="140" spans="1:56" ht="77.25" thickBot="1">
      <c r="A140" s="5997" t="s">
        <v>11143</v>
      </c>
      <c r="B140" s="2033" t="s">
        <v>3888</v>
      </c>
      <c r="C140" s="2108" t="s">
        <v>1432</v>
      </c>
      <c r="D140" s="2109">
        <v>41163</v>
      </c>
      <c r="E140" s="2992" t="s">
        <v>6393</v>
      </c>
      <c r="F140" s="3088" t="s">
        <v>3978</v>
      </c>
      <c r="G140" s="3089">
        <v>1</v>
      </c>
      <c r="H140" s="2110" t="s">
        <v>1522</v>
      </c>
      <c r="I140" s="2038" t="s">
        <v>1433</v>
      </c>
      <c r="J140" s="2111" t="s">
        <v>1434</v>
      </c>
      <c r="K140" s="2112">
        <v>42619</v>
      </c>
      <c r="L140" s="2038" t="s">
        <v>1814</v>
      </c>
      <c r="M140" s="2111" t="s">
        <v>1810</v>
      </c>
      <c r="N140" s="2038" t="s">
        <v>2830</v>
      </c>
      <c r="O140" s="2110" t="s">
        <v>2831</v>
      </c>
      <c r="P140" s="2113" t="s">
        <v>3509</v>
      </c>
      <c r="Q140" s="2111" t="s">
        <v>1660</v>
      </c>
      <c r="R140" s="2111" t="s">
        <v>1523</v>
      </c>
      <c r="S140" s="3922" t="s">
        <v>7228</v>
      </c>
      <c r="T140" s="2043">
        <v>553</v>
      </c>
      <c r="U140" s="2114">
        <v>0</v>
      </c>
      <c r="V140" s="2115">
        <f t="shared" si="54"/>
        <v>553</v>
      </c>
      <c r="W140" s="2043">
        <v>98</v>
      </c>
      <c r="X140" s="2114">
        <v>0</v>
      </c>
      <c r="Y140" s="2115">
        <f t="shared" si="41"/>
        <v>98</v>
      </c>
      <c r="Z140" s="2043">
        <v>40</v>
      </c>
      <c r="AA140" s="2114">
        <v>0</v>
      </c>
      <c r="AB140" s="2115">
        <f t="shared" si="55"/>
        <v>40</v>
      </c>
      <c r="AC140" s="2046"/>
      <c r="AD140" s="2100"/>
      <c r="AE140" s="2101"/>
      <c r="AF140" s="2046"/>
      <c r="AG140" s="2100"/>
      <c r="AH140" s="2101"/>
      <c r="AI140" s="2049">
        <f t="shared" si="52"/>
        <v>691</v>
      </c>
      <c r="AJ140" s="2114">
        <f t="shared" si="58"/>
        <v>0</v>
      </c>
      <c r="AK140" s="3903">
        <v>0</v>
      </c>
      <c r="AL140" s="2116">
        <f t="shared" ref="AL140:AL203" si="62">V140+Y140+AB140+AE140+AH140</f>
        <v>691</v>
      </c>
      <c r="AM140" s="3457" t="s">
        <v>1061</v>
      </c>
      <c r="AN140" s="3458">
        <v>42766</v>
      </c>
      <c r="AO140" s="3459">
        <v>1189898</v>
      </c>
      <c r="AP140" s="3460" t="s">
        <v>4314</v>
      </c>
      <c r="AQ140" s="3461">
        <v>1</v>
      </c>
      <c r="AR140" s="2051">
        <f t="shared" si="60"/>
        <v>553</v>
      </c>
      <c r="AS140" s="2117">
        <f t="shared" si="61"/>
        <v>98</v>
      </c>
      <c r="AT140" s="2117">
        <f t="shared" si="50"/>
        <v>40</v>
      </c>
      <c r="AU140" s="2106"/>
      <c r="AV140" s="2106"/>
      <c r="AW140" s="2869">
        <f t="shared" si="56"/>
        <v>691</v>
      </c>
      <c r="AX140" s="2890" t="s">
        <v>4318</v>
      </c>
      <c r="AY140" s="764" t="s">
        <v>4277</v>
      </c>
      <c r="AZ140" s="1662">
        <f>SUM(AW136:AW140)</f>
        <v>190637</v>
      </c>
      <c r="BA140" s="1663">
        <f>AZ140-BB140</f>
        <v>190637</v>
      </c>
      <c r="BB140" s="884">
        <f>SUM(AU136:AV140)</f>
        <v>0</v>
      </c>
      <c r="BC140" s="4117">
        <f t="shared" si="59"/>
        <v>0</v>
      </c>
      <c r="BD140" s="4117">
        <f t="shared" si="57"/>
        <v>0</v>
      </c>
    </row>
    <row r="141" spans="1:56" ht="51">
      <c r="A141" s="5981" t="s">
        <v>11135</v>
      </c>
      <c r="B141" s="1538" t="s">
        <v>4304</v>
      </c>
      <c r="C141" s="1509">
        <v>0</v>
      </c>
      <c r="D141" s="1510">
        <v>42711</v>
      </c>
      <c r="E141" s="3047" t="s">
        <v>6385</v>
      </c>
      <c r="F141" s="1511" t="s">
        <v>3988</v>
      </c>
      <c r="G141" s="3090">
        <v>1.0111000000000001</v>
      </c>
      <c r="H141" s="1513" t="s">
        <v>4218</v>
      </c>
      <c r="I141" s="1514" t="s">
        <v>1433</v>
      </c>
      <c r="J141" s="1515" t="s">
        <v>1434</v>
      </c>
      <c r="K141" s="1516">
        <v>44172</v>
      </c>
      <c r="L141" s="1514" t="s">
        <v>4219</v>
      </c>
      <c r="M141" s="1515" t="s">
        <v>1957</v>
      </c>
      <c r="N141" s="1514" t="s">
        <v>4220</v>
      </c>
      <c r="O141" s="1513" t="s">
        <v>4251</v>
      </c>
      <c r="P141" s="1517"/>
      <c r="Q141" s="1515" t="s">
        <v>4221</v>
      </c>
      <c r="R141" s="1515" t="s">
        <v>3617</v>
      </c>
      <c r="S141" s="1518"/>
      <c r="T141" s="1519">
        <v>2912</v>
      </c>
      <c r="U141" s="1504">
        <v>0</v>
      </c>
      <c r="V141" s="1520">
        <f t="shared" si="54"/>
        <v>2912</v>
      </c>
      <c r="W141" s="1519">
        <v>3640</v>
      </c>
      <c r="X141" s="1504">
        <v>0</v>
      </c>
      <c r="Y141" s="1520">
        <f t="shared" si="41"/>
        <v>3640</v>
      </c>
      <c r="Z141" s="1519">
        <v>728</v>
      </c>
      <c r="AA141" s="1504">
        <v>0</v>
      </c>
      <c r="AB141" s="1520">
        <f t="shared" si="55"/>
        <v>728</v>
      </c>
      <c r="AC141" s="820"/>
      <c r="AD141" s="821"/>
      <c r="AE141" s="822"/>
      <c r="AF141" s="820"/>
      <c r="AG141" s="821"/>
      <c r="AH141" s="822"/>
      <c r="AI141" s="1503">
        <f t="shared" si="52"/>
        <v>7280</v>
      </c>
      <c r="AJ141" s="1504">
        <f t="shared" si="58"/>
        <v>0</v>
      </c>
      <c r="AK141" s="3912">
        <v>0</v>
      </c>
      <c r="AL141" s="1505">
        <f t="shared" si="62"/>
        <v>7280</v>
      </c>
      <c r="AM141" s="1508" t="s">
        <v>1061</v>
      </c>
      <c r="AN141" s="3401">
        <v>42772</v>
      </c>
      <c r="AO141" s="3402">
        <v>1190208</v>
      </c>
      <c r="AP141" s="2664" t="s">
        <v>4154</v>
      </c>
      <c r="AQ141" s="3462">
        <v>1.0111000000000001</v>
      </c>
      <c r="AR141" s="1506">
        <f t="shared" si="60"/>
        <v>2912</v>
      </c>
      <c r="AS141" s="1507">
        <f t="shared" si="61"/>
        <v>3640</v>
      </c>
      <c r="AT141" s="1507">
        <f t="shared" si="50"/>
        <v>728</v>
      </c>
      <c r="AU141" s="849"/>
      <c r="AV141" s="849"/>
      <c r="AW141" s="2878">
        <f t="shared" si="56"/>
        <v>7280</v>
      </c>
      <c r="AX141" s="3146"/>
      <c r="AY141" s="297"/>
      <c r="AZ141" s="297"/>
      <c r="BA141" s="343"/>
      <c r="BB141" s="2616"/>
      <c r="BC141" s="4117">
        <f t="shared" si="59"/>
        <v>0</v>
      </c>
      <c r="BD141" s="4117">
        <f t="shared" si="57"/>
        <v>0</v>
      </c>
    </row>
    <row r="142" spans="1:56" ht="76.5">
      <c r="A142" s="5981" t="s">
        <v>11135</v>
      </c>
      <c r="B142" s="1538" t="s">
        <v>4316</v>
      </c>
      <c r="C142" s="1509">
        <v>0</v>
      </c>
      <c r="D142" s="1510">
        <v>42283</v>
      </c>
      <c r="E142" s="3047" t="s">
        <v>6387</v>
      </c>
      <c r="F142" s="1511">
        <v>41821</v>
      </c>
      <c r="G142" s="2136">
        <v>1</v>
      </c>
      <c r="H142" s="1513" t="s">
        <v>3360</v>
      </c>
      <c r="I142" s="1514" t="s">
        <v>1433</v>
      </c>
      <c r="J142" s="1515" t="s">
        <v>1434</v>
      </c>
      <c r="K142" s="1516">
        <v>43744</v>
      </c>
      <c r="L142" s="1514" t="s">
        <v>3361</v>
      </c>
      <c r="M142" s="1515" t="s">
        <v>3362</v>
      </c>
      <c r="N142" s="1514" t="s">
        <v>3363</v>
      </c>
      <c r="O142" s="1513" t="s">
        <v>3364</v>
      </c>
      <c r="P142" s="1517"/>
      <c r="Q142" s="1515" t="s">
        <v>3369</v>
      </c>
      <c r="R142" s="1515" t="s">
        <v>3114</v>
      </c>
      <c r="S142" s="1518"/>
      <c r="T142" s="1519">
        <v>6720</v>
      </c>
      <c r="U142" s="1504">
        <v>0</v>
      </c>
      <c r="V142" s="1520">
        <f t="shared" si="54"/>
        <v>6720</v>
      </c>
      <c r="W142" s="1519">
        <v>8400</v>
      </c>
      <c r="X142" s="1504">
        <v>0</v>
      </c>
      <c r="Y142" s="1520">
        <f t="shared" si="41"/>
        <v>8400</v>
      </c>
      <c r="Z142" s="1519">
        <v>1680</v>
      </c>
      <c r="AA142" s="1504">
        <v>0</v>
      </c>
      <c r="AB142" s="1520">
        <f t="shared" si="55"/>
        <v>1680</v>
      </c>
      <c r="AC142" s="820"/>
      <c r="AD142" s="821"/>
      <c r="AE142" s="822"/>
      <c r="AF142" s="820"/>
      <c r="AG142" s="821"/>
      <c r="AH142" s="822"/>
      <c r="AI142" s="1503">
        <f t="shared" si="52"/>
        <v>16800</v>
      </c>
      <c r="AJ142" s="1504">
        <f t="shared" si="58"/>
        <v>0</v>
      </c>
      <c r="AK142" s="3912">
        <v>0</v>
      </c>
      <c r="AL142" s="1505">
        <f t="shared" si="62"/>
        <v>16800</v>
      </c>
      <c r="AM142" s="1508" t="s">
        <v>1061</v>
      </c>
      <c r="AN142" s="3401">
        <v>42775</v>
      </c>
      <c r="AO142" s="3402">
        <v>1190555</v>
      </c>
      <c r="AP142" s="2664" t="s">
        <v>4154</v>
      </c>
      <c r="AQ142" s="3462">
        <v>1.0111000000000001</v>
      </c>
      <c r="AR142" s="1506">
        <f t="shared" si="60"/>
        <v>6795</v>
      </c>
      <c r="AS142" s="1507">
        <f t="shared" si="61"/>
        <v>8493</v>
      </c>
      <c r="AT142" s="1507">
        <f t="shared" si="50"/>
        <v>1699</v>
      </c>
      <c r="AU142" s="849"/>
      <c r="AV142" s="849"/>
      <c r="AW142" s="2878">
        <f t="shared" si="56"/>
        <v>16987</v>
      </c>
      <c r="AX142" s="3146"/>
      <c r="BB142" s="267"/>
      <c r="BC142" s="4117">
        <f t="shared" si="59"/>
        <v>0</v>
      </c>
      <c r="BD142" s="4117">
        <f t="shared" si="57"/>
        <v>0</v>
      </c>
    </row>
    <row r="143" spans="1:56" ht="51">
      <c r="A143" s="5978" t="s">
        <v>11140</v>
      </c>
      <c r="B143" s="1538">
        <v>326</v>
      </c>
      <c r="C143" s="1509" t="s">
        <v>1432</v>
      </c>
      <c r="D143" s="1510">
        <v>41263</v>
      </c>
      <c r="E143" s="3047" t="s">
        <v>6393</v>
      </c>
      <c r="F143" s="2139">
        <v>41153</v>
      </c>
      <c r="G143" s="2140">
        <v>101.6</v>
      </c>
      <c r="H143" s="1513" t="s">
        <v>1469</v>
      </c>
      <c r="I143" s="1514" t="s">
        <v>1436</v>
      </c>
      <c r="J143" s="1515" t="s">
        <v>1437</v>
      </c>
      <c r="K143" s="1516">
        <v>42724</v>
      </c>
      <c r="L143" s="1514" t="s">
        <v>1815</v>
      </c>
      <c r="M143" s="1515" t="s">
        <v>1810</v>
      </c>
      <c r="N143" s="1514" t="s">
        <v>1470</v>
      </c>
      <c r="O143" s="1513" t="s">
        <v>1669</v>
      </c>
      <c r="P143" s="1517"/>
      <c r="Q143" s="1515" t="s">
        <v>1666</v>
      </c>
      <c r="R143" s="1515" t="s">
        <v>1443</v>
      </c>
      <c r="S143" s="1518"/>
      <c r="T143" s="1519">
        <v>5008</v>
      </c>
      <c r="U143" s="1504">
        <v>0</v>
      </c>
      <c r="V143" s="1520">
        <f t="shared" si="54"/>
        <v>5008</v>
      </c>
      <c r="W143" s="1519">
        <v>8346</v>
      </c>
      <c r="X143" s="1504">
        <v>0</v>
      </c>
      <c r="Y143" s="1520">
        <f t="shared" si="41"/>
        <v>8346</v>
      </c>
      <c r="Z143" s="1519">
        <v>3339</v>
      </c>
      <c r="AA143" s="1504">
        <v>0</v>
      </c>
      <c r="AB143" s="1520">
        <f t="shared" si="55"/>
        <v>3339</v>
      </c>
      <c r="AC143" s="820">
        <v>0</v>
      </c>
      <c r="AD143" s="821">
        <v>0</v>
      </c>
      <c r="AE143" s="822">
        <f>AC143-AD143</f>
        <v>0</v>
      </c>
      <c r="AF143" s="820">
        <v>0</v>
      </c>
      <c r="AG143" s="821">
        <v>0</v>
      </c>
      <c r="AH143" s="822">
        <f>AF143-AG143</f>
        <v>0</v>
      </c>
      <c r="AI143" s="1503">
        <f t="shared" si="52"/>
        <v>16693</v>
      </c>
      <c r="AJ143" s="1504">
        <f t="shared" si="58"/>
        <v>0</v>
      </c>
      <c r="AK143" s="3912">
        <v>0</v>
      </c>
      <c r="AL143" s="1505">
        <f t="shared" si="62"/>
        <v>16693</v>
      </c>
      <c r="AM143" s="1508" t="s">
        <v>1061</v>
      </c>
      <c r="AN143" s="3401">
        <v>42779</v>
      </c>
      <c r="AO143" s="3402">
        <v>1190791</v>
      </c>
      <c r="AP143" s="3251">
        <v>42705</v>
      </c>
      <c r="AQ143" s="3463">
        <v>110.2</v>
      </c>
      <c r="AR143" s="1506">
        <f t="shared" si="60"/>
        <v>5432</v>
      </c>
      <c r="AS143" s="1507">
        <f t="shared" si="61"/>
        <v>9052</v>
      </c>
      <c r="AT143" s="1507">
        <f t="shared" si="50"/>
        <v>3622</v>
      </c>
      <c r="AU143" s="849">
        <f>ROUND($AQ143/$G143*AE143,0)</f>
        <v>0</v>
      </c>
      <c r="AV143" s="849">
        <f>ROUND($AQ143/$G143*AH143,0)</f>
        <v>0</v>
      </c>
      <c r="AW143" s="2878">
        <f t="shared" si="56"/>
        <v>18106</v>
      </c>
      <c r="AX143" s="3146" t="s">
        <v>1728</v>
      </c>
      <c r="BB143" s="267"/>
      <c r="BC143" s="4117">
        <f t="shared" si="59"/>
        <v>0</v>
      </c>
      <c r="BD143" s="4117">
        <f t="shared" si="57"/>
        <v>0</v>
      </c>
    </row>
    <row r="144" spans="1:56" ht="127.5">
      <c r="A144" s="5998" t="s">
        <v>11144</v>
      </c>
      <c r="B144" s="2141" t="s">
        <v>4297</v>
      </c>
      <c r="C144" s="2142">
        <v>0</v>
      </c>
      <c r="D144" s="2143">
        <v>42725</v>
      </c>
      <c r="E144" s="3047" t="s">
        <v>6385</v>
      </c>
      <c r="F144" s="3091" t="s">
        <v>175</v>
      </c>
      <c r="G144" s="3092">
        <v>1</v>
      </c>
      <c r="H144" s="2144" t="s">
        <v>4300</v>
      </c>
      <c r="I144" s="1514" t="s">
        <v>1433</v>
      </c>
      <c r="J144" s="2145" t="s">
        <v>4301</v>
      </c>
      <c r="K144" s="2146" t="s">
        <v>175</v>
      </c>
      <c r="L144" s="2147" t="s">
        <v>4298</v>
      </c>
      <c r="M144" s="2148" t="s">
        <v>4299</v>
      </c>
      <c r="N144" s="2147" t="s">
        <v>4296</v>
      </c>
      <c r="O144" s="2144" t="s">
        <v>4302</v>
      </c>
      <c r="P144" s="2149" t="s">
        <v>4303</v>
      </c>
      <c r="Q144" s="2150" t="s">
        <v>175</v>
      </c>
      <c r="R144" s="2150" t="s">
        <v>175</v>
      </c>
      <c r="S144" s="2151"/>
      <c r="T144" s="1519">
        <v>46000</v>
      </c>
      <c r="U144" s="1504">
        <v>0</v>
      </c>
      <c r="V144" s="1520">
        <f t="shared" si="54"/>
        <v>46000</v>
      </c>
      <c r="W144" s="1519">
        <v>0</v>
      </c>
      <c r="X144" s="1504">
        <v>0</v>
      </c>
      <c r="Y144" s="1520">
        <f t="shared" si="41"/>
        <v>0</v>
      </c>
      <c r="Z144" s="1519">
        <v>0</v>
      </c>
      <c r="AA144" s="1504">
        <v>0</v>
      </c>
      <c r="AB144" s="1520">
        <f t="shared" si="55"/>
        <v>0</v>
      </c>
      <c r="AC144" s="820"/>
      <c r="AD144" s="821"/>
      <c r="AE144" s="822"/>
      <c r="AF144" s="820"/>
      <c r="AG144" s="821"/>
      <c r="AH144" s="822"/>
      <c r="AI144" s="1503">
        <f t="shared" si="52"/>
        <v>46000</v>
      </c>
      <c r="AJ144" s="1504">
        <f t="shared" si="58"/>
        <v>0</v>
      </c>
      <c r="AK144" s="3912">
        <v>0</v>
      </c>
      <c r="AL144" s="1505">
        <f t="shared" si="62"/>
        <v>46000</v>
      </c>
      <c r="AM144" s="1508" t="s">
        <v>1061</v>
      </c>
      <c r="AN144" s="3401">
        <v>42779</v>
      </c>
      <c r="AO144" s="3402">
        <v>1190792</v>
      </c>
      <c r="AP144" s="2664" t="s">
        <v>175</v>
      </c>
      <c r="AQ144" s="3462">
        <v>1</v>
      </c>
      <c r="AR144" s="1506">
        <f t="shared" si="60"/>
        <v>46000</v>
      </c>
      <c r="AS144" s="1507">
        <f t="shared" si="61"/>
        <v>0</v>
      </c>
      <c r="AT144" s="1507">
        <f t="shared" si="50"/>
        <v>0</v>
      </c>
      <c r="AU144" s="849"/>
      <c r="AV144" s="849"/>
      <c r="AW144" s="2878">
        <f t="shared" si="56"/>
        <v>46000</v>
      </c>
      <c r="AX144" s="3146"/>
      <c r="BB144" s="267"/>
      <c r="BC144" s="4117">
        <f t="shared" si="59"/>
        <v>0</v>
      </c>
      <c r="BD144" s="4117">
        <f t="shared" si="57"/>
        <v>0</v>
      </c>
    </row>
    <row r="145" spans="1:56" ht="76.5">
      <c r="A145" s="5978" t="s">
        <v>11140</v>
      </c>
      <c r="B145" s="1538" t="s">
        <v>3555</v>
      </c>
      <c r="C145" s="1509">
        <v>1</v>
      </c>
      <c r="D145" s="2143" t="s">
        <v>4254</v>
      </c>
      <c r="E145" s="3047" t="s">
        <v>6385</v>
      </c>
      <c r="F145" s="2139">
        <v>42614</v>
      </c>
      <c r="G145" s="2140">
        <v>109.7</v>
      </c>
      <c r="H145" s="1515" t="s">
        <v>4128</v>
      </c>
      <c r="I145" s="1514" t="s">
        <v>1330</v>
      </c>
      <c r="J145" s="1515" t="s">
        <v>4306</v>
      </c>
      <c r="K145" s="1516">
        <v>43418</v>
      </c>
      <c r="L145" s="1514" t="s">
        <v>4133</v>
      </c>
      <c r="M145" s="1515" t="s">
        <v>4134</v>
      </c>
      <c r="N145" s="1514" t="s">
        <v>4129</v>
      </c>
      <c r="O145" s="1513" t="s">
        <v>4130</v>
      </c>
      <c r="P145" s="1517" t="s">
        <v>4255</v>
      </c>
      <c r="Q145" s="1515" t="s">
        <v>4131</v>
      </c>
      <c r="R145" s="1515" t="s">
        <v>4132</v>
      </c>
      <c r="S145" s="1518"/>
      <c r="T145" s="1519">
        <v>2278</v>
      </c>
      <c r="U145" s="1504">
        <v>0</v>
      </c>
      <c r="V145" s="1520">
        <f t="shared" si="54"/>
        <v>2278</v>
      </c>
      <c r="W145" s="1519">
        <v>2847</v>
      </c>
      <c r="X145" s="1504">
        <v>0</v>
      </c>
      <c r="Y145" s="1520">
        <f t="shared" si="41"/>
        <v>2847</v>
      </c>
      <c r="Z145" s="1519">
        <v>813</v>
      </c>
      <c r="AA145" s="1504">
        <v>0</v>
      </c>
      <c r="AB145" s="1520">
        <f t="shared" si="55"/>
        <v>813</v>
      </c>
      <c r="AC145" s="820"/>
      <c r="AD145" s="821"/>
      <c r="AE145" s="822"/>
      <c r="AF145" s="820"/>
      <c r="AG145" s="821"/>
      <c r="AH145" s="822"/>
      <c r="AI145" s="1503">
        <f t="shared" si="52"/>
        <v>5938</v>
      </c>
      <c r="AJ145" s="1504">
        <f t="shared" si="58"/>
        <v>0</v>
      </c>
      <c r="AK145" s="3912">
        <v>0</v>
      </c>
      <c r="AL145" s="1505">
        <f t="shared" si="62"/>
        <v>5938</v>
      </c>
      <c r="AM145" s="1508" t="s">
        <v>1061</v>
      </c>
      <c r="AN145" s="3401">
        <v>42781</v>
      </c>
      <c r="AO145" s="3402">
        <v>1191203</v>
      </c>
      <c r="AP145" s="2664">
        <v>43070</v>
      </c>
      <c r="AQ145" s="3462">
        <v>110.2</v>
      </c>
      <c r="AR145" s="1506">
        <f t="shared" si="60"/>
        <v>2288</v>
      </c>
      <c r="AS145" s="1507">
        <f t="shared" si="61"/>
        <v>2860</v>
      </c>
      <c r="AT145" s="1507">
        <f t="shared" si="50"/>
        <v>817</v>
      </c>
      <c r="AU145" s="849"/>
      <c r="AV145" s="849"/>
      <c r="AW145" s="2878">
        <f t="shared" si="56"/>
        <v>5965</v>
      </c>
      <c r="AX145" s="3146"/>
      <c r="BB145" s="267"/>
      <c r="BC145" s="4117">
        <f t="shared" si="59"/>
        <v>0</v>
      </c>
      <c r="BD145" s="4117">
        <f t="shared" si="57"/>
        <v>0</v>
      </c>
    </row>
    <row r="146" spans="1:56" ht="64.5" thickBot="1">
      <c r="A146" s="5999" t="s">
        <v>11140</v>
      </c>
      <c r="B146" s="2153" t="s">
        <v>3558</v>
      </c>
      <c r="C146" s="2154">
        <v>0</v>
      </c>
      <c r="D146" s="2155">
        <v>42713</v>
      </c>
      <c r="E146" s="3046" t="s">
        <v>6385</v>
      </c>
      <c r="F146" s="2156">
        <v>42614</v>
      </c>
      <c r="G146" s="2157">
        <v>109.7</v>
      </c>
      <c r="H146" s="2158" t="s">
        <v>4227</v>
      </c>
      <c r="I146" s="2159" t="s">
        <v>1433</v>
      </c>
      <c r="J146" s="2160" t="s">
        <v>1434</v>
      </c>
      <c r="K146" s="2161">
        <v>44174</v>
      </c>
      <c r="L146" s="2159" t="s">
        <v>1208</v>
      </c>
      <c r="M146" s="2160" t="s">
        <v>4207</v>
      </c>
      <c r="N146" s="2159" t="s">
        <v>4228</v>
      </c>
      <c r="O146" s="2158" t="s">
        <v>4229</v>
      </c>
      <c r="P146" s="2162"/>
      <c r="Q146" s="2160" t="s">
        <v>4230</v>
      </c>
      <c r="R146" s="2160" t="s">
        <v>176</v>
      </c>
      <c r="S146" s="2163" t="s">
        <v>4231</v>
      </c>
      <c r="T146" s="2164">
        <v>20182</v>
      </c>
      <c r="U146" s="2165">
        <v>10092</v>
      </c>
      <c r="V146" s="2166">
        <f t="shared" si="54"/>
        <v>10090</v>
      </c>
      <c r="W146" s="2164">
        <v>3561</v>
      </c>
      <c r="X146" s="2165">
        <v>1781</v>
      </c>
      <c r="Y146" s="2166">
        <f t="shared" si="41"/>
        <v>1780</v>
      </c>
      <c r="Z146" s="2164">
        <v>3441</v>
      </c>
      <c r="AA146" s="2165">
        <v>1720</v>
      </c>
      <c r="AB146" s="2166">
        <f t="shared" si="55"/>
        <v>1721</v>
      </c>
      <c r="AC146" s="2167"/>
      <c r="AD146" s="2168"/>
      <c r="AE146" s="2169"/>
      <c r="AF146" s="2167"/>
      <c r="AG146" s="2168"/>
      <c r="AH146" s="2169"/>
      <c r="AI146" s="2170">
        <f t="shared" si="52"/>
        <v>27184</v>
      </c>
      <c r="AJ146" s="2165">
        <f t="shared" si="58"/>
        <v>13593</v>
      </c>
      <c r="AK146" s="3911">
        <v>0</v>
      </c>
      <c r="AL146" s="2171">
        <f t="shared" si="62"/>
        <v>13591</v>
      </c>
      <c r="AM146" s="3464" t="s">
        <v>1061</v>
      </c>
      <c r="AN146" s="3465">
        <v>42790</v>
      </c>
      <c r="AO146" s="3466">
        <v>1191947</v>
      </c>
      <c r="AP146" s="3467">
        <v>43070</v>
      </c>
      <c r="AQ146" s="3468">
        <v>110.2</v>
      </c>
      <c r="AR146" s="2172">
        <f t="shared" si="60"/>
        <v>10136</v>
      </c>
      <c r="AS146" s="2173">
        <f t="shared" si="61"/>
        <v>1788</v>
      </c>
      <c r="AT146" s="2173">
        <f t="shared" si="50"/>
        <v>1729</v>
      </c>
      <c r="AU146" s="2174"/>
      <c r="AV146" s="2174"/>
      <c r="AW146" s="2879">
        <f t="shared" si="56"/>
        <v>13653</v>
      </c>
      <c r="AX146" s="2896"/>
      <c r="AY146" s="1498" t="s">
        <v>4317</v>
      </c>
      <c r="AZ146" s="2118">
        <f>SUM(AW141:AW146)</f>
        <v>107991</v>
      </c>
      <c r="BA146" s="2119">
        <f>AZ146-BB141</f>
        <v>107991</v>
      </c>
      <c r="BB146" s="1501">
        <f>SUM(AU141:AV146)</f>
        <v>0</v>
      </c>
      <c r="BC146" s="4117">
        <f t="shared" si="59"/>
        <v>13655</v>
      </c>
      <c r="BD146" s="4117">
        <f t="shared" si="57"/>
        <v>0</v>
      </c>
    </row>
    <row r="147" spans="1:56" ht="38.25">
      <c r="A147" s="5964" t="s">
        <v>11140</v>
      </c>
      <c r="B147" s="338" t="s">
        <v>4376</v>
      </c>
      <c r="C147" s="321">
        <v>0</v>
      </c>
      <c r="D147" s="323">
        <v>42787</v>
      </c>
      <c r="E147" s="3012" t="s">
        <v>6385</v>
      </c>
      <c r="F147" s="1203">
        <v>42705</v>
      </c>
      <c r="G147" s="2175">
        <v>110.2</v>
      </c>
      <c r="H147" s="332" t="s">
        <v>4369</v>
      </c>
      <c r="I147" s="339" t="s">
        <v>1436</v>
      </c>
      <c r="J147" s="322" t="s">
        <v>1437</v>
      </c>
      <c r="K147" s="340">
        <v>43505</v>
      </c>
      <c r="L147" s="339" t="s">
        <v>53</v>
      </c>
      <c r="M147" s="322" t="s">
        <v>4370</v>
      </c>
      <c r="N147" s="339" t="s">
        <v>4371</v>
      </c>
      <c r="O147" s="332" t="s">
        <v>4372</v>
      </c>
      <c r="P147" s="345" t="s">
        <v>4373</v>
      </c>
      <c r="Q147" s="322" t="s">
        <v>4374</v>
      </c>
      <c r="R147" s="322" t="s">
        <v>4375</v>
      </c>
      <c r="S147" s="346"/>
      <c r="T147" s="347">
        <v>12671</v>
      </c>
      <c r="U147" s="326">
        <v>0</v>
      </c>
      <c r="V147" s="348">
        <f t="shared" si="54"/>
        <v>12671</v>
      </c>
      <c r="W147" s="347">
        <v>0</v>
      </c>
      <c r="X147" s="326">
        <v>0</v>
      </c>
      <c r="Y147" s="348">
        <f t="shared" ref="Y147:Y210" si="63">W147-X147</f>
        <v>0</v>
      </c>
      <c r="Z147" s="347">
        <v>0</v>
      </c>
      <c r="AA147" s="326">
        <v>0</v>
      </c>
      <c r="AB147" s="348">
        <f t="shared" si="55"/>
        <v>0</v>
      </c>
      <c r="AC147" s="820"/>
      <c r="AD147" s="821"/>
      <c r="AE147" s="822"/>
      <c r="AF147" s="820"/>
      <c r="AG147" s="821"/>
      <c r="AH147" s="822"/>
      <c r="AI147" s="482">
        <f t="shared" si="52"/>
        <v>12671</v>
      </c>
      <c r="AJ147" s="326">
        <f t="shared" si="58"/>
        <v>0</v>
      </c>
      <c r="AK147" s="3899">
        <v>0</v>
      </c>
      <c r="AL147" s="349">
        <f t="shared" si="62"/>
        <v>12671</v>
      </c>
      <c r="AM147" s="2002" t="s">
        <v>2977</v>
      </c>
      <c r="AN147" s="3357">
        <v>42797</v>
      </c>
      <c r="AO147" s="695">
        <v>1192145</v>
      </c>
      <c r="AP147" s="2722">
        <v>42705</v>
      </c>
      <c r="AQ147" s="3438">
        <v>110.2</v>
      </c>
      <c r="AR147" s="333">
        <f t="shared" si="60"/>
        <v>12671</v>
      </c>
      <c r="AS147" s="330">
        <f t="shared" si="61"/>
        <v>0</v>
      </c>
      <c r="AT147" s="330">
        <f t="shared" si="50"/>
        <v>0</v>
      </c>
      <c r="AU147" s="849"/>
      <c r="AV147" s="849"/>
      <c r="AW147" s="2870">
        <f t="shared" si="56"/>
        <v>12671</v>
      </c>
      <c r="AX147" s="2889"/>
      <c r="BB147" s="267"/>
      <c r="BC147" s="4117">
        <f t="shared" si="59"/>
        <v>0</v>
      </c>
      <c r="BD147" s="4117">
        <f t="shared" si="57"/>
        <v>0</v>
      </c>
    </row>
    <row r="148" spans="1:56" ht="63.75">
      <c r="A148" s="2418" t="s">
        <v>11135</v>
      </c>
      <c r="B148" s="1569" t="s">
        <v>4040</v>
      </c>
      <c r="C148" s="1570">
        <v>0</v>
      </c>
      <c r="D148" s="1571">
        <v>42333</v>
      </c>
      <c r="E148" s="3041" t="s">
        <v>6384</v>
      </c>
      <c r="F148" s="1572" t="s">
        <v>4932</v>
      </c>
      <c r="G148" s="2622">
        <v>1</v>
      </c>
      <c r="H148" s="1598" t="s">
        <v>3545</v>
      </c>
      <c r="I148" s="339" t="s">
        <v>1433</v>
      </c>
      <c r="J148" s="322" t="s">
        <v>1434</v>
      </c>
      <c r="K148" s="1242">
        <v>43794</v>
      </c>
      <c r="L148" s="1574" t="s">
        <v>3546</v>
      </c>
      <c r="M148" s="322" t="s">
        <v>3547</v>
      </c>
      <c r="N148" s="339" t="s">
        <v>3548</v>
      </c>
      <c r="O148" s="1202" t="s">
        <v>3549</v>
      </c>
      <c r="P148" s="345" t="s">
        <v>7267</v>
      </c>
      <c r="Q148" s="322" t="s">
        <v>3550</v>
      </c>
      <c r="R148" s="322" t="s">
        <v>3551</v>
      </c>
      <c r="S148" s="1599" t="s">
        <v>3476</v>
      </c>
      <c r="T148" s="347">
        <v>6426</v>
      </c>
      <c r="U148" s="326">
        <v>6426</v>
      </c>
      <c r="V148" s="1243">
        <f t="shared" si="54"/>
        <v>0</v>
      </c>
      <c r="W148" s="347">
        <v>1134</v>
      </c>
      <c r="X148" s="326">
        <v>1134</v>
      </c>
      <c r="Y148" s="1243">
        <f t="shared" si="63"/>
        <v>0</v>
      </c>
      <c r="Z148" s="347">
        <v>1900</v>
      </c>
      <c r="AA148" s="326">
        <v>1900</v>
      </c>
      <c r="AB148" s="1243">
        <f t="shared" si="55"/>
        <v>0</v>
      </c>
      <c r="AC148" s="820"/>
      <c r="AD148" s="821"/>
      <c r="AE148" s="822"/>
      <c r="AF148" s="820"/>
      <c r="AG148" s="821"/>
      <c r="AH148" s="822"/>
      <c r="AI148" s="482">
        <f t="shared" si="52"/>
        <v>9460</v>
      </c>
      <c r="AJ148" s="326">
        <f t="shared" si="58"/>
        <v>9460</v>
      </c>
      <c r="AK148" s="3899"/>
      <c r="AL148" s="349">
        <f t="shared" si="62"/>
        <v>0</v>
      </c>
      <c r="AM148" s="337" t="s">
        <v>7268</v>
      </c>
      <c r="AN148" s="327"/>
      <c r="AO148" s="328"/>
      <c r="AP148" s="2722" t="s">
        <v>4154</v>
      </c>
      <c r="AQ148" s="3438">
        <v>1.0111000000000001</v>
      </c>
      <c r="AR148" s="333">
        <f t="shared" si="60"/>
        <v>0</v>
      </c>
      <c r="AS148" s="330">
        <f t="shared" si="61"/>
        <v>0</v>
      </c>
      <c r="AT148" s="330">
        <f t="shared" si="50"/>
        <v>0</v>
      </c>
      <c r="AU148" s="849"/>
      <c r="AV148" s="849"/>
      <c r="AW148" s="826">
        <f t="shared" si="56"/>
        <v>0</v>
      </c>
      <c r="AX148" s="3140"/>
      <c r="BA148" s="267"/>
      <c r="BB148" s="267"/>
      <c r="BC148" s="4117">
        <f t="shared" si="59"/>
        <v>9565</v>
      </c>
      <c r="BD148" s="4117">
        <f t="shared" si="57"/>
        <v>0</v>
      </c>
    </row>
    <row r="149" spans="1:56" ht="76.5">
      <c r="A149" s="2418" t="s">
        <v>11135</v>
      </c>
      <c r="B149" s="338" t="s">
        <v>4433</v>
      </c>
      <c r="C149" s="321">
        <v>0</v>
      </c>
      <c r="D149" s="323">
        <v>42787</v>
      </c>
      <c r="E149" s="3012" t="s">
        <v>6385</v>
      </c>
      <c r="F149" s="324" t="s">
        <v>3988</v>
      </c>
      <c r="G149" s="2135">
        <v>1.0111000000000001</v>
      </c>
      <c r="H149" s="332" t="s">
        <v>4383</v>
      </c>
      <c r="I149" s="339" t="s">
        <v>1433</v>
      </c>
      <c r="J149" s="322" t="s">
        <v>1434</v>
      </c>
      <c r="K149" s="340">
        <v>44248</v>
      </c>
      <c r="L149" s="339" t="s">
        <v>4384</v>
      </c>
      <c r="M149" s="2176" t="s">
        <v>4387</v>
      </c>
      <c r="N149" s="339" t="s">
        <v>4385</v>
      </c>
      <c r="O149" s="322" t="s">
        <v>4386</v>
      </c>
      <c r="P149" s="345"/>
      <c r="Q149" s="322" t="s">
        <v>4388</v>
      </c>
      <c r="R149" s="322" t="s">
        <v>4389</v>
      </c>
      <c r="S149" s="761" t="s">
        <v>4453</v>
      </c>
      <c r="T149" s="347">
        <v>4853</v>
      </c>
      <c r="U149" s="326">
        <v>0</v>
      </c>
      <c r="V149" s="348">
        <f t="shared" si="54"/>
        <v>4853</v>
      </c>
      <c r="W149" s="347">
        <v>6067</v>
      </c>
      <c r="X149" s="326">
        <v>0</v>
      </c>
      <c r="Y149" s="348">
        <f t="shared" si="63"/>
        <v>6067</v>
      </c>
      <c r="Z149" s="347">
        <v>1213</v>
      </c>
      <c r="AA149" s="326">
        <v>0</v>
      </c>
      <c r="AB149" s="348">
        <f t="shared" si="55"/>
        <v>1213</v>
      </c>
      <c r="AC149" s="820"/>
      <c r="AD149" s="821"/>
      <c r="AE149" s="822"/>
      <c r="AF149" s="820"/>
      <c r="AG149" s="821"/>
      <c r="AH149" s="822"/>
      <c r="AI149" s="482">
        <f t="shared" si="52"/>
        <v>12133</v>
      </c>
      <c r="AJ149" s="326">
        <f t="shared" si="58"/>
        <v>0</v>
      </c>
      <c r="AK149" s="3899">
        <v>0</v>
      </c>
      <c r="AL149" s="349">
        <f t="shared" si="62"/>
        <v>12133</v>
      </c>
      <c r="AM149" s="1298" t="s">
        <v>4456</v>
      </c>
      <c r="AN149" s="3357">
        <v>42809</v>
      </c>
      <c r="AO149" s="695">
        <v>1192451</v>
      </c>
      <c r="AP149" s="2722" t="s">
        <v>4154</v>
      </c>
      <c r="AQ149" s="3438">
        <v>1.0111000000000001</v>
      </c>
      <c r="AR149" s="333">
        <v>4000</v>
      </c>
      <c r="AS149" s="330">
        <v>0</v>
      </c>
      <c r="AT149" s="330">
        <v>0</v>
      </c>
      <c r="AU149" s="849"/>
      <c r="AV149" s="849"/>
      <c r="AW149" s="2870">
        <f t="shared" si="56"/>
        <v>4000</v>
      </c>
      <c r="AX149" s="3140"/>
      <c r="BB149" s="267"/>
      <c r="BC149" s="4117">
        <f t="shared" si="59"/>
        <v>0</v>
      </c>
      <c r="BD149" s="4117">
        <f t="shared" si="57"/>
        <v>0</v>
      </c>
    </row>
    <row r="150" spans="1:56" ht="51">
      <c r="A150" s="5964" t="s">
        <v>11140</v>
      </c>
      <c r="B150" s="338" t="s">
        <v>4407</v>
      </c>
      <c r="C150" s="321">
        <v>0</v>
      </c>
      <c r="D150" s="323">
        <v>42795</v>
      </c>
      <c r="E150" s="3012" t="s">
        <v>6385</v>
      </c>
      <c r="F150" s="1203">
        <v>42705</v>
      </c>
      <c r="G150" s="2175">
        <v>110.2</v>
      </c>
      <c r="H150" s="332" t="s">
        <v>4392</v>
      </c>
      <c r="I150" s="339" t="s">
        <v>1433</v>
      </c>
      <c r="J150" s="322" t="s">
        <v>1434</v>
      </c>
      <c r="K150" s="340">
        <v>44251</v>
      </c>
      <c r="L150" s="339" t="s">
        <v>4393</v>
      </c>
      <c r="M150" s="322" t="s">
        <v>4394</v>
      </c>
      <c r="N150" s="339" t="s">
        <v>4395</v>
      </c>
      <c r="O150" s="332" t="s">
        <v>4399</v>
      </c>
      <c r="P150" s="345" t="s">
        <v>4396</v>
      </c>
      <c r="Q150" s="322" t="s">
        <v>4398</v>
      </c>
      <c r="R150" s="322" t="s">
        <v>4397</v>
      </c>
      <c r="S150" s="346"/>
      <c r="T150" s="347">
        <v>2385</v>
      </c>
      <c r="U150" s="326">
        <v>0</v>
      </c>
      <c r="V150" s="348">
        <f t="shared" si="54"/>
        <v>2385</v>
      </c>
      <c r="W150" s="347">
        <v>3929</v>
      </c>
      <c r="X150" s="326">
        <v>0</v>
      </c>
      <c r="Y150" s="348">
        <f t="shared" si="63"/>
        <v>3929</v>
      </c>
      <c r="Z150" s="347">
        <v>493</v>
      </c>
      <c r="AA150" s="326">
        <v>0</v>
      </c>
      <c r="AB150" s="348">
        <f t="shared" si="55"/>
        <v>493</v>
      </c>
      <c r="AC150" s="820"/>
      <c r="AD150" s="821"/>
      <c r="AE150" s="822"/>
      <c r="AF150" s="820"/>
      <c r="AG150" s="821"/>
      <c r="AH150" s="822"/>
      <c r="AI150" s="482">
        <f t="shared" ref="AI150:AI181" si="64">T150+W150+Z150+AC150+AF150</f>
        <v>6807</v>
      </c>
      <c r="AJ150" s="326">
        <f t="shared" si="58"/>
        <v>0</v>
      </c>
      <c r="AK150" s="3899">
        <v>0</v>
      </c>
      <c r="AL150" s="349">
        <f t="shared" si="62"/>
        <v>6807</v>
      </c>
      <c r="AM150" s="2002" t="s">
        <v>2977</v>
      </c>
      <c r="AN150" s="3357">
        <v>42810</v>
      </c>
      <c r="AO150" s="695">
        <v>1192485</v>
      </c>
      <c r="AP150" s="2722">
        <v>42705</v>
      </c>
      <c r="AQ150" s="3438">
        <v>110.2</v>
      </c>
      <c r="AR150" s="333">
        <f>ROUND($AQ150/$G150*V150,0)</f>
        <v>2385</v>
      </c>
      <c r="AS150" s="330">
        <f>ROUND($AQ150/$G150*Y150,0)</f>
        <v>3929</v>
      </c>
      <c r="AT150" s="330">
        <f>ROUND($AQ150/$G150*AB150,0)</f>
        <v>493</v>
      </c>
      <c r="AU150" s="849"/>
      <c r="AV150" s="849"/>
      <c r="AW150" s="2870">
        <f t="shared" si="56"/>
        <v>6807</v>
      </c>
      <c r="AX150" s="3140"/>
      <c r="BC150" s="4117">
        <f t="shared" si="59"/>
        <v>0</v>
      </c>
      <c r="BD150" s="4117">
        <f t="shared" si="57"/>
        <v>0</v>
      </c>
    </row>
    <row r="151" spans="1:56" ht="76.5">
      <c r="A151" s="2418" t="s">
        <v>11135</v>
      </c>
      <c r="B151" s="338" t="s">
        <v>4435</v>
      </c>
      <c r="C151" s="321">
        <v>0</v>
      </c>
      <c r="D151" s="323">
        <v>42787</v>
      </c>
      <c r="E151" s="3012" t="s">
        <v>6385</v>
      </c>
      <c r="F151" s="324" t="s">
        <v>3988</v>
      </c>
      <c r="G151" s="2135">
        <v>1.0111000000000001</v>
      </c>
      <c r="H151" s="332" t="s">
        <v>4383</v>
      </c>
      <c r="I151" s="339" t="s">
        <v>1433</v>
      </c>
      <c r="J151" s="322" t="s">
        <v>1434</v>
      </c>
      <c r="K151" s="340">
        <v>44248</v>
      </c>
      <c r="L151" s="339" t="s">
        <v>4384</v>
      </c>
      <c r="M151" s="2176" t="s">
        <v>4387</v>
      </c>
      <c r="N151" s="339" t="s">
        <v>4385</v>
      </c>
      <c r="O151" s="322" t="s">
        <v>4386</v>
      </c>
      <c r="P151" s="345"/>
      <c r="Q151" s="322" t="s">
        <v>4388</v>
      </c>
      <c r="R151" s="322" t="s">
        <v>4389</v>
      </c>
      <c r="S151" s="761" t="s">
        <v>4454</v>
      </c>
      <c r="T151" s="347">
        <v>4853</v>
      </c>
      <c r="U151" s="326">
        <v>4000</v>
      </c>
      <c r="V151" s="348">
        <f t="shared" si="54"/>
        <v>853</v>
      </c>
      <c r="W151" s="347">
        <v>6067</v>
      </c>
      <c r="X151" s="326">
        <v>0</v>
      </c>
      <c r="Y151" s="348">
        <f t="shared" si="63"/>
        <v>6067</v>
      </c>
      <c r="Z151" s="347">
        <v>1213</v>
      </c>
      <c r="AA151" s="326">
        <v>0</v>
      </c>
      <c r="AB151" s="348">
        <f t="shared" si="55"/>
        <v>1213</v>
      </c>
      <c r="AC151" s="820"/>
      <c r="AD151" s="821"/>
      <c r="AE151" s="822"/>
      <c r="AF151" s="820"/>
      <c r="AG151" s="821"/>
      <c r="AH151" s="822"/>
      <c r="AI151" s="482">
        <f t="shared" si="64"/>
        <v>12133</v>
      </c>
      <c r="AJ151" s="326">
        <v>0</v>
      </c>
      <c r="AK151" s="3899">
        <v>0</v>
      </c>
      <c r="AL151" s="349">
        <f t="shared" si="62"/>
        <v>8133</v>
      </c>
      <c r="AM151" s="1298" t="s">
        <v>4455</v>
      </c>
      <c r="AN151" s="3357">
        <v>42811</v>
      </c>
      <c r="AO151" s="695">
        <v>1192519</v>
      </c>
      <c r="AP151" s="2722" t="s">
        <v>4154</v>
      </c>
      <c r="AQ151" s="3438">
        <v>1.0111000000000001</v>
      </c>
      <c r="AR151" s="333">
        <v>0</v>
      </c>
      <c r="AS151" s="330">
        <v>4000</v>
      </c>
      <c r="AT151" s="330">
        <v>0</v>
      </c>
      <c r="AU151" s="849"/>
      <c r="AV151" s="849"/>
      <c r="AW151" s="2870">
        <f t="shared" si="56"/>
        <v>4000</v>
      </c>
      <c r="AX151" s="3140"/>
      <c r="BB151" s="267"/>
      <c r="BC151" s="4117">
        <f t="shared" si="59"/>
        <v>0</v>
      </c>
      <c r="BD151" s="4117">
        <f t="shared" si="57"/>
        <v>0</v>
      </c>
    </row>
    <row r="152" spans="1:56" ht="76.5">
      <c r="A152" s="5964" t="s">
        <v>11140</v>
      </c>
      <c r="B152" s="338" t="s">
        <v>3565</v>
      </c>
      <c r="C152" s="321">
        <v>0</v>
      </c>
      <c r="D152" s="323">
        <v>42808</v>
      </c>
      <c r="E152" s="3012" t="s">
        <v>6385</v>
      </c>
      <c r="F152" s="1203">
        <v>42705</v>
      </c>
      <c r="G152" s="2175">
        <v>110.2</v>
      </c>
      <c r="H152" s="332" t="s">
        <v>4416</v>
      </c>
      <c r="I152" s="339" t="s">
        <v>4417</v>
      </c>
      <c r="J152" s="322" t="s">
        <v>4306</v>
      </c>
      <c r="K152" s="340">
        <v>43538</v>
      </c>
      <c r="L152" s="339" t="s">
        <v>4418</v>
      </c>
      <c r="M152" s="322" t="s">
        <v>4424</v>
      </c>
      <c r="N152" s="339" t="s">
        <v>4419</v>
      </c>
      <c r="O152" s="332" t="s">
        <v>4420</v>
      </c>
      <c r="P152" s="345"/>
      <c r="Q152" s="6094" t="s">
        <v>4332</v>
      </c>
      <c r="R152" s="322" t="s">
        <v>1046</v>
      </c>
      <c r="S152" s="346"/>
      <c r="T152" s="347">
        <v>2288</v>
      </c>
      <c r="U152" s="326">
        <v>0</v>
      </c>
      <c r="V152" s="348">
        <f t="shared" si="54"/>
        <v>2288</v>
      </c>
      <c r="W152" s="347">
        <v>2860</v>
      </c>
      <c r="X152" s="326">
        <v>0</v>
      </c>
      <c r="Y152" s="348">
        <f t="shared" si="63"/>
        <v>2860</v>
      </c>
      <c r="Z152" s="347">
        <v>817</v>
      </c>
      <c r="AA152" s="326">
        <v>0</v>
      </c>
      <c r="AB152" s="348">
        <f t="shared" si="55"/>
        <v>817</v>
      </c>
      <c r="AC152" s="820"/>
      <c r="AD152" s="821"/>
      <c r="AE152" s="822"/>
      <c r="AF152" s="820"/>
      <c r="AG152" s="821"/>
      <c r="AH152" s="822"/>
      <c r="AI152" s="482">
        <f t="shared" si="64"/>
        <v>5965</v>
      </c>
      <c r="AJ152" s="326">
        <f>U152+X152+AA152+AD152+AG152</f>
        <v>0</v>
      </c>
      <c r="AK152" s="3899">
        <v>0</v>
      </c>
      <c r="AL152" s="349">
        <f t="shared" si="62"/>
        <v>5965</v>
      </c>
      <c r="AM152" s="2002" t="s">
        <v>1061</v>
      </c>
      <c r="AN152" s="3357">
        <v>42815</v>
      </c>
      <c r="AO152" s="695">
        <v>1192613</v>
      </c>
      <c r="AP152" s="2722">
        <v>42705</v>
      </c>
      <c r="AQ152" s="3438">
        <v>110.2</v>
      </c>
      <c r="AR152" s="333">
        <f t="shared" ref="AR152:AR183" si="65">ROUND($AQ152/$G152*V152,0)</f>
        <v>2288</v>
      </c>
      <c r="AS152" s="330">
        <f t="shared" ref="AS152:AS167" si="66">ROUND($AQ152/$G152*Y152,0)</f>
        <v>2860</v>
      </c>
      <c r="AT152" s="330">
        <f t="shared" ref="AT152:AT183" si="67">ROUND($AQ152/$G152*AB152,0)</f>
        <v>817</v>
      </c>
      <c r="AU152" s="849"/>
      <c r="AV152" s="849"/>
      <c r="AW152" s="2870">
        <f t="shared" si="56"/>
        <v>5965</v>
      </c>
      <c r="AX152" s="3140"/>
      <c r="BB152" s="267"/>
      <c r="BC152" s="4117">
        <f t="shared" si="59"/>
        <v>0</v>
      </c>
      <c r="BD152" s="4117">
        <f t="shared" si="57"/>
        <v>0</v>
      </c>
    </row>
    <row r="153" spans="1:56" ht="89.25">
      <c r="A153" s="2418" t="s">
        <v>11135</v>
      </c>
      <c r="B153" s="338" t="s">
        <v>4457</v>
      </c>
      <c r="C153" s="321">
        <v>0</v>
      </c>
      <c r="D153" s="323">
        <v>42787</v>
      </c>
      <c r="E153" s="3012" t="s">
        <v>6385</v>
      </c>
      <c r="F153" s="324" t="s">
        <v>3988</v>
      </c>
      <c r="G153" s="2135">
        <v>1.0111000000000001</v>
      </c>
      <c r="H153" s="332" t="s">
        <v>4383</v>
      </c>
      <c r="I153" s="339" t="s">
        <v>1433</v>
      </c>
      <c r="J153" s="322" t="s">
        <v>1434</v>
      </c>
      <c r="K153" s="340">
        <v>44248</v>
      </c>
      <c r="L153" s="339" t="s">
        <v>4384</v>
      </c>
      <c r="M153" s="2176" t="s">
        <v>4387</v>
      </c>
      <c r="N153" s="339" t="s">
        <v>4385</v>
      </c>
      <c r="O153" s="322" t="s">
        <v>4386</v>
      </c>
      <c r="P153" s="345"/>
      <c r="Q153" s="322" t="s">
        <v>4388</v>
      </c>
      <c r="R153" s="322" t="s">
        <v>4389</v>
      </c>
      <c r="S153" s="761" t="s">
        <v>4434</v>
      </c>
      <c r="T153" s="347">
        <v>4853</v>
      </c>
      <c r="U153" s="326">
        <v>4000</v>
      </c>
      <c r="V153" s="348">
        <f t="shared" si="54"/>
        <v>853</v>
      </c>
      <c r="W153" s="347">
        <v>6067</v>
      </c>
      <c r="X153" s="326">
        <v>4000</v>
      </c>
      <c r="Y153" s="348">
        <f t="shared" si="63"/>
        <v>2067</v>
      </c>
      <c r="Z153" s="347">
        <v>1213</v>
      </c>
      <c r="AA153" s="326">
        <v>0</v>
      </c>
      <c r="AB153" s="348">
        <f t="shared" si="55"/>
        <v>1213</v>
      </c>
      <c r="AC153" s="820"/>
      <c r="AD153" s="821"/>
      <c r="AE153" s="822"/>
      <c r="AF153" s="820"/>
      <c r="AG153" s="821"/>
      <c r="AH153" s="822"/>
      <c r="AI153" s="482">
        <f t="shared" si="64"/>
        <v>12133</v>
      </c>
      <c r="AJ153" s="326">
        <v>0</v>
      </c>
      <c r="AK153" s="3899">
        <v>0</v>
      </c>
      <c r="AL153" s="349">
        <f t="shared" si="62"/>
        <v>4133</v>
      </c>
      <c r="AM153" s="1298" t="s">
        <v>4458</v>
      </c>
      <c r="AN153" s="3357">
        <v>42815</v>
      </c>
      <c r="AO153" s="695">
        <v>1192615</v>
      </c>
      <c r="AP153" s="2722" t="s">
        <v>4154</v>
      </c>
      <c r="AQ153" s="3438">
        <v>1.0111000000000001</v>
      </c>
      <c r="AR153" s="333">
        <f t="shared" si="65"/>
        <v>853</v>
      </c>
      <c r="AS153" s="330">
        <f t="shared" si="66"/>
        <v>2067</v>
      </c>
      <c r="AT153" s="330">
        <f t="shared" si="67"/>
        <v>1213</v>
      </c>
      <c r="AU153" s="849"/>
      <c r="AV153" s="849"/>
      <c r="AW153" s="2870">
        <f t="shared" si="56"/>
        <v>4133</v>
      </c>
      <c r="AX153" s="3140"/>
      <c r="BB153" s="267"/>
      <c r="BC153" s="4117">
        <f t="shared" si="59"/>
        <v>0</v>
      </c>
      <c r="BD153" s="4117">
        <f t="shared" si="57"/>
        <v>0</v>
      </c>
    </row>
    <row r="154" spans="1:56" ht="64.5" thickBot="1">
      <c r="A154" s="6000" t="s">
        <v>11135</v>
      </c>
      <c r="B154" s="2177" t="s">
        <v>3724</v>
      </c>
      <c r="C154" s="2178">
        <v>0</v>
      </c>
      <c r="D154" s="2179">
        <v>42227</v>
      </c>
      <c r="E154" s="2992" t="s">
        <v>6387</v>
      </c>
      <c r="F154" s="2180">
        <v>41821</v>
      </c>
      <c r="G154" s="2181">
        <v>1</v>
      </c>
      <c r="H154" s="2182" t="s">
        <v>3723</v>
      </c>
      <c r="I154" s="2183" t="s">
        <v>1433</v>
      </c>
      <c r="J154" s="2184" t="s">
        <v>1434</v>
      </c>
      <c r="K154" s="2185">
        <v>43688</v>
      </c>
      <c r="L154" s="2183" t="s">
        <v>1188</v>
      </c>
      <c r="M154" s="2184" t="s">
        <v>1957</v>
      </c>
      <c r="N154" s="2183" t="s">
        <v>3229</v>
      </c>
      <c r="O154" s="2182" t="s">
        <v>3230</v>
      </c>
      <c r="P154" s="2186"/>
      <c r="Q154" s="2184" t="s">
        <v>3231</v>
      </c>
      <c r="R154" s="2184" t="s">
        <v>3232</v>
      </c>
      <c r="S154" s="2187"/>
      <c r="T154" s="2188">
        <v>1445</v>
      </c>
      <c r="U154" s="2189">
        <v>0</v>
      </c>
      <c r="V154" s="2190">
        <f t="shared" si="54"/>
        <v>1445</v>
      </c>
      <c r="W154" s="2188">
        <v>255</v>
      </c>
      <c r="X154" s="2189">
        <v>0</v>
      </c>
      <c r="Y154" s="2190">
        <f t="shared" si="63"/>
        <v>255</v>
      </c>
      <c r="Z154" s="2188">
        <v>0</v>
      </c>
      <c r="AA154" s="2189">
        <v>0</v>
      </c>
      <c r="AB154" s="2190">
        <f t="shared" si="55"/>
        <v>0</v>
      </c>
      <c r="AC154" s="2167"/>
      <c r="AD154" s="2168"/>
      <c r="AE154" s="2169"/>
      <c r="AF154" s="2167"/>
      <c r="AG154" s="2168"/>
      <c r="AH154" s="2169"/>
      <c r="AI154" s="2191">
        <f t="shared" si="64"/>
        <v>1700</v>
      </c>
      <c r="AJ154" s="2189">
        <f t="shared" ref="AJ154:AJ167" si="68">U154+X154+AA154+AD154+AG154</f>
        <v>0</v>
      </c>
      <c r="AK154" s="3903">
        <v>0</v>
      </c>
      <c r="AL154" s="2192">
        <f t="shared" si="62"/>
        <v>1700</v>
      </c>
      <c r="AM154" s="3469" t="s">
        <v>1061</v>
      </c>
      <c r="AN154" s="3470">
        <v>42822</v>
      </c>
      <c r="AO154" s="3471">
        <v>1192830</v>
      </c>
      <c r="AP154" s="3472" t="s">
        <v>4154</v>
      </c>
      <c r="AQ154" s="3473">
        <v>1.0111000000000001</v>
      </c>
      <c r="AR154" s="2193">
        <f t="shared" si="65"/>
        <v>1461</v>
      </c>
      <c r="AS154" s="2194">
        <f t="shared" si="66"/>
        <v>258</v>
      </c>
      <c r="AT154" s="2194">
        <f t="shared" si="67"/>
        <v>0</v>
      </c>
      <c r="AU154" s="2174"/>
      <c r="AV154" s="2174"/>
      <c r="AW154" s="2869">
        <f t="shared" si="56"/>
        <v>1719</v>
      </c>
      <c r="AX154" s="2890"/>
      <c r="AY154" s="764" t="s">
        <v>4410</v>
      </c>
      <c r="AZ154" s="1662">
        <f>SUM(AW147:AW154)</f>
        <v>39295</v>
      </c>
      <c r="BA154" s="1663">
        <f>AZ154-BB144</f>
        <v>39295</v>
      </c>
      <c r="BB154" s="884">
        <f>SUM(AU147:AV154)</f>
        <v>0</v>
      </c>
      <c r="BC154" s="4117">
        <f t="shared" si="59"/>
        <v>0</v>
      </c>
      <c r="BD154" s="4117">
        <f t="shared" si="57"/>
        <v>0</v>
      </c>
    </row>
    <row r="155" spans="1:56" ht="153">
      <c r="A155" s="6001" t="s">
        <v>11136</v>
      </c>
      <c r="B155" s="2200" t="s">
        <v>4489</v>
      </c>
      <c r="C155" s="2201">
        <v>0</v>
      </c>
      <c r="D155" s="2202">
        <v>42205</v>
      </c>
      <c r="E155" s="2202" t="s">
        <v>6387</v>
      </c>
      <c r="F155" s="2203" t="s">
        <v>6402</v>
      </c>
      <c r="G155" s="2204">
        <v>1</v>
      </c>
      <c r="H155" s="2205" t="s">
        <v>3150</v>
      </c>
      <c r="I155" s="2206" t="s">
        <v>1433</v>
      </c>
      <c r="J155" s="2207" t="s">
        <v>1434</v>
      </c>
      <c r="K155" s="2208">
        <v>43666</v>
      </c>
      <c r="L155" s="2206" t="s">
        <v>3151</v>
      </c>
      <c r="M155" s="2207" t="s">
        <v>1957</v>
      </c>
      <c r="N155" s="2206" t="s">
        <v>3152</v>
      </c>
      <c r="O155" s="2205" t="s">
        <v>3153</v>
      </c>
      <c r="P155" s="2209" t="s">
        <v>4487</v>
      </c>
      <c r="Q155" s="2207" t="s">
        <v>3154</v>
      </c>
      <c r="R155" s="2207" t="s">
        <v>3158</v>
      </c>
      <c r="S155" s="2212" t="s">
        <v>4494</v>
      </c>
      <c r="T155" s="2210">
        <v>0</v>
      </c>
      <c r="U155" s="2196">
        <v>0</v>
      </c>
      <c r="V155" s="2211">
        <f t="shared" si="54"/>
        <v>0</v>
      </c>
      <c r="W155" s="2210">
        <v>10332</v>
      </c>
      <c r="X155" s="2196">
        <v>0</v>
      </c>
      <c r="Y155" s="2211">
        <f t="shared" si="63"/>
        <v>10332</v>
      </c>
      <c r="Z155" s="2210">
        <v>8550</v>
      </c>
      <c r="AA155" s="2196">
        <v>0</v>
      </c>
      <c r="AB155" s="2211">
        <f t="shared" si="55"/>
        <v>8550</v>
      </c>
      <c r="AC155" s="1542"/>
      <c r="AD155" s="1543"/>
      <c r="AE155" s="1544"/>
      <c r="AF155" s="1542"/>
      <c r="AG155" s="1543"/>
      <c r="AH155" s="1544"/>
      <c r="AI155" s="2195">
        <f t="shared" si="64"/>
        <v>18882</v>
      </c>
      <c r="AJ155" s="2196">
        <f t="shared" si="68"/>
        <v>0</v>
      </c>
      <c r="AK155" s="3913">
        <v>0</v>
      </c>
      <c r="AL155" s="2197">
        <f t="shared" si="62"/>
        <v>18882</v>
      </c>
      <c r="AM155" s="3474" t="s">
        <v>4488</v>
      </c>
      <c r="AN155" s="3475">
        <v>42828</v>
      </c>
      <c r="AO155" s="3476">
        <v>1192934</v>
      </c>
      <c r="AP155" s="3477" t="s">
        <v>4365</v>
      </c>
      <c r="AQ155" s="3478">
        <v>1</v>
      </c>
      <c r="AR155" s="2198">
        <f t="shared" si="65"/>
        <v>0</v>
      </c>
      <c r="AS155" s="2199">
        <f t="shared" si="66"/>
        <v>10332</v>
      </c>
      <c r="AT155" s="2199">
        <f t="shared" si="67"/>
        <v>8550</v>
      </c>
      <c r="AU155" s="1545"/>
      <c r="AV155" s="1545"/>
      <c r="AW155" s="2881">
        <f t="shared" si="56"/>
        <v>18882</v>
      </c>
      <c r="AX155" s="2898" t="s">
        <v>4490</v>
      </c>
      <c r="BB155" s="267"/>
      <c r="BC155" s="4117">
        <f t="shared" si="59"/>
        <v>0</v>
      </c>
      <c r="BD155" s="4117">
        <f t="shared" si="57"/>
        <v>0</v>
      </c>
    </row>
    <row r="156" spans="1:56" ht="127.5">
      <c r="A156" s="5981" t="s">
        <v>11136</v>
      </c>
      <c r="B156" s="1538" t="s">
        <v>4486</v>
      </c>
      <c r="C156" s="1509">
        <v>0</v>
      </c>
      <c r="D156" s="1510">
        <v>42205</v>
      </c>
      <c r="E156" s="3047" t="s">
        <v>6387</v>
      </c>
      <c r="F156" s="1511" t="s">
        <v>6402</v>
      </c>
      <c r="G156" s="2136">
        <v>1</v>
      </c>
      <c r="H156" s="1513" t="s">
        <v>3150</v>
      </c>
      <c r="I156" s="1514" t="s">
        <v>1433</v>
      </c>
      <c r="J156" s="1515" t="s">
        <v>1434</v>
      </c>
      <c r="K156" s="1516">
        <v>43666</v>
      </c>
      <c r="L156" s="1514" t="s">
        <v>3151</v>
      </c>
      <c r="M156" s="1515" t="s">
        <v>1957</v>
      </c>
      <c r="N156" s="1514" t="s">
        <v>3152</v>
      </c>
      <c r="O156" s="1513" t="s">
        <v>3153</v>
      </c>
      <c r="P156" s="1517" t="s">
        <v>4487</v>
      </c>
      <c r="Q156" s="1515" t="s">
        <v>3154</v>
      </c>
      <c r="R156" s="1515" t="s">
        <v>3158</v>
      </c>
      <c r="S156" s="2214" t="s">
        <v>4492</v>
      </c>
      <c r="T156" s="1519">
        <v>37196</v>
      </c>
      <c r="U156" s="1504">
        <v>0</v>
      </c>
      <c r="V156" s="1520">
        <f t="shared" si="54"/>
        <v>37196</v>
      </c>
      <c r="W156" s="1519">
        <v>0</v>
      </c>
      <c r="X156" s="1504">
        <v>0</v>
      </c>
      <c r="Y156" s="1520">
        <f t="shared" si="63"/>
        <v>0</v>
      </c>
      <c r="Z156" s="1519">
        <v>12804</v>
      </c>
      <c r="AA156" s="1504">
        <v>0</v>
      </c>
      <c r="AB156" s="1520">
        <f t="shared" si="55"/>
        <v>12804</v>
      </c>
      <c r="AC156" s="820"/>
      <c r="AD156" s="821"/>
      <c r="AE156" s="822"/>
      <c r="AF156" s="820"/>
      <c r="AG156" s="821"/>
      <c r="AH156" s="822"/>
      <c r="AI156" s="1503">
        <f t="shared" si="64"/>
        <v>50000</v>
      </c>
      <c r="AJ156" s="1504">
        <f t="shared" si="68"/>
        <v>0</v>
      </c>
      <c r="AK156" s="3912">
        <v>0</v>
      </c>
      <c r="AL156" s="1505">
        <f t="shared" si="62"/>
        <v>50000</v>
      </c>
      <c r="AM156" s="1508" t="s">
        <v>4496</v>
      </c>
      <c r="AN156" s="3401">
        <v>42828</v>
      </c>
      <c r="AO156" s="3402" t="s">
        <v>4497</v>
      </c>
      <c r="AP156" s="3251" t="s">
        <v>4491</v>
      </c>
      <c r="AQ156" s="3463">
        <v>1</v>
      </c>
      <c r="AR156" s="1506">
        <f t="shared" si="65"/>
        <v>37196</v>
      </c>
      <c r="AS156" s="1507">
        <f t="shared" si="66"/>
        <v>0</v>
      </c>
      <c r="AT156" s="1507">
        <f t="shared" si="67"/>
        <v>12804</v>
      </c>
      <c r="AU156" s="849"/>
      <c r="AV156" s="2213"/>
      <c r="AW156" s="2878">
        <f t="shared" si="56"/>
        <v>50000</v>
      </c>
      <c r="AX156" s="3148" t="s">
        <v>7299</v>
      </c>
      <c r="AY156" s="2006"/>
      <c r="AZ156" s="1726"/>
      <c r="BA156" s="1727"/>
      <c r="BB156" s="1222"/>
      <c r="BC156" s="4117">
        <f t="shared" si="59"/>
        <v>0</v>
      </c>
      <c r="BD156" s="4117">
        <f t="shared" si="57"/>
        <v>0</v>
      </c>
    </row>
    <row r="157" spans="1:56" ht="51">
      <c r="A157" s="5978" t="s">
        <v>11140</v>
      </c>
      <c r="B157" s="1538" t="s">
        <v>3796</v>
      </c>
      <c r="C157" s="1509">
        <v>0</v>
      </c>
      <c r="D157" s="1510">
        <v>42017</v>
      </c>
      <c r="E157" s="3047" t="s">
        <v>6383</v>
      </c>
      <c r="F157" s="2139" t="s">
        <v>4498</v>
      </c>
      <c r="G157" s="2140">
        <v>105.8</v>
      </c>
      <c r="H157" s="1513" t="s">
        <v>3851</v>
      </c>
      <c r="I157" s="1514" t="s">
        <v>1433</v>
      </c>
      <c r="J157" s="1515" t="s">
        <v>1434</v>
      </c>
      <c r="K157" s="1516">
        <v>42723</v>
      </c>
      <c r="L157" s="1514" t="s">
        <v>2803</v>
      </c>
      <c r="M157" s="1515" t="s">
        <v>2804</v>
      </c>
      <c r="N157" s="1514" t="s">
        <v>2805</v>
      </c>
      <c r="O157" s="1513" t="s">
        <v>2807</v>
      </c>
      <c r="P157" s="1517" t="s">
        <v>3506</v>
      </c>
      <c r="Q157" s="1515" t="s">
        <v>2808</v>
      </c>
      <c r="R157" s="1515" t="s">
        <v>2809</v>
      </c>
      <c r="S157" s="1518" t="s">
        <v>7779</v>
      </c>
      <c r="T157" s="1519">
        <v>7168</v>
      </c>
      <c r="U157" s="1504">
        <v>6774</v>
      </c>
      <c r="V157" s="1520">
        <f t="shared" si="54"/>
        <v>394</v>
      </c>
      <c r="W157" s="1519">
        <v>8960</v>
      </c>
      <c r="X157" s="1504">
        <v>8960</v>
      </c>
      <c r="Y157" s="1520">
        <f t="shared" si="63"/>
        <v>0</v>
      </c>
      <c r="Z157" s="1519">
        <v>1792</v>
      </c>
      <c r="AA157" s="1504">
        <v>0</v>
      </c>
      <c r="AB157" s="1520">
        <f t="shared" si="55"/>
        <v>1792</v>
      </c>
      <c r="AC157" s="820"/>
      <c r="AD157" s="821"/>
      <c r="AE157" s="822"/>
      <c r="AF157" s="820"/>
      <c r="AG157" s="821"/>
      <c r="AH157" s="822"/>
      <c r="AI157" s="1503">
        <f t="shared" si="64"/>
        <v>17920</v>
      </c>
      <c r="AJ157" s="1504">
        <f t="shared" si="68"/>
        <v>15734</v>
      </c>
      <c r="AK157" s="3912">
        <v>0</v>
      </c>
      <c r="AL157" s="1505">
        <f t="shared" si="62"/>
        <v>2186</v>
      </c>
      <c r="AM157" s="1508" t="s">
        <v>1061</v>
      </c>
      <c r="AN157" s="3401">
        <v>42836</v>
      </c>
      <c r="AO157" s="3402">
        <v>1193149</v>
      </c>
      <c r="AP157" s="2664">
        <v>42705</v>
      </c>
      <c r="AQ157" s="3462">
        <v>110.2</v>
      </c>
      <c r="AR157" s="1506">
        <f t="shared" si="65"/>
        <v>410</v>
      </c>
      <c r="AS157" s="1507">
        <f t="shared" si="66"/>
        <v>0</v>
      </c>
      <c r="AT157" s="1507">
        <f t="shared" si="67"/>
        <v>1867</v>
      </c>
      <c r="AU157" s="849"/>
      <c r="AV157" s="849"/>
      <c r="AW157" s="2878">
        <f t="shared" si="56"/>
        <v>2277</v>
      </c>
      <c r="AX157" s="3146"/>
      <c r="AY157" s="2006"/>
      <c r="AZ157" s="1726"/>
      <c r="BA157" s="1727"/>
      <c r="BB157" s="1222"/>
      <c r="BC157" s="4117">
        <v>0</v>
      </c>
      <c r="BD157" s="4117">
        <f t="shared" si="57"/>
        <v>0</v>
      </c>
    </row>
    <row r="158" spans="1:56" ht="140.25">
      <c r="A158" s="5981" t="s">
        <v>11135</v>
      </c>
      <c r="B158" s="1538" t="s">
        <v>2956</v>
      </c>
      <c r="C158" s="1509">
        <v>0</v>
      </c>
      <c r="D158" s="1510">
        <v>42576</v>
      </c>
      <c r="E158" s="3047" t="s">
        <v>6387</v>
      </c>
      <c r="F158" s="1511">
        <v>41821</v>
      </c>
      <c r="G158" s="2136">
        <v>1</v>
      </c>
      <c r="H158" s="1513" t="s">
        <v>3924</v>
      </c>
      <c r="I158" s="1514" t="s">
        <v>1433</v>
      </c>
      <c r="J158" s="1515" t="s">
        <v>1434</v>
      </c>
      <c r="K158" s="1516">
        <v>44034</v>
      </c>
      <c r="L158" s="1514" t="s">
        <v>473</v>
      </c>
      <c r="M158" s="1515" t="s">
        <v>2102</v>
      </c>
      <c r="N158" s="1514" t="s">
        <v>3923</v>
      </c>
      <c r="O158" s="1513" t="s">
        <v>3922</v>
      </c>
      <c r="P158" s="2215"/>
      <c r="Q158" s="1515" t="s">
        <v>3926</v>
      </c>
      <c r="R158" s="1515" t="s">
        <v>3925</v>
      </c>
      <c r="S158" s="1518" t="s">
        <v>3927</v>
      </c>
      <c r="T158" s="1519">
        <v>50597</v>
      </c>
      <c r="U158" s="1504">
        <v>0</v>
      </c>
      <c r="V158" s="1520">
        <f t="shared" si="54"/>
        <v>50597</v>
      </c>
      <c r="W158" s="1519">
        <v>8929</v>
      </c>
      <c r="X158" s="1504">
        <v>0</v>
      </c>
      <c r="Y158" s="1520">
        <f t="shared" si="63"/>
        <v>8929</v>
      </c>
      <c r="Z158" s="1519">
        <v>12200</v>
      </c>
      <c r="AA158" s="1504">
        <v>7150</v>
      </c>
      <c r="AB158" s="1520">
        <f t="shared" si="55"/>
        <v>5050</v>
      </c>
      <c r="AC158" s="820"/>
      <c r="AD158" s="821"/>
      <c r="AE158" s="822"/>
      <c r="AF158" s="820"/>
      <c r="AG158" s="821"/>
      <c r="AH158" s="822"/>
      <c r="AI158" s="1503">
        <f t="shared" si="64"/>
        <v>71726</v>
      </c>
      <c r="AJ158" s="1504">
        <f t="shared" si="68"/>
        <v>7150</v>
      </c>
      <c r="AK158" s="3912">
        <v>0</v>
      </c>
      <c r="AL158" s="1505">
        <f t="shared" si="62"/>
        <v>64576</v>
      </c>
      <c r="AM158" s="1508" t="s">
        <v>2977</v>
      </c>
      <c r="AN158" s="3401">
        <v>42838</v>
      </c>
      <c r="AO158" s="3402">
        <v>1193232</v>
      </c>
      <c r="AP158" s="2664">
        <v>42552</v>
      </c>
      <c r="AQ158" s="3462">
        <v>1.0111000000000001</v>
      </c>
      <c r="AR158" s="1506">
        <f t="shared" si="65"/>
        <v>51159</v>
      </c>
      <c r="AS158" s="1507">
        <f t="shared" si="66"/>
        <v>9028</v>
      </c>
      <c r="AT158" s="1507">
        <f t="shared" si="67"/>
        <v>5106</v>
      </c>
      <c r="AU158" s="849"/>
      <c r="AV158" s="849"/>
      <c r="AW158" s="2878">
        <f t="shared" si="56"/>
        <v>65293</v>
      </c>
      <c r="AX158" s="3146"/>
      <c r="AY158" s="2006"/>
      <c r="AZ158" s="1726"/>
      <c r="BA158" s="1727"/>
      <c r="BB158" s="1222"/>
      <c r="BC158" s="4117">
        <f t="shared" ref="BC158:BC176" si="69">ROUND($AJ158*$AQ158/$G158,0)</f>
        <v>7229</v>
      </c>
      <c r="BD158" s="4117">
        <f t="shared" si="57"/>
        <v>0</v>
      </c>
    </row>
    <row r="159" spans="1:56" ht="63.75">
      <c r="A159" s="5978" t="s">
        <v>11140</v>
      </c>
      <c r="B159" s="1538" t="s">
        <v>2939</v>
      </c>
      <c r="C159" s="1509">
        <v>1</v>
      </c>
      <c r="D159" s="1510">
        <v>42300</v>
      </c>
      <c r="E159" s="3047" t="s">
        <v>6387</v>
      </c>
      <c r="F159" s="2139" t="s">
        <v>3977</v>
      </c>
      <c r="G159" s="2140">
        <v>105.2</v>
      </c>
      <c r="H159" s="1513" t="s">
        <v>4054</v>
      </c>
      <c r="I159" s="1514" t="s">
        <v>1433</v>
      </c>
      <c r="J159" s="1515" t="s">
        <v>1434</v>
      </c>
      <c r="K159" s="1516">
        <v>43761</v>
      </c>
      <c r="L159" s="1514" t="s">
        <v>1183</v>
      </c>
      <c r="M159" s="1515" t="s">
        <v>3435</v>
      </c>
      <c r="N159" s="1514" t="s">
        <v>3436</v>
      </c>
      <c r="O159" s="1513" t="s">
        <v>3437</v>
      </c>
      <c r="P159" s="1517" t="s">
        <v>3592</v>
      </c>
      <c r="Q159" s="1515" t="s">
        <v>3438</v>
      </c>
      <c r="R159" s="1515" t="s">
        <v>3439</v>
      </c>
      <c r="S159" s="1518" t="s">
        <v>3541</v>
      </c>
      <c r="T159" s="1519">
        <v>7033</v>
      </c>
      <c r="U159" s="1504">
        <v>6028</v>
      </c>
      <c r="V159" s="1520">
        <f t="shared" si="54"/>
        <v>1005</v>
      </c>
      <c r="W159" s="1519">
        <v>1241</v>
      </c>
      <c r="X159" s="1504">
        <v>1064</v>
      </c>
      <c r="Y159" s="1520">
        <f t="shared" si="63"/>
        <v>177</v>
      </c>
      <c r="Z159" s="1519">
        <v>1970</v>
      </c>
      <c r="AA159" s="1504">
        <v>1689</v>
      </c>
      <c r="AB159" s="1520">
        <f t="shared" si="55"/>
        <v>281</v>
      </c>
      <c r="AC159" s="820"/>
      <c r="AD159" s="821"/>
      <c r="AE159" s="822"/>
      <c r="AF159" s="820"/>
      <c r="AG159" s="821"/>
      <c r="AH159" s="822"/>
      <c r="AI159" s="1503">
        <f t="shared" si="64"/>
        <v>10244</v>
      </c>
      <c r="AJ159" s="1504">
        <f t="shared" si="68"/>
        <v>8781</v>
      </c>
      <c r="AK159" s="3912">
        <v>0</v>
      </c>
      <c r="AL159" s="1505">
        <f t="shared" si="62"/>
        <v>1463</v>
      </c>
      <c r="AM159" s="1508" t="s">
        <v>1061</v>
      </c>
      <c r="AN159" s="3401">
        <v>42846</v>
      </c>
      <c r="AO159" s="3402">
        <v>1193360</v>
      </c>
      <c r="AP159" s="2664" t="s">
        <v>4516</v>
      </c>
      <c r="AQ159" s="3462">
        <v>110.2</v>
      </c>
      <c r="AR159" s="1506">
        <f t="shared" si="65"/>
        <v>1053</v>
      </c>
      <c r="AS159" s="1507">
        <f t="shared" si="66"/>
        <v>185</v>
      </c>
      <c r="AT159" s="1507">
        <f t="shared" si="67"/>
        <v>294</v>
      </c>
      <c r="AU159" s="849"/>
      <c r="AV159" s="849"/>
      <c r="AW159" s="2882">
        <f t="shared" si="56"/>
        <v>1532</v>
      </c>
      <c r="AX159" s="3146"/>
      <c r="AY159" s="2006"/>
      <c r="AZ159" s="1726"/>
      <c r="BA159" s="1727"/>
      <c r="BB159" s="1222"/>
      <c r="BC159" s="4117">
        <f t="shared" si="69"/>
        <v>9198</v>
      </c>
      <c r="BD159" s="4117">
        <f t="shared" si="57"/>
        <v>0</v>
      </c>
    </row>
    <row r="160" spans="1:56" ht="63.75">
      <c r="A160" s="5978" t="s">
        <v>11140</v>
      </c>
      <c r="B160" s="1538" t="s">
        <v>2940</v>
      </c>
      <c r="C160" s="1509">
        <v>1</v>
      </c>
      <c r="D160" s="1510">
        <v>42310</v>
      </c>
      <c r="E160" s="3047" t="s">
        <v>6387</v>
      </c>
      <c r="F160" s="2139" t="s">
        <v>3977</v>
      </c>
      <c r="G160" s="2140">
        <v>105.2</v>
      </c>
      <c r="H160" s="1513" t="s">
        <v>3453</v>
      </c>
      <c r="I160" s="1514" t="s">
        <v>1433</v>
      </c>
      <c r="J160" s="1515" t="s">
        <v>1434</v>
      </c>
      <c r="K160" s="1516">
        <v>43761</v>
      </c>
      <c r="L160" s="1514" t="s">
        <v>1183</v>
      </c>
      <c r="M160" s="1515" t="s">
        <v>3435</v>
      </c>
      <c r="N160" s="1514" t="s">
        <v>3454</v>
      </c>
      <c r="O160" s="1513" t="s">
        <v>3455</v>
      </c>
      <c r="P160" s="1517" t="s">
        <v>3592</v>
      </c>
      <c r="Q160" s="1515" t="s">
        <v>3456</v>
      </c>
      <c r="R160" s="1515" t="s">
        <v>3439</v>
      </c>
      <c r="S160" s="1518" t="s">
        <v>3541</v>
      </c>
      <c r="T160" s="1519">
        <v>3320</v>
      </c>
      <c r="U160" s="1504">
        <v>2846</v>
      </c>
      <c r="V160" s="1520">
        <f t="shared" si="54"/>
        <v>474</v>
      </c>
      <c r="W160" s="1519">
        <v>586</v>
      </c>
      <c r="X160" s="1504">
        <v>502</v>
      </c>
      <c r="Y160" s="1520">
        <f t="shared" si="63"/>
        <v>84</v>
      </c>
      <c r="Z160" s="1519">
        <v>930</v>
      </c>
      <c r="AA160" s="1504">
        <v>797</v>
      </c>
      <c r="AB160" s="1520">
        <f t="shared" si="55"/>
        <v>133</v>
      </c>
      <c r="AC160" s="820"/>
      <c r="AD160" s="821"/>
      <c r="AE160" s="822"/>
      <c r="AF160" s="820"/>
      <c r="AG160" s="821"/>
      <c r="AH160" s="822"/>
      <c r="AI160" s="1503">
        <f t="shared" si="64"/>
        <v>4836</v>
      </c>
      <c r="AJ160" s="1504">
        <f t="shared" si="68"/>
        <v>4145</v>
      </c>
      <c r="AK160" s="3912">
        <v>0</v>
      </c>
      <c r="AL160" s="1505">
        <f t="shared" si="62"/>
        <v>691</v>
      </c>
      <c r="AM160" s="1508" t="s">
        <v>1061</v>
      </c>
      <c r="AN160" s="3401">
        <v>42846</v>
      </c>
      <c r="AO160" s="3402">
        <v>1193391</v>
      </c>
      <c r="AP160" s="2664" t="s">
        <v>4516</v>
      </c>
      <c r="AQ160" s="3462">
        <v>110.2</v>
      </c>
      <c r="AR160" s="1506">
        <f t="shared" si="65"/>
        <v>497</v>
      </c>
      <c r="AS160" s="1507">
        <f t="shared" si="66"/>
        <v>88</v>
      </c>
      <c r="AT160" s="1507">
        <f t="shared" si="67"/>
        <v>139</v>
      </c>
      <c r="AU160" s="849"/>
      <c r="AV160" s="849"/>
      <c r="AW160" s="2878">
        <f t="shared" si="56"/>
        <v>724</v>
      </c>
      <c r="AX160" s="3146"/>
      <c r="AY160" s="2006"/>
      <c r="BB160" s="267"/>
      <c r="BC160" s="4117">
        <f t="shared" si="69"/>
        <v>4342</v>
      </c>
      <c r="BD160" s="4117">
        <f t="shared" si="57"/>
        <v>0</v>
      </c>
    </row>
    <row r="161" spans="1:61" ht="39" thickBot="1">
      <c r="A161" s="6002" t="s">
        <v>11135</v>
      </c>
      <c r="B161" s="2216" t="s">
        <v>2920</v>
      </c>
      <c r="C161" s="2217">
        <v>0</v>
      </c>
      <c r="D161" s="2218">
        <v>42188</v>
      </c>
      <c r="E161" s="3046" t="s">
        <v>6387</v>
      </c>
      <c r="F161" s="2219">
        <v>41821</v>
      </c>
      <c r="G161" s="2220">
        <v>1</v>
      </c>
      <c r="H161" s="2221" t="s">
        <v>4409</v>
      </c>
      <c r="I161" s="2222" t="s">
        <v>1433</v>
      </c>
      <c r="J161" s="2223" t="s">
        <v>1434</v>
      </c>
      <c r="K161" s="2224">
        <v>43649</v>
      </c>
      <c r="L161" s="2222" t="s">
        <v>3124</v>
      </c>
      <c r="M161" s="2223" t="s">
        <v>3125</v>
      </c>
      <c r="N161" s="2222" t="s">
        <v>3126</v>
      </c>
      <c r="O161" s="2221" t="s">
        <v>3127</v>
      </c>
      <c r="P161" s="2225"/>
      <c r="Q161" s="2223" t="s">
        <v>3128</v>
      </c>
      <c r="R161" s="2223" t="s">
        <v>3114</v>
      </c>
      <c r="S161" s="2226"/>
      <c r="T161" s="2227">
        <v>13440</v>
      </c>
      <c r="U161" s="2228">
        <v>0</v>
      </c>
      <c r="V161" s="2229">
        <f t="shared" si="54"/>
        <v>13440</v>
      </c>
      <c r="W161" s="2227">
        <v>16800</v>
      </c>
      <c r="X161" s="2228">
        <v>0</v>
      </c>
      <c r="Y161" s="2229">
        <f t="shared" si="63"/>
        <v>16800</v>
      </c>
      <c r="Z161" s="2227">
        <v>3360</v>
      </c>
      <c r="AA161" s="2228">
        <v>0</v>
      </c>
      <c r="AB161" s="2229">
        <f t="shared" si="55"/>
        <v>3360</v>
      </c>
      <c r="AC161" s="2230"/>
      <c r="AD161" s="2231"/>
      <c r="AE161" s="2232"/>
      <c r="AF161" s="2230"/>
      <c r="AG161" s="2231"/>
      <c r="AH161" s="2232"/>
      <c r="AI161" s="2233">
        <f t="shared" si="64"/>
        <v>33600</v>
      </c>
      <c r="AJ161" s="2228">
        <f t="shared" si="68"/>
        <v>0</v>
      </c>
      <c r="AK161" s="3911">
        <v>0</v>
      </c>
      <c r="AL161" s="2234">
        <f t="shared" si="62"/>
        <v>33600</v>
      </c>
      <c r="AM161" s="3479" t="s">
        <v>1061</v>
      </c>
      <c r="AN161" s="3480">
        <v>42853</v>
      </c>
      <c r="AO161" s="3481">
        <v>1193501</v>
      </c>
      <c r="AP161" s="3482" t="s">
        <v>4154</v>
      </c>
      <c r="AQ161" s="3483">
        <v>1.0111000000000001</v>
      </c>
      <c r="AR161" s="2235">
        <f t="shared" si="65"/>
        <v>13589</v>
      </c>
      <c r="AS161" s="2236">
        <f t="shared" si="66"/>
        <v>16986</v>
      </c>
      <c r="AT161" s="2236">
        <f t="shared" si="67"/>
        <v>3397</v>
      </c>
      <c r="AU161" s="2237"/>
      <c r="AV161" s="2237"/>
      <c r="AW161" s="2879">
        <f t="shared" si="56"/>
        <v>33972</v>
      </c>
      <c r="AX161" s="2896"/>
      <c r="AY161" s="1498" t="s">
        <v>4493</v>
      </c>
      <c r="AZ161" s="2118">
        <f>SUM(AW155:AW161)</f>
        <v>172680</v>
      </c>
      <c r="BA161" s="2119">
        <f>AZ161-BB147</f>
        <v>172680</v>
      </c>
      <c r="BB161" s="1501">
        <f>SUM(AU155:AV161)</f>
        <v>0</v>
      </c>
      <c r="BC161" s="4117">
        <f t="shared" si="69"/>
        <v>0</v>
      </c>
      <c r="BD161" s="4117">
        <f t="shared" si="57"/>
        <v>0</v>
      </c>
    </row>
    <row r="162" spans="1:61" ht="76.5">
      <c r="A162" s="5966" t="s">
        <v>11135</v>
      </c>
      <c r="B162" s="827" t="s">
        <v>2958</v>
      </c>
      <c r="C162" s="828">
        <v>0</v>
      </c>
      <c r="D162" s="829">
        <v>42598</v>
      </c>
      <c r="E162" s="3012" t="s">
        <v>6387</v>
      </c>
      <c r="F162" s="830" t="s">
        <v>3976</v>
      </c>
      <c r="G162" s="2134">
        <v>1.0111000000000001</v>
      </c>
      <c r="H162" s="832" t="s">
        <v>4055</v>
      </c>
      <c r="I162" s="833" t="s">
        <v>1433</v>
      </c>
      <c r="J162" s="834" t="s">
        <v>1434</v>
      </c>
      <c r="K162" s="835">
        <v>44059</v>
      </c>
      <c r="L162" s="833" t="s">
        <v>3991</v>
      </c>
      <c r="M162" s="834" t="s">
        <v>3992</v>
      </c>
      <c r="N162" s="833" t="s">
        <v>3993</v>
      </c>
      <c r="O162" s="832" t="s">
        <v>3994</v>
      </c>
      <c r="P162" s="836"/>
      <c r="Q162" s="834" t="s">
        <v>3995</v>
      </c>
      <c r="R162" s="834" t="s">
        <v>3996</v>
      </c>
      <c r="S162" s="837"/>
      <c r="T162" s="838">
        <v>8358</v>
      </c>
      <c r="U162" s="839">
        <v>0</v>
      </c>
      <c r="V162" s="840">
        <f t="shared" si="54"/>
        <v>8358</v>
      </c>
      <c r="W162" s="838">
        <v>1661</v>
      </c>
      <c r="X162" s="839">
        <v>0</v>
      </c>
      <c r="Y162" s="840">
        <f t="shared" si="63"/>
        <v>1661</v>
      </c>
      <c r="Z162" s="838">
        <v>14478</v>
      </c>
      <c r="AA162" s="839">
        <v>0</v>
      </c>
      <c r="AB162" s="840">
        <f t="shared" si="55"/>
        <v>14478</v>
      </c>
      <c r="AC162" s="823"/>
      <c r="AD162" s="824"/>
      <c r="AE162" s="825"/>
      <c r="AF162" s="823"/>
      <c r="AG162" s="824"/>
      <c r="AH162" s="825"/>
      <c r="AI162" s="841">
        <f t="shared" si="64"/>
        <v>24497</v>
      </c>
      <c r="AJ162" s="839">
        <f t="shared" si="68"/>
        <v>0</v>
      </c>
      <c r="AK162" s="3906">
        <v>0</v>
      </c>
      <c r="AL162" s="869">
        <f t="shared" si="62"/>
        <v>24497</v>
      </c>
      <c r="AM162" s="3369" t="s">
        <v>1061</v>
      </c>
      <c r="AN162" s="3360">
        <v>42857</v>
      </c>
      <c r="AO162" s="3361">
        <v>1193525</v>
      </c>
      <c r="AP162" s="3362" t="s">
        <v>4154</v>
      </c>
      <c r="AQ162" s="3437">
        <v>1.0111000000000001</v>
      </c>
      <c r="AR162" s="846">
        <f t="shared" si="65"/>
        <v>8358</v>
      </c>
      <c r="AS162" s="847">
        <f t="shared" si="66"/>
        <v>1661</v>
      </c>
      <c r="AT162" s="847">
        <f t="shared" si="67"/>
        <v>14478</v>
      </c>
      <c r="AU162" s="848"/>
      <c r="AV162" s="848"/>
      <c r="AW162" s="2868">
        <f t="shared" si="56"/>
        <v>24497</v>
      </c>
      <c r="AX162" s="2891"/>
      <c r="BB162" s="267"/>
      <c r="BC162" s="4117">
        <f t="shared" si="69"/>
        <v>0</v>
      </c>
      <c r="BD162" s="4117">
        <f t="shared" si="57"/>
        <v>0</v>
      </c>
    </row>
    <row r="163" spans="1:61" ht="51">
      <c r="A163" s="2418" t="s">
        <v>11135</v>
      </c>
      <c r="B163" s="338" t="s">
        <v>2924</v>
      </c>
      <c r="C163" s="321">
        <v>0</v>
      </c>
      <c r="D163" s="323">
        <v>42230</v>
      </c>
      <c r="E163" s="3012" t="s">
        <v>6387</v>
      </c>
      <c r="F163" s="324">
        <v>41821</v>
      </c>
      <c r="G163" s="2135">
        <v>1</v>
      </c>
      <c r="H163" s="332" t="s">
        <v>4551</v>
      </c>
      <c r="I163" s="339" t="s">
        <v>1433</v>
      </c>
      <c r="J163" s="322" t="s">
        <v>1434</v>
      </c>
      <c r="K163" s="340">
        <v>43691</v>
      </c>
      <c r="L163" s="339" t="s">
        <v>3242</v>
      </c>
      <c r="M163" s="322" t="s">
        <v>3243</v>
      </c>
      <c r="N163" s="339" t="s">
        <v>3244</v>
      </c>
      <c r="O163" s="332" t="s">
        <v>3246</v>
      </c>
      <c r="P163" s="345"/>
      <c r="Q163" s="322" t="s">
        <v>3247</v>
      </c>
      <c r="R163" s="322" t="s">
        <v>3248</v>
      </c>
      <c r="S163" s="346"/>
      <c r="T163" s="347">
        <v>6720</v>
      </c>
      <c r="U163" s="326">
        <v>0</v>
      </c>
      <c r="V163" s="348">
        <f t="shared" si="54"/>
        <v>6720</v>
      </c>
      <c r="W163" s="347">
        <v>8400</v>
      </c>
      <c r="X163" s="326">
        <v>0</v>
      </c>
      <c r="Y163" s="348">
        <f t="shared" si="63"/>
        <v>8400</v>
      </c>
      <c r="Z163" s="347">
        <v>1680</v>
      </c>
      <c r="AA163" s="326">
        <v>0</v>
      </c>
      <c r="AB163" s="348">
        <f t="shared" si="55"/>
        <v>1680</v>
      </c>
      <c r="AC163" s="820"/>
      <c r="AD163" s="821"/>
      <c r="AE163" s="822"/>
      <c r="AF163" s="820"/>
      <c r="AG163" s="821"/>
      <c r="AH163" s="822"/>
      <c r="AI163" s="482">
        <f t="shared" si="64"/>
        <v>16800</v>
      </c>
      <c r="AJ163" s="326">
        <f t="shared" si="68"/>
        <v>0</v>
      </c>
      <c r="AK163" s="3899">
        <v>0</v>
      </c>
      <c r="AL163" s="349">
        <f t="shared" si="62"/>
        <v>16800</v>
      </c>
      <c r="AM163" s="2002" t="s">
        <v>1061</v>
      </c>
      <c r="AN163" s="3357">
        <v>42858</v>
      </c>
      <c r="AO163" s="695">
        <v>1193573</v>
      </c>
      <c r="AP163" s="2722" t="s">
        <v>4154</v>
      </c>
      <c r="AQ163" s="3438">
        <v>1.0111000000000001</v>
      </c>
      <c r="AR163" s="333">
        <f t="shared" si="65"/>
        <v>6795</v>
      </c>
      <c r="AS163" s="330">
        <f t="shared" si="66"/>
        <v>8493</v>
      </c>
      <c r="AT163" s="330">
        <f t="shared" si="67"/>
        <v>1699</v>
      </c>
      <c r="AU163" s="849"/>
      <c r="AV163" s="849"/>
      <c r="AW163" s="2873">
        <f t="shared" si="56"/>
        <v>16987</v>
      </c>
      <c r="AX163" s="3140"/>
      <c r="BB163" s="267"/>
      <c r="BC163" s="4117">
        <f t="shared" si="69"/>
        <v>0</v>
      </c>
      <c r="BD163" s="4117">
        <f t="shared" si="57"/>
        <v>0</v>
      </c>
    </row>
    <row r="164" spans="1:61" ht="51">
      <c r="A164" s="2418" t="s">
        <v>11135</v>
      </c>
      <c r="B164" s="338" t="s">
        <v>2952</v>
      </c>
      <c r="C164" s="321">
        <v>0</v>
      </c>
      <c r="D164" s="323">
        <v>42552</v>
      </c>
      <c r="E164" s="3012" t="s">
        <v>6387</v>
      </c>
      <c r="F164" s="324">
        <v>41821</v>
      </c>
      <c r="G164" s="2135">
        <v>1</v>
      </c>
      <c r="H164" s="332" t="s">
        <v>3879</v>
      </c>
      <c r="I164" s="339" t="s">
        <v>1436</v>
      </c>
      <c r="J164" s="322" t="s">
        <v>1437</v>
      </c>
      <c r="K164" s="340">
        <v>44013</v>
      </c>
      <c r="L164" s="339" t="s">
        <v>3880</v>
      </c>
      <c r="M164" s="322" t="s">
        <v>2912</v>
      </c>
      <c r="N164" s="339" t="s">
        <v>3881</v>
      </c>
      <c r="O164" s="332" t="s">
        <v>3882</v>
      </c>
      <c r="P164" s="345"/>
      <c r="Q164" s="322" t="s">
        <v>3883</v>
      </c>
      <c r="R164" s="322" t="s">
        <v>3884</v>
      </c>
      <c r="S164" s="346"/>
      <c r="T164" s="347">
        <v>6720</v>
      </c>
      <c r="U164" s="326">
        <v>0</v>
      </c>
      <c r="V164" s="348">
        <f t="shared" si="54"/>
        <v>6720</v>
      </c>
      <c r="W164" s="347">
        <v>8400</v>
      </c>
      <c r="X164" s="326">
        <v>0</v>
      </c>
      <c r="Y164" s="348">
        <f t="shared" si="63"/>
        <v>8400</v>
      </c>
      <c r="Z164" s="347">
        <v>1680</v>
      </c>
      <c r="AA164" s="326">
        <v>0</v>
      </c>
      <c r="AB164" s="348">
        <f t="shared" si="55"/>
        <v>1680</v>
      </c>
      <c r="AC164" s="820"/>
      <c r="AD164" s="821"/>
      <c r="AE164" s="822"/>
      <c r="AF164" s="820"/>
      <c r="AG164" s="821"/>
      <c r="AH164" s="822"/>
      <c r="AI164" s="482">
        <f t="shared" si="64"/>
        <v>16800</v>
      </c>
      <c r="AJ164" s="326">
        <f t="shared" si="68"/>
        <v>0</v>
      </c>
      <c r="AK164" s="3899">
        <v>0</v>
      </c>
      <c r="AL164" s="349">
        <f t="shared" si="62"/>
        <v>16800</v>
      </c>
      <c r="AM164" s="2002" t="s">
        <v>1061</v>
      </c>
      <c r="AN164" s="3357">
        <v>42858</v>
      </c>
      <c r="AO164" s="695">
        <v>1193580</v>
      </c>
      <c r="AP164" s="2722" t="s">
        <v>4154</v>
      </c>
      <c r="AQ164" s="3438">
        <v>1.0111000000000001</v>
      </c>
      <c r="AR164" s="333">
        <f t="shared" si="65"/>
        <v>6795</v>
      </c>
      <c r="AS164" s="330">
        <f t="shared" si="66"/>
        <v>8493</v>
      </c>
      <c r="AT164" s="330">
        <f t="shared" si="67"/>
        <v>1699</v>
      </c>
      <c r="AU164" s="849"/>
      <c r="AV164" s="849"/>
      <c r="AW164" s="2870">
        <f t="shared" si="56"/>
        <v>16987</v>
      </c>
      <c r="AX164" s="3140"/>
      <c r="BB164" s="267"/>
      <c r="BC164" s="4117">
        <f t="shared" si="69"/>
        <v>0</v>
      </c>
      <c r="BD164" s="4117">
        <f t="shared" si="57"/>
        <v>0</v>
      </c>
    </row>
    <row r="165" spans="1:61" ht="77.25" thickBot="1">
      <c r="A165" s="6003" t="s">
        <v>11135</v>
      </c>
      <c r="B165" s="2274" t="s">
        <v>2959</v>
      </c>
      <c r="C165" s="2275">
        <v>0</v>
      </c>
      <c r="D165" s="2276">
        <v>42600</v>
      </c>
      <c r="E165" s="2992" t="s">
        <v>6387</v>
      </c>
      <c r="F165" s="3093" t="s">
        <v>3976</v>
      </c>
      <c r="G165" s="3094">
        <v>1.0111000000000001</v>
      </c>
      <c r="H165" s="2238" t="s">
        <v>4550</v>
      </c>
      <c r="I165" s="2277" t="s">
        <v>1433</v>
      </c>
      <c r="J165" s="2278" t="s">
        <v>1434</v>
      </c>
      <c r="K165" s="2279">
        <v>44061</v>
      </c>
      <c r="L165" s="2277" t="s">
        <v>3991</v>
      </c>
      <c r="M165" s="2278" t="s">
        <v>4012</v>
      </c>
      <c r="N165" s="2277" t="s">
        <v>4013</v>
      </c>
      <c r="O165" s="2238" t="s">
        <v>4014</v>
      </c>
      <c r="P165" s="2280"/>
      <c r="Q165" s="2278" t="s">
        <v>4010</v>
      </c>
      <c r="R165" s="2278" t="s">
        <v>3996</v>
      </c>
      <c r="S165" s="2281"/>
      <c r="T165" s="2282">
        <v>6384</v>
      </c>
      <c r="U165" s="2283">
        <v>0</v>
      </c>
      <c r="V165" s="2284">
        <f t="shared" si="54"/>
        <v>6384</v>
      </c>
      <c r="W165" s="2282">
        <v>1311</v>
      </c>
      <c r="X165" s="2283">
        <v>0</v>
      </c>
      <c r="Y165" s="2284">
        <f t="shared" si="63"/>
        <v>1311</v>
      </c>
      <c r="Z165" s="2282">
        <v>14083</v>
      </c>
      <c r="AA165" s="2283">
        <v>0</v>
      </c>
      <c r="AB165" s="2284">
        <f t="shared" si="55"/>
        <v>14083</v>
      </c>
      <c r="AC165" s="2230"/>
      <c r="AD165" s="2285"/>
      <c r="AE165" s="2232"/>
      <c r="AF165" s="2230"/>
      <c r="AG165" s="2285"/>
      <c r="AH165" s="2232"/>
      <c r="AI165" s="2286">
        <f t="shared" si="64"/>
        <v>21778</v>
      </c>
      <c r="AJ165" s="2283">
        <f t="shared" si="68"/>
        <v>0</v>
      </c>
      <c r="AK165" s="3903">
        <v>0</v>
      </c>
      <c r="AL165" s="2287">
        <f t="shared" si="62"/>
        <v>21778</v>
      </c>
      <c r="AM165" s="3484" t="s">
        <v>1061</v>
      </c>
      <c r="AN165" s="3485">
        <v>42859</v>
      </c>
      <c r="AO165" s="3486">
        <v>1193602</v>
      </c>
      <c r="AP165" s="3487" t="s">
        <v>4154</v>
      </c>
      <c r="AQ165" s="3488">
        <v>1.0111000000000001</v>
      </c>
      <c r="AR165" s="2288">
        <f t="shared" si="65"/>
        <v>6384</v>
      </c>
      <c r="AS165" s="2289">
        <f t="shared" si="66"/>
        <v>1311</v>
      </c>
      <c r="AT165" s="2289">
        <f t="shared" si="67"/>
        <v>14083</v>
      </c>
      <c r="AU165" s="2290"/>
      <c r="AV165" s="2290"/>
      <c r="AW165" s="2869">
        <f t="shared" si="56"/>
        <v>21778</v>
      </c>
      <c r="AX165" s="2890"/>
      <c r="AY165" s="764" t="s">
        <v>4740</v>
      </c>
      <c r="AZ165" s="1662">
        <f>SUM(AW162:AW165)</f>
        <v>80249</v>
      </c>
      <c r="BA165" s="1663">
        <f>AZ165-BB149</f>
        <v>80249</v>
      </c>
      <c r="BB165" s="884">
        <f>SUM(AU162:AV165)</f>
        <v>0</v>
      </c>
      <c r="BC165" s="4117">
        <f t="shared" si="69"/>
        <v>0</v>
      </c>
      <c r="BD165" s="4117">
        <f t="shared" si="57"/>
        <v>0</v>
      </c>
    </row>
    <row r="166" spans="1:61" ht="63.75">
      <c r="A166" s="5981" t="s">
        <v>11139</v>
      </c>
      <c r="B166" s="4056" t="s">
        <v>7216</v>
      </c>
      <c r="C166" s="4057">
        <v>0</v>
      </c>
      <c r="D166" s="4058">
        <v>41988</v>
      </c>
      <c r="E166" s="4059" t="s">
        <v>6383</v>
      </c>
      <c r="F166" s="4060">
        <v>41821</v>
      </c>
      <c r="G166" s="4061">
        <v>1</v>
      </c>
      <c r="H166" s="4062" t="s">
        <v>2717</v>
      </c>
      <c r="I166" s="1514" t="s">
        <v>1433</v>
      </c>
      <c r="J166" s="1515" t="s">
        <v>1434</v>
      </c>
      <c r="K166" s="1516">
        <v>43449</v>
      </c>
      <c r="L166" s="4063" t="s">
        <v>585</v>
      </c>
      <c r="M166" s="1515" t="s">
        <v>2718</v>
      </c>
      <c r="N166" s="1514" t="s">
        <v>2719</v>
      </c>
      <c r="O166" s="1513" t="s">
        <v>2720</v>
      </c>
      <c r="P166" s="4064" t="s">
        <v>7261</v>
      </c>
      <c r="Q166" s="1515" t="s">
        <v>2721</v>
      </c>
      <c r="R166" s="1515" t="s">
        <v>175</v>
      </c>
      <c r="S166" s="4055" t="s">
        <v>3476</v>
      </c>
      <c r="T166" s="1519">
        <v>5864</v>
      </c>
      <c r="U166" s="1504">
        <v>5864</v>
      </c>
      <c r="V166" s="1520">
        <f t="shared" si="54"/>
        <v>0</v>
      </c>
      <c r="W166" s="1519">
        <v>1035</v>
      </c>
      <c r="X166" s="1504">
        <v>1035</v>
      </c>
      <c r="Y166" s="1520">
        <f t="shared" si="63"/>
        <v>0</v>
      </c>
      <c r="Z166" s="1519">
        <v>3650</v>
      </c>
      <c r="AA166" s="1504">
        <v>3650</v>
      </c>
      <c r="AB166" s="1520">
        <f t="shared" si="55"/>
        <v>0</v>
      </c>
      <c r="AC166" s="1519"/>
      <c r="AD166" s="1504"/>
      <c r="AE166" s="1520"/>
      <c r="AF166" s="1519"/>
      <c r="AG166" s="1504"/>
      <c r="AH166" s="1520"/>
      <c r="AI166" s="1503">
        <f t="shared" si="64"/>
        <v>10549</v>
      </c>
      <c r="AJ166" s="1504">
        <f t="shared" si="68"/>
        <v>10549</v>
      </c>
      <c r="AK166" s="3912"/>
      <c r="AL166" s="1505">
        <f t="shared" si="62"/>
        <v>0</v>
      </c>
      <c r="AM166" s="4032" t="s">
        <v>7262</v>
      </c>
      <c r="AN166" s="4033"/>
      <c r="AO166" s="4034"/>
      <c r="AP166" s="4035"/>
      <c r="AQ166" s="4036"/>
      <c r="AR166" s="1506">
        <f t="shared" si="65"/>
        <v>0</v>
      </c>
      <c r="AS166" s="1507">
        <f t="shared" si="66"/>
        <v>0</v>
      </c>
      <c r="AT166" s="1507">
        <f t="shared" si="67"/>
        <v>0</v>
      </c>
      <c r="AU166" s="1507"/>
      <c r="AV166" s="1507"/>
      <c r="AW166" s="4065">
        <f t="shared" si="56"/>
        <v>0</v>
      </c>
      <c r="AX166" s="3146"/>
      <c r="BA166" s="267"/>
      <c r="BB166" s="267"/>
      <c r="BC166" s="4117">
        <f t="shared" si="69"/>
        <v>0</v>
      </c>
      <c r="BD166" s="4117">
        <f t="shared" si="57"/>
        <v>0</v>
      </c>
    </row>
    <row r="167" spans="1:61" ht="51">
      <c r="A167" s="5981" t="s">
        <v>11135</v>
      </c>
      <c r="B167" s="1538" t="s">
        <v>3566</v>
      </c>
      <c r="C167" s="1509">
        <v>0</v>
      </c>
      <c r="D167" s="1510">
        <v>42816</v>
      </c>
      <c r="E167" s="3047" t="s">
        <v>6385</v>
      </c>
      <c r="F167" s="1511" t="s">
        <v>3988</v>
      </c>
      <c r="G167" s="2136">
        <v>1.0111000000000001</v>
      </c>
      <c r="H167" s="1513" t="s">
        <v>4661</v>
      </c>
      <c r="I167" s="1514" t="s">
        <v>1433</v>
      </c>
      <c r="J167" s="1515" t="s">
        <v>1434</v>
      </c>
      <c r="K167" s="1516">
        <v>44277</v>
      </c>
      <c r="L167" s="1514" t="s">
        <v>4463</v>
      </c>
      <c r="M167" s="1515" t="s">
        <v>4207</v>
      </c>
      <c r="N167" s="1514" t="s">
        <v>4464</v>
      </c>
      <c r="O167" s="1513" t="s">
        <v>4465</v>
      </c>
      <c r="P167" s="1517"/>
      <c r="Q167" s="1515" t="s">
        <v>4466</v>
      </c>
      <c r="R167" s="1515" t="s">
        <v>4467</v>
      </c>
      <c r="S167" s="1518"/>
      <c r="T167" s="1519">
        <v>74396</v>
      </c>
      <c r="U167" s="1504">
        <v>0</v>
      </c>
      <c r="V167" s="1520">
        <f t="shared" si="54"/>
        <v>74396</v>
      </c>
      <c r="W167" s="1519">
        <v>13129</v>
      </c>
      <c r="X167" s="1504">
        <v>0</v>
      </c>
      <c r="Y167" s="1520">
        <f t="shared" si="63"/>
        <v>13129</v>
      </c>
      <c r="Z167" s="1519">
        <v>0</v>
      </c>
      <c r="AA167" s="1504">
        <v>0</v>
      </c>
      <c r="AB167" s="1520">
        <f t="shared" si="55"/>
        <v>0</v>
      </c>
      <c r="AC167" s="820"/>
      <c r="AD167" s="821"/>
      <c r="AE167" s="822"/>
      <c r="AF167" s="820"/>
      <c r="AG167" s="821"/>
      <c r="AH167" s="822"/>
      <c r="AI167" s="1503">
        <f t="shared" si="64"/>
        <v>87525</v>
      </c>
      <c r="AJ167" s="1504">
        <f t="shared" si="68"/>
        <v>0</v>
      </c>
      <c r="AK167" s="3912">
        <v>0</v>
      </c>
      <c r="AL167" s="1505">
        <f t="shared" si="62"/>
        <v>87525</v>
      </c>
      <c r="AM167" s="1508" t="s">
        <v>1061</v>
      </c>
      <c r="AN167" s="3401">
        <v>42907</v>
      </c>
      <c r="AO167" s="3402">
        <v>119469</v>
      </c>
      <c r="AP167" s="2664" t="s">
        <v>3988</v>
      </c>
      <c r="AQ167" s="3462">
        <v>1.0111000000000001</v>
      </c>
      <c r="AR167" s="1506">
        <f t="shared" si="65"/>
        <v>74396</v>
      </c>
      <c r="AS167" s="1507">
        <f t="shared" si="66"/>
        <v>13129</v>
      </c>
      <c r="AT167" s="1507">
        <f t="shared" si="67"/>
        <v>0</v>
      </c>
      <c r="AU167" s="849"/>
      <c r="AV167" s="849"/>
      <c r="AW167" s="2878">
        <f t="shared" si="56"/>
        <v>87525</v>
      </c>
      <c r="AX167" s="3146"/>
      <c r="BB167" s="267"/>
      <c r="BC167" s="4117">
        <f t="shared" si="69"/>
        <v>0</v>
      </c>
      <c r="BD167" s="4117">
        <f t="shared" si="57"/>
        <v>0</v>
      </c>
    </row>
    <row r="168" spans="1:61" s="307" customFormat="1" ht="77.25" thickBot="1">
      <c r="A168" s="6004" t="s">
        <v>11135</v>
      </c>
      <c r="B168" s="3723" t="s">
        <v>3359</v>
      </c>
      <c r="C168" s="4281">
        <v>0</v>
      </c>
      <c r="D168" s="4283">
        <v>42076</v>
      </c>
      <c r="E168" s="4283" t="s">
        <v>6387</v>
      </c>
      <c r="F168" s="4284">
        <v>41821</v>
      </c>
      <c r="G168" s="4466">
        <v>1</v>
      </c>
      <c r="H168" s="4467" t="s">
        <v>2963</v>
      </c>
      <c r="I168" s="3728" t="s">
        <v>1436</v>
      </c>
      <c r="J168" s="4287" t="s">
        <v>2712</v>
      </c>
      <c r="K168" s="4468">
        <v>43537</v>
      </c>
      <c r="L168" s="3728" t="s">
        <v>1797</v>
      </c>
      <c r="M168" s="4287" t="s">
        <v>2912</v>
      </c>
      <c r="N168" s="3728" t="s">
        <v>2964</v>
      </c>
      <c r="O168" s="4467" t="s">
        <v>2965</v>
      </c>
      <c r="P168" s="3731" t="s">
        <v>2973</v>
      </c>
      <c r="Q168" s="4287" t="s">
        <v>2966</v>
      </c>
      <c r="R168" s="4287" t="s">
        <v>2967</v>
      </c>
      <c r="S168" s="4469" t="s">
        <v>2974</v>
      </c>
      <c r="T168" s="3733">
        <v>100800</v>
      </c>
      <c r="U168" s="4292">
        <v>0</v>
      </c>
      <c r="V168" s="4470">
        <f t="shared" si="54"/>
        <v>100800</v>
      </c>
      <c r="W168" s="3733">
        <v>126000</v>
      </c>
      <c r="X168" s="4292">
        <v>126000</v>
      </c>
      <c r="Y168" s="4470">
        <f t="shared" si="63"/>
        <v>0</v>
      </c>
      <c r="Z168" s="3733">
        <v>25200</v>
      </c>
      <c r="AA168" s="4292">
        <v>0</v>
      </c>
      <c r="AB168" s="4470">
        <f t="shared" si="55"/>
        <v>25200</v>
      </c>
      <c r="AC168" s="3736"/>
      <c r="AD168" s="4451"/>
      <c r="AE168" s="4452"/>
      <c r="AF168" s="3736"/>
      <c r="AG168" s="4451"/>
      <c r="AH168" s="4452"/>
      <c r="AI168" s="3739">
        <f t="shared" si="64"/>
        <v>252000</v>
      </c>
      <c r="AJ168" s="4292">
        <v>0</v>
      </c>
      <c r="AK168" s="4292">
        <f>U168+X168+AA168+AD168+AG168</f>
        <v>126000</v>
      </c>
      <c r="AL168" s="4471">
        <f t="shared" si="62"/>
        <v>126000</v>
      </c>
      <c r="AM168" s="3741" t="s">
        <v>4742</v>
      </c>
      <c r="AN168" s="4296">
        <v>42907</v>
      </c>
      <c r="AO168" s="4297">
        <v>1194711</v>
      </c>
      <c r="AP168" s="4298" t="s">
        <v>4154</v>
      </c>
      <c r="AQ168" s="4472">
        <v>1.0111000000000001</v>
      </c>
      <c r="AR168" s="3744">
        <f t="shared" si="65"/>
        <v>101919</v>
      </c>
      <c r="AS168" s="4300">
        <f>-29400-17640</f>
        <v>-47040</v>
      </c>
      <c r="AT168" s="4300">
        <f t="shared" si="67"/>
        <v>25480</v>
      </c>
      <c r="AU168" s="4453"/>
      <c r="AV168" s="4453"/>
      <c r="AW168" s="4473">
        <f t="shared" si="56"/>
        <v>80359</v>
      </c>
      <c r="AX168" s="3747"/>
      <c r="AY168" s="1498" t="s">
        <v>4743</v>
      </c>
      <c r="AZ168" s="2118">
        <f>SUM(AW167:AW168)</f>
        <v>167884</v>
      </c>
      <c r="BA168" s="2119">
        <f>AZ168-BB147</f>
        <v>167884</v>
      </c>
      <c r="BB168" s="1501">
        <f>SUM(AU167:AV168)</f>
        <v>0</v>
      </c>
      <c r="BC168" s="4118">
        <f t="shared" si="69"/>
        <v>0</v>
      </c>
      <c r="BD168" s="4118">
        <f t="shared" si="57"/>
        <v>127399</v>
      </c>
      <c r="BE168" s="4112"/>
      <c r="BF168" s="4523">
        <f>SUM(BA108:BA168)</f>
        <v>2540384</v>
      </c>
      <c r="BG168" s="4519">
        <f>SUM(BC108:BC168)</f>
        <v>46792</v>
      </c>
      <c r="BH168" s="4519">
        <f>SUM(BD108:BD168)</f>
        <v>191524</v>
      </c>
      <c r="BI168" s="4529">
        <f>SUM(BE108:BE168)</f>
        <v>0</v>
      </c>
    </row>
    <row r="169" spans="1:61" ht="38.25">
      <c r="A169" s="5966" t="s">
        <v>11135</v>
      </c>
      <c r="B169" s="827" t="s">
        <v>2946</v>
      </c>
      <c r="C169" s="828">
        <v>0</v>
      </c>
      <c r="D169" s="829">
        <v>42466</v>
      </c>
      <c r="E169" s="829" t="s">
        <v>6387</v>
      </c>
      <c r="F169" s="830">
        <v>41821</v>
      </c>
      <c r="G169" s="2134">
        <v>1</v>
      </c>
      <c r="H169" s="832" t="s">
        <v>3699</v>
      </c>
      <c r="I169" s="833" t="s">
        <v>1436</v>
      </c>
      <c r="J169" s="834" t="s">
        <v>1437</v>
      </c>
      <c r="K169" s="835">
        <v>43926</v>
      </c>
      <c r="L169" s="833" t="s">
        <v>3700</v>
      </c>
      <c r="M169" s="834" t="s">
        <v>303</v>
      </c>
      <c r="N169" s="833" t="s">
        <v>3701</v>
      </c>
      <c r="O169" s="832" t="s">
        <v>3702</v>
      </c>
      <c r="P169" s="836"/>
      <c r="Q169" s="834" t="s">
        <v>2544</v>
      </c>
      <c r="R169" s="834" t="s">
        <v>1443</v>
      </c>
      <c r="S169" s="837"/>
      <c r="T169" s="838">
        <v>6720</v>
      </c>
      <c r="U169" s="839">
        <v>0</v>
      </c>
      <c r="V169" s="840">
        <f t="shared" si="54"/>
        <v>6720</v>
      </c>
      <c r="W169" s="838">
        <v>8400</v>
      </c>
      <c r="X169" s="839">
        <v>0</v>
      </c>
      <c r="Y169" s="840">
        <f t="shared" si="63"/>
        <v>8400</v>
      </c>
      <c r="Z169" s="838">
        <v>1680</v>
      </c>
      <c r="AA169" s="839">
        <v>0</v>
      </c>
      <c r="AB169" s="840">
        <f t="shared" si="55"/>
        <v>1680</v>
      </c>
      <c r="AC169" s="823"/>
      <c r="AD169" s="824"/>
      <c r="AE169" s="825"/>
      <c r="AF169" s="823"/>
      <c r="AG169" s="824"/>
      <c r="AH169" s="825"/>
      <c r="AI169" s="841">
        <f t="shared" si="64"/>
        <v>16800</v>
      </c>
      <c r="AJ169" s="839">
        <f t="shared" ref="AJ169:AJ191" si="70">U169+X169+AA169+AD169+AG169</f>
        <v>0</v>
      </c>
      <c r="AK169" s="3906">
        <v>0</v>
      </c>
      <c r="AL169" s="869">
        <f t="shared" si="62"/>
        <v>16800</v>
      </c>
      <c r="AM169" s="3369" t="s">
        <v>2977</v>
      </c>
      <c r="AN169" s="3360">
        <v>42926</v>
      </c>
      <c r="AO169" s="3361">
        <v>1195079</v>
      </c>
      <c r="AP169" s="3362" t="s">
        <v>4728</v>
      </c>
      <c r="AQ169" s="3437">
        <v>1.0111000000000001</v>
      </c>
      <c r="AR169" s="846">
        <f t="shared" si="65"/>
        <v>6795</v>
      </c>
      <c r="AS169" s="847">
        <f t="shared" ref="AS169:AS194" si="71">ROUND($AQ169/$G169*Y169,0)</f>
        <v>8493</v>
      </c>
      <c r="AT169" s="847">
        <f t="shared" si="67"/>
        <v>1699</v>
      </c>
      <c r="AU169" s="848"/>
      <c r="AV169" s="848"/>
      <c r="AW169" s="2872">
        <f t="shared" si="56"/>
        <v>16987</v>
      </c>
      <c r="AX169" s="2891"/>
      <c r="BB169" s="267"/>
      <c r="BC169" s="4117">
        <f t="shared" si="69"/>
        <v>0</v>
      </c>
      <c r="BD169" s="4117">
        <f t="shared" si="57"/>
        <v>0</v>
      </c>
    </row>
    <row r="170" spans="1:61" ht="89.25">
      <c r="A170" s="5964" t="s">
        <v>11140</v>
      </c>
      <c r="B170" s="338" t="s">
        <v>3957</v>
      </c>
      <c r="C170" s="321">
        <v>0</v>
      </c>
      <c r="D170" s="323">
        <v>42905</v>
      </c>
      <c r="E170" s="3012" t="s">
        <v>6385</v>
      </c>
      <c r="F170" s="1203">
        <v>42795</v>
      </c>
      <c r="G170" s="2175">
        <v>110.5</v>
      </c>
      <c r="H170" s="332" t="s">
        <v>4690</v>
      </c>
      <c r="I170" s="339" t="s">
        <v>4691</v>
      </c>
      <c r="J170" s="322" t="s">
        <v>4306</v>
      </c>
      <c r="K170" s="340">
        <v>43635</v>
      </c>
      <c r="L170" s="339" t="s">
        <v>4692</v>
      </c>
      <c r="M170" s="322" t="s">
        <v>4693</v>
      </c>
      <c r="N170" s="339" t="s">
        <v>4694</v>
      </c>
      <c r="O170" s="332" t="s">
        <v>4695</v>
      </c>
      <c r="P170" s="345"/>
      <c r="Q170" s="322" t="s">
        <v>4696</v>
      </c>
      <c r="R170" s="322" t="s">
        <v>4697</v>
      </c>
      <c r="S170" s="346" t="s">
        <v>4698</v>
      </c>
      <c r="T170" s="347">
        <v>23399</v>
      </c>
      <c r="U170" s="326">
        <v>11700</v>
      </c>
      <c r="V170" s="348">
        <f t="shared" si="54"/>
        <v>11699</v>
      </c>
      <c r="W170" s="347">
        <v>4129</v>
      </c>
      <c r="X170" s="326">
        <v>2064</v>
      </c>
      <c r="Y170" s="348">
        <f t="shared" si="63"/>
        <v>2065</v>
      </c>
      <c r="Z170" s="347">
        <v>4128</v>
      </c>
      <c r="AA170" s="326">
        <v>2064</v>
      </c>
      <c r="AB170" s="348">
        <f t="shared" si="55"/>
        <v>2064</v>
      </c>
      <c r="AC170" s="820"/>
      <c r="AD170" s="821"/>
      <c r="AE170" s="822"/>
      <c r="AF170" s="820"/>
      <c r="AG170" s="821"/>
      <c r="AH170" s="822"/>
      <c r="AI170" s="482">
        <f t="shared" si="64"/>
        <v>31656</v>
      </c>
      <c r="AJ170" s="326">
        <f t="shared" si="70"/>
        <v>15828</v>
      </c>
      <c r="AK170" s="3899">
        <v>0</v>
      </c>
      <c r="AL170" s="349">
        <f t="shared" si="62"/>
        <v>15828</v>
      </c>
      <c r="AM170" s="3489" t="s">
        <v>1061</v>
      </c>
      <c r="AN170" s="3357">
        <v>42927</v>
      </c>
      <c r="AO170" s="695">
        <v>1195135</v>
      </c>
      <c r="AP170" s="2722">
        <v>42795</v>
      </c>
      <c r="AQ170" s="3438">
        <v>110.5</v>
      </c>
      <c r="AR170" s="333">
        <f t="shared" si="65"/>
        <v>11699</v>
      </c>
      <c r="AS170" s="330">
        <f t="shared" si="71"/>
        <v>2065</v>
      </c>
      <c r="AT170" s="330">
        <f t="shared" si="67"/>
        <v>2064</v>
      </c>
      <c r="AU170" s="849"/>
      <c r="AV170" s="849"/>
      <c r="AW170" s="2870">
        <f t="shared" si="56"/>
        <v>15828</v>
      </c>
      <c r="AX170" s="3140"/>
      <c r="BB170" s="267"/>
      <c r="BC170" s="4117">
        <f t="shared" si="69"/>
        <v>15828</v>
      </c>
      <c r="BD170" s="4117">
        <f t="shared" si="57"/>
        <v>0</v>
      </c>
    </row>
    <row r="171" spans="1:61" ht="38.25">
      <c r="A171" s="2418" t="s">
        <v>11135</v>
      </c>
      <c r="B171" s="338" t="s">
        <v>3954</v>
      </c>
      <c r="C171" s="321">
        <v>0</v>
      </c>
      <c r="D171" s="323">
        <v>42898</v>
      </c>
      <c r="E171" s="3012" t="s">
        <v>6385</v>
      </c>
      <c r="F171" s="324" t="s">
        <v>3976</v>
      </c>
      <c r="G171" s="2135">
        <v>1.0111000000000001</v>
      </c>
      <c r="H171" s="332" t="s">
        <v>4650</v>
      </c>
      <c r="I171" s="339" t="s">
        <v>1433</v>
      </c>
      <c r="J171" s="322" t="s">
        <v>1434</v>
      </c>
      <c r="K171" s="340">
        <v>44359</v>
      </c>
      <c r="L171" s="339" t="s">
        <v>4652</v>
      </c>
      <c r="M171" s="322" t="s">
        <v>4394</v>
      </c>
      <c r="N171" s="339" t="s">
        <v>4653</v>
      </c>
      <c r="O171" s="332" t="s">
        <v>4654</v>
      </c>
      <c r="P171" s="345"/>
      <c r="Q171" s="322" t="s">
        <v>4655</v>
      </c>
      <c r="R171" s="322" t="s">
        <v>4656</v>
      </c>
      <c r="S171" s="346"/>
      <c r="T171" s="347">
        <v>2912</v>
      </c>
      <c r="U171" s="326">
        <v>0</v>
      </c>
      <c r="V171" s="348">
        <f t="shared" si="54"/>
        <v>2912</v>
      </c>
      <c r="W171" s="347">
        <v>3640</v>
      </c>
      <c r="X171" s="326">
        <v>0</v>
      </c>
      <c r="Y171" s="348">
        <f t="shared" si="63"/>
        <v>3640</v>
      </c>
      <c r="Z171" s="347">
        <v>728</v>
      </c>
      <c r="AA171" s="326">
        <v>0</v>
      </c>
      <c r="AB171" s="348">
        <f t="shared" si="55"/>
        <v>728</v>
      </c>
      <c r="AC171" s="820"/>
      <c r="AD171" s="821"/>
      <c r="AE171" s="822"/>
      <c r="AF171" s="820"/>
      <c r="AG171" s="821"/>
      <c r="AH171" s="822"/>
      <c r="AI171" s="482">
        <f t="shared" si="64"/>
        <v>7280</v>
      </c>
      <c r="AJ171" s="326">
        <f t="shared" si="70"/>
        <v>0</v>
      </c>
      <c r="AK171" s="3899">
        <v>0</v>
      </c>
      <c r="AL171" s="349">
        <f t="shared" si="62"/>
        <v>7280</v>
      </c>
      <c r="AM171" s="2002" t="s">
        <v>1061</v>
      </c>
      <c r="AN171" s="3357">
        <v>42935</v>
      </c>
      <c r="AO171" s="695">
        <v>1195378</v>
      </c>
      <c r="AP171" s="2722" t="s">
        <v>4154</v>
      </c>
      <c r="AQ171" s="3438">
        <v>1.0111000000000001</v>
      </c>
      <c r="AR171" s="333">
        <f t="shared" si="65"/>
        <v>2912</v>
      </c>
      <c r="AS171" s="330">
        <f t="shared" si="71"/>
        <v>3640</v>
      </c>
      <c r="AT171" s="330">
        <f t="shared" si="67"/>
        <v>728</v>
      </c>
      <c r="AU171" s="849"/>
      <c r="AV171" s="849"/>
      <c r="AW171" s="2870">
        <f t="shared" si="56"/>
        <v>7280</v>
      </c>
      <c r="AX171" s="3140"/>
      <c r="BB171" s="267"/>
      <c r="BC171" s="4117">
        <f t="shared" si="69"/>
        <v>0</v>
      </c>
      <c r="BD171" s="4117">
        <f t="shared" si="57"/>
        <v>0</v>
      </c>
    </row>
    <row r="172" spans="1:61" ht="76.5">
      <c r="A172" s="5964" t="s">
        <v>11140</v>
      </c>
      <c r="B172" s="338" t="s">
        <v>3563</v>
      </c>
      <c r="C172" s="321">
        <v>0</v>
      </c>
      <c r="D172" s="323">
        <v>42780</v>
      </c>
      <c r="E172" s="3012" t="s">
        <v>6385</v>
      </c>
      <c r="F172" s="1203">
        <v>42705</v>
      </c>
      <c r="G172" s="2175">
        <v>110.2</v>
      </c>
      <c r="H172" s="332" t="s">
        <v>4346</v>
      </c>
      <c r="I172" s="339" t="s">
        <v>4353</v>
      </c>
      <c r="J172" s="322" t="s">
        <v>4306</v>
      </c>
      <c r="K172" s="340">
        <v>43510</v>
      </c>
      <c r="L172" s="339" t="s">
        <v>4347</v>
      </c>
      <c r="M172" s="322" t="s">
        <v>4348</v>
      </c>
      <c r="N172" s="339" t="s">
        <v>4349</v>
      </c>
      <c r="O172" s="332" t="s">
        <v>4350</v>
      </c>
      <c r="P172" s="345"/>
      <c r="Q172" s="6094" t="s">
        <v>4332</v>
      </c>
      <c r="R172" s="322" t="s">
        <v>1046</v>
      </c>
      <c r="S172" s="346"/>
      <c r="T172" s="347">
        <v>2288</v>
      </c>
      <c r="U172" s="326">
        <v>0</v>
      </c>
      <c r="V172" s="348">
        <f t="shared" si="54"/>
        <v>2288</v>
      </c>
      <c r="W172" s="347">
        <v>2860</v>
      </c>
      <c r="X172" s="326">
        <v>0</v>
      </c>
      <c r="Y172" s="348">
        <f t="shared" si="63"/>
        <v>2860</v>
      </c>
      <c r="Z172" s="347">
        <v>817</v>
      </c>
      <c r="AA172" s="326">
        <v>0</v>
      </c>
      <c r="AB172" s="348">
        <f t="shared" si="55"/>
        <v>817</v>
      </c>
      <c r="AC172" s="820"/>
      <c r="AD172" s="821"/>
      <c r="AE172" s="822"/>
      <c r="AF172" s="820"/>
      <c r="AG172" s="821"/>
      <c r="AH172" s="822"/>
      <c r="AI172" s="482">
        <f t="shared" si="64"/>
        <v>5965</v>
      </c>
      <c r="AJ172" s="326">
        <f t="shared" si="70"/>
        <v>0</v>
      </c>
      <c r="AK172" s="3899">
        <v>0</v>
      </c>
      <c r="AL172" s="349">
        <f t="shared" si="62"/>
        <v>5965</v>
      </c>
      <c r="AM172" s="2002" t="s">
        <v>1061</v>
      </c>
      <c r="AN172" s="3357">
        <v>42937</v>
      </c>
      <c r="AO172" s="695">
        <v>1195566</v>
      </c>
      <c r="AP172" s="2722">
        <v>42795</v>
      </c>
      <c r="AQ172" s="3438">
        <v>110.5</v>
      </c>
      <c r="AR172" s="333">
        <f t="shared" si="65"/>
        <v>2294</v>
      </c>
      <c r="AS172" s="330">
        <f t="shared" si="71"/>
        <v>2868</v>
      </c>
      <c r="AT172" s="330">
        <f t="shared" si="67"/>
        <v>819</v>
      </c>
      <c r="AU172" s="849"/>
      <c r="AV172" s="849"/>
      <c r="AW172" s="2870">
        <f t="shared" si="56"/>
        <v>5981</v>
      </c>
      <c r="AX172" s="3140"/>
      <c r="BB172" s="267"/>
      <c r="BC172" s="4117">
        <f t="shared" si="69"/>
        <v>0</v>
      </c>
      <c r="BD172" s="4117">
        <f t="shared" si="57"/>
        <v>0</v>
      </c>
    </row>
    <row r="173" spans="1:61" ht="63.75">
      <c r="A173" s="2418" t="s">
        <v>11135</v>
      </c>
      <c r="B173" s="338" t="s">
        <v>4763</v>
      </c>
      <c r="C173" s="321">
        <v>0</v>
      </c>
      <c r="D173" s="323">
        <v>42535</v>
      </c>
      <c r="E173" s="3012" t="s">
        <v>6387</v>
      </c>
      <c r="F173" s="324">
        <v>41821</v>
      </c>
      <c r="G173" s="2135">
        <v>1</v>
      </c>
      <c r="H173" s="332" t="s">
        <v>4764</v>
      </c>
      <c r="I173" s="339" t="s">
        <v>1433</v>
      </c>
      <c r="J173" s="322" t="s">
        <v>1434</v>
      </c>
      <c r="K173" s="340">
        <v>43996</v>
      </c>
      <c r="L173" s="339" t="s">
        <v>3853</v>
      </c>
      <c r="M173" s="322" t="s">
        <v>303</v>
      </c>
      <c r="N173" s="339" t="s">
        <v>1487</v>
      </c>
      <c r="O173" s="332" t="s">
        <v>3854</v>
      </c>
      <c r="P173" s="345" t="s">
        <v>3856</v>
      </c>
      <c r="Q173" s="322" t="s">
        <v>3864</v>
      </c>
      <c r="R173" s="322" t="s">
        <v>3855</v>
      </c>
      <c r="S173" s="346"/>
      <c r="T173" s="347">
        <v>1821</v>
      </c>
      <c r="U173" s="326">
        <v>0</v>
      </c>
      <c r="V173" s="348">
        <f t="shared" si="54"/>
        <v>1821</v>
      </c>
      <c r="W173" s="347">
        <v>321</v>
      </c>
      <c r="X173" s="326">
        <v>0</v>
      </c>
      <c r="Y173" s="348">
        <f t="shared" si="63"/>
        <v>321</v>
      </c>
      <c r="Z173" s="347">
        <v>0</v>
      </c>
      <c r="AA173" s="326">
        <v>0</v>
      </c>
      <c r="AB173" s="348">
        <f t="shared" si="55"/>
        <v>0</v>
      </c>
      <c r="AC173" s="820"/>
      <c r="AD173" s="821"/>
      <c r="AE173" s="822"/>
      <c r="AF173" s="820"/>
      <c r="AG173" s="821"/>
      <c r="AH173" s="822"/>
      <c r="AI173" s="482">
        <f t="shared" si="64"/>
        <v>2142</v>
      </c>
      <c r="AJ173" s="326">
        <f t="shared" si="70"/>
        <v>0</v>
      </c>
      <c r="AK173" s="3899">
        <v>0</v>
      </c>
      <c r="AL173" s="349">
        <f t="shared" si="62"/>
        <v>2142</v>
      </c>
      <c r="AM173" s="2002" t="s">
        <v>1061</v>
      </c>
      <c r="AN173" s="3357">
        <v>42940</v>
      </c>
      <c r="AO173" s="695">
        <v>1195600</v>
      </c>
      <c r="AP173" s="2722" t="s">
        <v>4154</v>
      </c>
      <c r="AQ173" s="3438">
        <v>1.0111000000000001</v>
      </c>
      <c r="AR173" s="333">
        <f t="shared" si="65"/>
        <v>1841</v>
      </c>
      <c r="AS173" s="330">
        <f t="shared" si="71"/>
        <v>325</v>
      </c>
      <c r="AT173" s="330">
        <f t="shared" si="67"/>
        <v>0</v>
      </c>
      <c r="AU173" s="849"/>
      <c r="AV173" s="849"/>
      <c r="AW173" s="2870">
        <f t="shared" si="56"/>
        <v>2166</v>
      </c>
      <c r="AX173" s="3140"/>
      <c r="BB173" s="267"/>
      <c r="BC173" s="4117">
        <f t="shared" si="69"/>
        <v>0</v>
      </c>
      <c r="BD173" s="4117">
        <f t="shared" si="57"/>
        <v>0</v>
      </c>
    </row>
    <row r="174" spans="1:61" ht="153">
      <c r="A174" s="2418" t="s">
        <v>11135</v>
      </c>
      <c r="B174" s="338" t="s">
        <v>3953</v>
      </c>
      <c r="C174" s="321">
        <v>0</v>
      </c>
      <c r="D174" s="323">
        <v>42899</v>
      </c>
      <c r="E174" s="3012" t="s">
        <v>6385</v>
      </c>
      <c r="F174" s="324" t="s">
        <v>3976</v>
      </c>
      <c r="G174" s="2135">
        <v>1.0111000000000001</v>
      </c>
      <c r="H174" s="332" t="s">
        <v>4637</v>
      </c>
      <c r="I174" s="339" t="s">
        <v>4638</v>
      </c>
      <c r="J174" s="322" t="s">
        <v>4306</v>
      </c>
      <c r="K174" s="340">
        <v>43629</v>
      </c>
      <c r="L174" s="339" t="s">
        <v>4639</v>
      </c>
      <c r="M174" s="322" t="s">
        <v>4640</v>
      </c>
      <c r="N174" s="339" t="s">
        <v>4641</v>
      </c>
      <c r="O174" s="332" t="s">
        <v>4642</v>
      </c>
      <c r="P174" s="345" t="s">
        <v>4762</v>
      </c>
      <c r="Q174" s="322" t="s">
        <v>4643</v>
      </c>
      <c r="R174" s="322" t="s">
        <v>4644</v>
      </c>
      <c r="S174" s="346"/>
      <c r="T174" s="347">
        <v>0</v>
      </c>
      <c r="U174" s="326">
        <v>0</v>
      </c>
      <c r="V174" s="348">
        <f t="shared" si="54"/>
        <v>0</v>
      </c>
      <c r="W174" s="347">
        <v>0</v>
      </c>
      <c r="X174" s="326">
        <v>0</v>
      </c>
      <c r="Y174" s="348">
        <f t="shared" si="63"/>
        <v>0</v>
      </c>
      <c r="Z174" s="347">
        <v>3724</v>
      </c>
      <c r="AA174" s="326">
        <v>0</v>
      </c>
      <c r="AB174" s="348">
        <f t="shared" si="55"/>
        <v>3724</v>
      </c>
      <c r="AC174" s="820"/>
      <c r="AD174" s="821"/>
      <c r="AE174" s="822"/>
      <c r="AF174" s="820"/>
      <c r="AG174" s="821"/>
      <c r="AH174" s="822"/>
      <c r="AI174" s="482">
        <f t="shared" si="64"/>
        <v>3724</v>
      </c>
      <c r="AJ174" s="326">
        <f t="shared" si="70"/>
        <v>0</v>
      </c>
      <c r="AK174" s="3899">
        <v>0</v>
      </c>
      <c r="AL174" s="349">
        <f t="shared" si="62"/>
        <v>3724</v>
      </c>
      <c r="AM174" s="2002" t="s">
        <v>1061</v>
      </c>
      <c r="AN174" s="3357">
        <v>42944</v>
      </c>
      <c r="AO174" s="695">
        <v>1195950</v>
      </c>
      <c r="AP174" s="2722" t="s">
        <v>4154</v>
      </c>
      <c r="AQ174" s="3438">
        <v>1.0111000000000001</v>
      </c>
      <c r="AR174" s="333">
        <f t="shared" si="65"/>
        <v>0</v>
      </c>
      <c r="AS174" s="330">
        <f t="shared" si="71"/>
        <v>0</v>
      </c>
      <c r="AT174" s="330">
        <f t="shared" si="67"/>
        <v>3724</v>
      </c>
      <c r="AU174" s="849"/>
      <c r="AV174" s="849"/>
      <c r="AW174" s="2870">
        <f t="shared" si="56"/>
        <v>3724</v>
      </c>
      <c r="AX174" s="3140"/>
      <c r="AY174" s="2006"/>
      <c r="AZ174" s="1726"/>
      <c r="BB174" s="267"/>
      <c r="BC174" s="4117">
        <f t="shared" si="69"/>
        <v>0</v>
      </c>
      <c r="BD174" s="4117">
        <f t="shared" si="57"/>
        <v>0</v>
      </c>
    </row>
    <row r="175" spans="1:61" ht="51.75" thickBot="1">
      <c r="A175" s="6005" t="s">
        <v>11135</v>
      </c>
      <c r="B175" s="2274" t="s">
        <v>3557</v>
      </c>
      <c r="C175" s="2275">
        <v>0</v>
      </c>
      <c r="D175" s="2276">
        <v>42712</v>
      </c>
      <c r="E175" s="2992" t="s">
        <v>6385</v>
      </c>
      <c r="F175" s="3093" t="s">
        <v>3988</v>
      </c>
      <c r="G175" s="3094">
        <v>1.0111000000000001</v>
      </c>
      <c r="H175" s="2315" t="s">
        <v>4222</v>
      </c>
      <c r="I175" s="2277" t="s">
        <v>1436</v>
      </c>
      <c r="J175" s="2278" t="s">
        <v>1437</v>
      </c>
      <c r="K175" s="2316">
        <v>44173</v>
      </c>
      <c r="L175" s="2277" t="s">
        <v>4223</v>
      </c>
      <c r="M175" s="2278" t="s">
        <v>2912</v>
      </c>
      <c r="N175" s="2277" t="s">
        <v>2800</v>
      </c>
      <c r="O175" s="2315" t="s">
        <v>4224</v>
      </c>
      <c r="P175" s="2280"/>
      <c r="Q175" s="2278" t="s">
        <v>4225</v>
      </c>
      <c r="R175" s="2278" t="s">
        <v>4226</v>
      </c>
      <c r="S175" s="2317"/>
      <c r="T175" s="2282">
        <v>6794</v>
      </c>
      <c r="U175" s="2283">
        <v>0</v>
      </c>
      <c r="V175" s="2318">
        <f t="shared" si="54"/>
        <v>6794</v>
      </c>
      <c r="W175" s="2282">
        <v>8493</v>
      </c>
      <c r="X175" s="2283">
        <v>0</v>
      </c>
      <c r="Y175" s="2318">
        <f t="shared" si="63"/>
        <v>8493</v>
      </c>
      <c r="Z175" s="2282">
        <v>1699</v>
      </c>
      <c r="AA175" s="2283">
        <v>0</v>
      </c>
      <c r="AB175" s="2318">
        <f t="shared" si="55"/>
        <v>1699</v>
      </c>
      <c r="AC175" s="2230"/>
      <c r="AD175" s="2285"/>
      <c r="AE175" s="2319"/>
      <c r="AF175" s="2230"/>
      <c r="AG175" s="2285"/>
      <c r="AH175" s="2319"/>
      <c r="AI175" s="2286">
        <f t="shared" si="64"/>
        <v>16986</v>
      </c>
      <c r="AJ175" s="2283">
        <f t="shared" si="70"/>
        <v>0</v>
      </c>
      <c r="AK175" s="3903">
        <v>0</v>
      </c>
      <c r="AL175" s="2320">
        <f t="shared" si="62"/>
        <v>16986</v>
      </c>
      <c r="AM175" s="3484" t="s">
        <v>1061</v>
      </c>
      <c r="AN175" s="3485">
        <v>42947</v>
      </c>
      <c r="AO175" s="3486">
        <v>1196068</v>
      </c>
      <c r="AP175" s="3487" t="s">
        <v>4154</v>
      </c>
      <c r="AQ175" s="3490">
        <v>1.0111000000000001</v>
      </c>
      <c r="AR175" s="2288">
        <f t="shared" si="65"/>
        <v>6794</v>
      </c>
      <c r="AS175" s="2289">
        <f t="shared" si="71"/>
        <v>8493</v>
      </c>
      <c r="AT175" s="2289">
        <f t="shared" si="67"/>
        <v>1699</v>
      </c>
      <c r="AU175" s="2290"/>
      <c r="AV175" s="2290"/>
      <c r="AW175" s="2869">
        <f t="shared" si="56"/>
        <v>16986</v>
      </c>
      <c r="AX175" s="2890"/>
      <c r="AY175" s="764" t="s">
        <v>4741</v>
      </c>
      <c r="AZ175" s="1662">
        <f>SUM(AW169:AW175)</f>
        <v>68952</v>
      </c>
      <c r="BA175" s="1727">
        <f>AZ175</f>
        <v>68952</v>
      </c>
      <c r="BB175" s="267"/>
      <c r="BC175" s="4117">
        <f t="shared" si="69"/>
        <v>0</v>
      </c>
      <c r="BD175" s="4117">
        <f t="shared" si="57"/>
        <v>0</v>
      </c>
    </row>
    <row r="176" spans="1:61" ht="76.5">
      <c r="A176" s="6006" t="s">
        <v>11140</v>
      </c>
      <c r="B176" s="2298" t="s">
        <v>3561</v>
      </c>
      <c r="C176" s="2299">
        <v>0</v>
      </c>
      <c r="D176" s="2300">
        <v>42766</v>
      </c>
      <c r="E176" s="2300" t="s">
        <v>6385</v>
      </c>
      <c r="F176" s="2301">
        <v>42705</v>
      </c>
      <c r="G176" s="2302">
        <v>110.2</v>
      </c>
      <c r="H176" s="2306" t="s">
        <v>4305</v>
      </c>
      <c r="I176" s="2303" t="s">
        <v>4313</v>
      </c>
      <c r="J176" s="2304" t="s">
        <v>4306</v>
      </c>
      <c r="K176" s="2305">
        <v>43484</v>
      </c>
      <c r="L176" s="2303" t="s">
        <v>4312</v>
      </c>
      <c r="M176" s="2304" t="s">
        <v>4311</v>
      </c>
      <c r="N176" s="2303" t="s">
        <v>4308</v>
      </c>
      <c r="O176" s="2306" t="s">
        <v>4307</v>
      </c>
      <c r="P176" s="2321"/>
      <c r="Q176" s="2304" t="s">
        <v>4310</v>
      </c>
      <c r="R176" s="2304" t="s">
        <v>4309</v>
      </c>
      <c r="S176" s="2307"/>
      <c r="T176" s="2308">
        <v>2288</v>
      </c>
      <c r="U176" s="2309">
        <v>0</v>
      </c>
      <c r="V176" s="2310">
        <f t="shared" si="54"/>
        <v>2288</v>
      </c>
      <c r="W176" s="2308">
        <v>2860</v>
      </c>
      <c r="X176" s="2309">
        <v>0</v>
      </c>
      <c r="Y176" s="2310">
        <f t="shared" si="63"/>
        <v>2860</v>
      </c>
      <c r="Z176" s="2308">
        <v>817</v>
      </c>
      <c r="AA176" s="2309">
        <v>0</v>
      </c>
      <c r="AB176" s="2310">
        <f t="shared" si="55"/>
        <v>817</v>
      </c>
      <c r="AC176" s="823"/>
      <c r="AD176" s="824"/>
      <c r="AE176" s="825"/>
      <c r="AF176" s="823"/>
      <c r="AG176" s="824"/>
      <c r="AH176" s="825"/>
      <c r="AI176" s="2311">
        <f t="shared" si="64"/>
        <v>5965</v>
      </c>
      <c r="AJ176" s="2309">
        <f t="shared" si="70"/>
        <v>0</v>
      </c>
      <c r="AK176" s="3914">
        <v>0</v>
      </c>
      <c r="AL176" s="2312">
        <f t="shared" si="62"/>
        <v>5965</v>
      </c>
      <c r="AM176" s="3491" t="s">
        <v>1061</v>
      </c>
      <c r="AN176" s="3492">
        <v>42948</v>
      </c>
      <c r="AO176" s="2492">
        <v>1196166</v>
      </c>
      <c r="AP176" s="2905" t="s">
        <v>4704</v>
      </c>
      <c r="AQ176" s="3493">
        <v>110.5</v>
      </c>
      <c r="AR176" s="2313">
        <f t="shared" si="65"/>
        <v>2294</v>
      </c>
      <c r="AS176" s="2314">
        <f t="shared" si="71"/>
        <v>2868</v>
      </c>
      <c r="AT176" s="2314">
        <f t="shared" si="67"/>
        <v>819</v>
      </c>
      <c r="AU176" s="848"/>
      <c r="AV176" s="848"/>
      <c r="AW176" s="2883">
        <f t="shared" si="56"/>
        <v>5981</v>
      </c>
      <c r="AX176" s="2899"/>
      <c r="BB176" s="267"/>
      <c r="BC176" s="4117">
        <f t="shared" si="69"/>
        <v>0</v>
      </c>
      <c r="BD176" s="4117">
        <f t="shared" si="57"/>
        <v>0</v>
      </c>
    </row>
    <row r="177" spans="1:56" ht="69">
      <c r="A177" s="5981" t="s">
        <v>11135</v>
      </c>
      <c r="B177" s="1538" t="s">
        <v>2917</v>
      </c>
      <c r="C177" s="1509">
        <v>0</v>
      </c>
      <c r="D177" s="1510">
        <v>42164</v>
      </c>
      <c r="E177" s="3047" t="s">
        <v>6392</v>
      </c>
      <c r="F177" s="1511">
        <v>41821</v>
      </c>
      <c r="G177" s="2136">
        <v>1</v>
      </c>
      <c r="H177" s="1513" t="s">
        <v>3067</v>
      </c>
      <c r="I177" s="1514" t="s">
        <v>1433</v>
      </c>
      <c r="J177" s="1515" t="s">
        <v>1434</v>
      </c>
      <c r="K177" s="1516">
        <v>43625</v>
      </c>
      <c r="L177" s="1514" t="s">
        <v>3068</v>
      </c>
      <c r="M177" s="1515" t="s">
        <v>3069</v>
      </c>
      <c r="N177" s="1514" t="s">
        <v>2272</v>
      </c>
      <c r="O177" s="1513" t="s">
        <v>7081</v>
      </c>
      <c r="P177" s="2215" t="s">
        <v>4810</v>
      </c>
      <c r="Q177" s="1515" t="s">
        <v>3070</v>
      </c>
      <c r="R177" s="1515" t="s">
        <v>4805</v>
      </c>
      <c r="S177" s="1518" t="s">
        <v>4806</v>
      </c>
      <c r="T177" s="1519">
        <v>15123</v>
      </c>
      <c r="U177" s="1504">
        <v>14280</v>
      </c>
      <c r="V177" s="1520">
        <f t="shared" si="54"/>
        <v>843</v>
      </c>
      <c r="W177" s="1519">
        <v>2669</v>
      </c>
      <c r="X177" s="1504">
        <v>2520</v>
      </c>
      <c r="Y177" s="1520">
        <f t="shared" si="63"/>
        <v>149</v>
      </c>
      <c r="Z177" s="1519">
        <v>10190</v>
      </c>
      <c r="AA177" s="1504">
        <v>0</v>
      </c>
      <c r="AB177" s="1520">
        <f t="shared" si="55"/>
        <v>10190</v>
      </c>
      <c r="AC177" s="820"/>
      <c r="AD177" s="821"/>
      <c r="AE177" s="822"/>
      <c r="AF177" s="820"/>
      <c r="AG177" s="821"/>
      <c r="AH177" s="822"/>
      <c r="AI177" s="1503">
        <f t="shared" si="64"/>
        <v>27982</v>
      </c>
      <c r="AJ177" s="1504">
        <f t="shared" si="70"/>
        <v>16800</v>
      </c>
      <c r="AK177" s="3912">
        <v>0</v>
      </c>
      <c r="AL177" s="1505">
        <f t="shared" si="62"/>
        <v>11182</v>
      </c>
      <c r="AM177" s="1508" t="s">
        <v>4807</v>
      </c>
      <c r="AN177" s="3401">
        <v>42951</v>
      </c>
      <c r="AO177" s="3402">
        <v>1196457</v>
      </c>
      <c r="AP177" s="2664">
        <v>41821</v>
      </c>
      <c r="AQ177" s="3462">
        <v>1</v>
      </c>
      <c r="AR177" s="1506">
        <f t="shared" si="65"/>
        <v>843</v>
      </c>
      <c r="AS177" s="1507">
        <f t="shared" si="71"/>
        <v>149</v>
      </c>
      <c r="AT177" s="1507">
        <f t="shared" si="67"/>
        <v>10190</v>
      </c>
      <c r="AU177" s="849"/>
      <c r="AV177" s="849"/>
      <c r="AW177" s="2878">
        <f t="shared" si="56"/>
        <v>11182</v>
      </c>
      <c r="AX177" s="3146"/>
      <c r="BB177" s="267"/>
      <c r="BC177" s="4117">
        <v>0</v>
      </c>
      <c r="BD177" s="4117">
        <f t="shared" si="57"/>
        <v>0</v>
      </c>
    </row>
    <row r="178" spans="1:56" ht="76.5">
      <c r="A178" s="5978" t="s">
        <v>11140</v>
      </c>
      <c r="B178" s="1538" t="s">
        <v>4822</v>
      </c>
      <c r="C178" s="1509">
        <v>0</v>
      </c>
      <c r="D178" s="1510">
        <v>42513</v>
      </c>
      <c r="E178" s="3047" t="s">
        <v>6387</v>
      </c>
      <c r="F178" s="2139">
        <v>42430</v>
      </c>
      <c r="G178" s="2140">
        <v>108.5</v>
      </c>
      <c r="H178" s="1513" t="s">
        <v>3810</v>
      </c>
      <c r="I178" s="1514" t="s">
        <v>1330</v>
      </c>
      <c r="J178" s="1515" t="s">
        <v>1445</v>
      </c>
      <c r="K178" s="1516">
        <v>42461</v>
      </c>
      <c r="L178" s="1514" t="s">
        <v>3811</v>
      </c>
      <c r="M178" s="1515" t="s">
        <v>3812</v>
      </c>
      <c r="N178" s="1514" t="s">
        <v>3813</v>
      </c>
      <c r="O178" s="1513" t="s">
        <v>3814</v>
      </c>
      <c r="P178" s="1517" t="s">
        <v>3915</v>
      </c>
      <c r="Q178" s="1515" t="s">
        <v>3815</v>
      </c>
      <c r="R178" s="1515" t="s">
        <v>939</v>
      </c>
      <c r="S178" s="1518" t="s">
        <v>3816</v>
      </c>
      <c r="T178" s="1519">
        <v>856</v>
      </c>
      <c r="U178" s="1504">
        <v>0</v>
      </c>
      <c r="V178" s="1520">
        <f t="shared" si="54"/>
        <v>856</v>
      </c>
      <c r="W178" s="1519">
        <v>0</v>
      </c>
      <c r="X178" s="1504">
        <v>0</v>
      </c>
      <c r="Y178" s="1520">
        <f t="shared" si="63"/>
        <v>0</v>
      </c>
      <c r="Z178" s="1519">
        <v>0</v>
      </c>
      <c r="AA178" s="1504">
        <v>0</v>
      </c>
      <c r="AB178" s="1520">
        <f t="shared" si="55"/>
        <v>0</v>
      </c>
      <c r="AC178" s="820"/>
      <c r="AD178" s="821"/>
      <c r="AE178" s="822"/>
      <c r="AF178" s="820"/>
      <c r="AG178" s="821"/>
      <c r="AH178" s="822"/>
      <c r="AI178" s="1503">
        <f t="shared" si="64"/>
        <v>856</v>
      </c>
      <c r="AJ178" s="1504">
        <f t="shared" si="70"/>
        <v>0</v>
      </c>
      <c r="AK178" s="3912">
        <v>0</v>
      </c>
      <c r="AL178" s="1505">
        <f t="shared" si="62"/>
        <v>856</v>
      </c>
      <c r="AM178" s="1508" t="s">
        <v>1061</v>
      </c>
      <c r="AN178" s="3401">
        <v>42954</v>
      </c>
      <c r="AO178" s="3402">
        <v>1196565</v>
      </c>
      <c r="AP178" s="2664" t="s">
        <v>4704</v>
      </c>
      <c r="AQ178" s="3462">
        <v>110.5</v>
      </c>
      <c r="AR178" s="1506">
        <f t="shared" si="65"/>
        <v>872</v>
      </c>
      <c r="AS178" s="1507">
        <f t="shared" si="71"/>
        <v>0</v>
      </c>
      <c r="AT178" s="1507">
        <f t="shared" si="67"/>
        <v>0</v>
      </c>
      <c r="AU178" s="849"/>
      <c r="AV178" s="849"/>
      <c r="AW178" s="2878">
        <f t="shared" si="56"/>
        <v>872</v>
      </c>
      <c r="AX178" s="3146"/>
      <c r="BB178" s="267"/>
      <c r="BC178" s="4117">
        <f t="shared" ref="BC178:BC188" si="72">ROUND($AJ178*$AQ178/$G178,0)</f>
        <v>0</v>
      </c>
      <c r="BD178" s="4117">
        <f t="shared" si="57"/>
        <v>0</v>
      </c>
    </row>
    <row r="179" spans="1:56" ht="102">
      <c r="A179" s="5978" t="s">
        <v>11140</v>
      </c>
      <c r="B179" s="1508" t="s">
        <v>4821</v>
      </c>
      <c r="C179" s="1509">
        <v>0</v>
      </c>
      <c r="D179" s="1510">
        <v>41458</v>
      </c>
      <c r="E179" s="3047" t="s">
        <v>6388</v>
      </c>
      <c r="F179" s="2139">
        <v>41334</v>
      </c>
      <c r="G179" s="2140">
        <v>102</v>
      </c>
      <c r="H179" s="1513" t="s">
        <v>4823</v>
      </c>
      <c r="I179" s="1514" t="s">
        <v>1433</v>
      </c>
      <c r="J179" s="1515" t="s">
        <v>1434</v>
      </c>
      <c r="K179" s="1516">
        <v>42952</v>
      </c>
      <c r="L179" s="1514" t="s">
        <v>32</v>
      </c>
      <c r="M179" s="1515" t="s">
        <v>3812</v>
      </c>
      <c r="N179" s="1514" t="s">
        <v>3813</v>
      </c>
      <c r="O179" s="1513" t="s">
        <v>3814</v>
      </c>
      <c r="P179" s="1517" t="s">
        <v>4825</v>
      </c>
      <c r="Q179" s="1515" t="s">
        <v>4824</v>
      </c>
      <c r="R179" s="1515" t="s">
        <v>939</v>
      </c>
      <c r="S179" s="1518"/>
      <c r="T179" s="1519">
        <v>0</v>
      </c>
      <c r="U179" s="1504">
        <v>0</v>
      </c>
      <c r="V179" s="1520">
        <f t="shared" si="54"/>
        <v>0</v>
      </c>
      <c r="W179" s="1519">
        <v>0</v>
      </c>
      <c r="X179" s="1504">
        <v>0</v>
      </c>
      <c r="Y179" s="1520">
        <f t="shared" si="63"/>
        <v>0</v>
      </c>
      <c r="Z179" s="1519">
        <v>6190</v>
      </c>
      <c r="AA179" s="1504">
        <v>0</v>
      </c>
      <c r="AB179" s="1520">
        <f t="shared" si="55"/>
        <v>6190</v>
      </c>
      <c r="AC179" s="820"/>
      <c r="AD179" s="821"/>
      <c r="AE179" s="822"/>
      <c r="AF179" s="820"/>
      <c r="AG179" s="821"/>
      <c r="AH179" s="822"/>
      <c r="AI179" s="1503">
        <f t="shared" si="64"/>
        <v>6190</v>
      </c>
      <c r="AJ179" s="1504">
        <f t="shared" si="70"/>
        <v>0</v>
      </c>
      <c r="AK179" s="3912">
        <v>0</v>
      </c>
      <c r="AL179" s="1505">
        <f t="shared" si="62"/>
        <v>6190</v>
      </c>
      <c r="AM179" s="1508" t="s">
        <v>1061</v>
      </c>
      <c r="AN179" s="3401">
        <v>42954</v>
      </c>
      <c r="AO179" s="3402">
        <v>1196565</v>
      </c>
      <c r="AP179" s="2664" t="s">
        <v>4812</v>
      </c>
      <c r="AQ179" s="3462">
        <v>110.5</v>
      </c>
      <c r="AR179" s="1506">
        <f t="shared" si="65"/>
        <v>0</v>
      </c>
      <c r="AS179" s="1507">
        <f t="shared" si="71"/>
        <v>0</v>
      </c>
      <c r="AT179" s="1507">
        <f t="shared" si="67"/>
        <v>6706</v>
      </c>
      <c r="AU179" s="849"/>
      <c r="AV179" s="849"/>
      <c r="AW179" s="2878">
        <f t="shared" si="56"/>
        <v>6706</v>
      </c>
      <c r="AX179" s="3146"/>
      <c r="BB179" s="267"/>
      <c r="BC179" s="4117">
        <f t="shared" si="72"/>
        <v>0</v>
      </c>
      <c r="BD179" s="4117">
        <f t="shared" si="57"/>
        <v>0</v>
      </c>
    </row>
    <row r="180" spans="1:56" ht="76.5">
      <c r="A180" s="5978" t="s">
        <v>11140</v>
      </c>
      <c r="B180" s="1538" t="s">
        <v>3562</v>
      </c>
      <c r="C180" s="1509">
        <v>0</v>
      </c>
      <c r="D180" s="1510">
        <v>42779</v>
      </c>
      <c r="E180" s="3047" t="s">
        <v>6385</v>
      </c>
      <c r="F180" s="2139">
        <v>42705</v>
      </c>
      <c r="G180" s="2140">
        <v>110.2</v>
      </c>
      <c r="H180" s="1513" t="s">
        <v>4326</v>
      </c>
      <c r="I180" s="1514" t="s">
        <v>4327</v>
      </c>
      <c r="J180" s="1515" t="s">
        <v>4306</v>
      </c>
      <c r="K180" s="1516">
        <v>43509</v>
      </c>
      <c r="L180" s="1514" t="s">
        <v>4328</v>
      </c>
      <c r="M180" s="1515" t="s">
        <v>4331</v>
      </c>
      <c r="N180" s="1514" t="s">
        <v>4330</v>
      </c>
      <c r="O180" s="1515" t="s">
        <v>4329</v>
      </c>
      <c r="P180" s="1517"/>
      <c r="Q180" s="6094" t="s">
        <v>4332</v>
      </c>
      <c r="R180" s="1515" t="s">
        <v>1046</v>
      </c>
      <c r="S180" s="1518"/>
      <c r="T180" s="1519">
        <v>2288</v>
      </c>
      <c r="U180" s="1504">
        <v>0</v>
      </c>
      <c r="V180" s="1520">
        <f t="shared" si="54"/>
        <v>2288</v>
      </c>
      <c r="W180" s="1519">
        <v>2860</v>
      </c>
      <c r="X180" s="1504">
        <v>0</v>
      </c>
      <c r="Y180" s="1520">
        <f t="shared" si="63"/>
        <v>2860</v>
      </c>
      <c r="Z180" s="1519">
        <v>817</v>
      </c>
      <c r="AA180" s="1504">
        <v>0</v>
      </c>
      <c r="AB180" s="1520">
        <f t="shared" si="55"/>
        <v>817</v>
      </c>
      <c r="AC180" s="820"/>
      <c r="AD180" s="821"/>
      <c r="AE180" s="822"/>
      <c r="AF180" s="820"/>
      <c r="AG180" s="821"/>
      <c r="AH180" s="822"/>
      <c r="AI180" s="1503">
        <f t="shared" si="64"/>
        <v>5965</v>
      </c>
      <c r="AJ180" s="1504">
        <f t="shared" si="70"/>
        <v>0</v>
      </c>
      <c r="AK180" s="3912">
        <v>0</v>
      </c>
      <c r="AL180" s="1505">
        <f t="shared" si="62"/>
        <v>5965</v>
      </c>
      <c r="AM180" s="1508" t="s">
        <v>1061</v>
      </c>
      <c r="AN180" s="3401">
        <v>42964</v>
      </c>
      <c r="AO180" s="3402">
        <v>1197562</v>
      </c>
      <c r="AP180" s="2664" t="s">
        <v>4838</v>
      </c>
      <c r="AQ180" s="3462">
        <v>111</v>
      </c>
      <c r="AR180" s="1506">
        <f t="shared" si="65"/>
        <v>2305</v>
      </c>
      <c r="AS180" s="1507">
        <f t="shared" si="71"/>
        <v>2881</v>
      </c>
      <c r="AT180" s="1507">
        <f t="shared" si="67"/>
        <v>823</v>
      </c>
      <c r="AU180" s="849"/>
      <c r="AV180" s="849"/>
      <c r="AW180" s="2878">
        <f t="shared" si="56"/>
        <v>6009</v>
      </c>
      <c r="AX180" s="3146"/>
      <c r="AY180" s="2006"/>
      <c r="AZ180" s="1726"/>
      <c r="BB180" s="267"/>
      <c r="BC180" s="4117">
        <f t="shared" si="72"/>
        <v>0</v>
      </c>
      <c r="BD180" s="4117">
        <f t="shared" si="57"/>
        <v>0</v>
      </c>
    </row>
    <row r="181" spans="1:56" ht="76.5">
      <c r="A181" s="5981" t="s">
        <v>11135</v>
      </c>
      <c r="B181" s="1538" t="s">
        <v>3947</v>
      </c>
      <c r="C181" s="1509">
        <v>0</v>
      </c>
      <c r="D181" s="1510">
        <v>42865</v>
      </c>
      <c r="E181" s="3047" t="s">
        <v>6385</v>
      </c>
      <c r="F181" s="1511" t="s">
        <v>3976</v>
      </c>
      <c r="G181" s="2136">
        <v>1.0111000000000001</v>
      </c>
      <c r="H181" s="1513" t="s">
        <v>4571</v>
      </c>
      <c r="I181" s="1514" t="s">
        <v>4572</v>
      </c>
      <c r="J181" s="1515" t="s">
        <v>4306</v>
      </c>
      <c r="K181" s="1516">
        <v>43595</v>
      </c>
      <c r="L181" s="1514" t="s">
        <v>4573</v>
      </c>
      <c r="M181" s="1515" t="s">
        <v>4574</v>
      </c>
      <c r="N181" s="1514" t="s">
        <v>4575</v>
      </c>
      <c r="O181" s="1513" t="s">
        <v>4576</v>
      </c>
      <c r="P181" s="1517"/>
      <c r="Q181" s="1515" t="s">
        <v>4583</v>
      </c>
      <c r="R181" s="1515" t="s">
        <v>4584</v>
      </c>
      <c r="S181" s="1518"/>
      <c r="T181" s="1519">
        <v>22621</v>
      </c>
      <c r="U181" s="1504">
        <v>0</v>
      </c>
      <c r="V181" s="1520">
        <f t="shared" si="54"/>
        <v>22621</v>
      </c>
      <c r="W181" s="1519">
        <v>4487</v>
      </c>
      <c r="X181" s="1504">
        <v>0</v>
      </c>
      <c r="Y181" s="1520">
        <f t="shared" si="63"/>
        <v>4487</v>
      </c>
      <c r="Z181" s="1519">
        <v>14473</v>
      </c>
      <c r="AA181" s="1504">
        <v>0</v>
      </c>
      <c r="AB181" s="1520">
        <f t="shared" si="55"/>
        <v>14473</v>
      </c>
      <c r="AC181" s="820"/>
      <c r="AD181" s="821"/>
      <c r="AE181" s="822"/>
      <c r="AF181" s="820"/>
      <c r="AG181" s="821"/>
      <c r="AH181" s="822"/>
      <c r="AI181" s="1503">
        <f t="shared" si="64"/>
        <v>41581</v>
      </c>
      <c r="AJ181" s="1504">
        <f t="shared" si="70"/>
        <v>0</v>
      </c>
      <c r="AK181" s="3912">
        <v>0</v>
      </c>
      <c r="AL181" s="1505">
        <f t="shared" si="62"/>
        <v>41581</v>
      </c>
      <c r="AM181" s="1508" t="s">
        <v>2977</v>
      </c>
      <c r="AN181" s="3401">
        <v>42970</v>
      </c>
      <c r="AO181" s="3402">
        <v>1198045</v>
      </c>
      <c r="AP181" s="2664" t="s">
        <v>4154</v>
      </c>
      <c r="AQ181" s="3462">
        <v>1.0111000000000001</v>
      </c>
      <c r="AR181" s="1506">
        <f t="shared" si="65"/>
        <v>22621</v>
      </c>
      <c r="AS181" s="1507">
        <f t="shared" si="71"/>
        <v>4487</v>
      </c>
      <c r="AT181" s="1507">
        <f t="shared" si="67"/>
        <v>14473</v>
      </c>
      <c r="AU181" s="849"/>
      <c r="AV181" s="849"/>
      <c r="AW181" s="2878">
        <f t="shared" si="56"/>
        <v>41581</v>
      </c>
      <c r="AX181" s="3146"/>
      <c r="BB181" s="267"/>
      <c r="BC181" s="4117">
        <f t="shared" si="72"/>
        <v>0</v>
      </c>
      <c r="BD181" s="4117">
        <f t="shared" si="57"/>
        <v>0</v>
      </c>
    </row>
    <row r="182" spans="1:56" ht="63.75">
      <c r="A182" s="5978" t="s">
        <v>11140</v>
      </c>
      <c r="B182" s="1538" t="s">
        <v>4864</v>
      </c>
      <c r="C182" s="1509" t="s">
        <v>1432</v>
      </c>
      <c r="D182" s="1510">
        <v>41464</v>
      </c>
      <c r="E182" s="3047" t="s">
        <v>6388</v>
      </c>
      <c r="F182" s="2139">
        <v>42887</v>
      </c>
      <c r="G182" s="2334">
        <v>111</v>
      </c>
      <c r="H182" s="1513" t="s">
        <v>1551</v>
      </c>
      <c r="I182" s="1514" t="s">
        <v>1433</v>
      </c>
      <c r="J182" s="1515" t="s">
        <v>1434</v>
      </c>
      <c r="K182" s="1516">
        <v>42920</v>
      </c>
      <c r="L182" s="1514" t="s">
        <v>1816</v>
      </c>
      <c r="M182" s="1515" t="s">
        <v>1799</v>
      </c>
      <c r="N182" s="1514" t="s">
        <v>1552</v>
      </c>
      <c r="O182" s="1513" t="s">
        <v>1688</v>
      </c>
      <c r="P182" s="2335" t="s">
        <v>4856</v>
      </c>
      <c r="Q182" s="1515" t="s">
        <v>1687</v>
      </c>
      <c r="R182" s="1515" t="s">
        <v>1553</v>
      </c>
      <c r="S182" s="2336" t="s">
        <v>4857</v>
      </c>
      <c r="T182" s="1519">
        <v>2108</v>
      </c>
      <c r="U182" s="1504">
        <v>0</v>
      </c>
      <c r="V182" s="1520">
        <f t="shared" si="54"/>
        <v>2108</v>
      </c>
      <c r="W182" s="1519">
        <v>2634</v>
      </c>
      <c r="X182" s="1504">
        <v>0</v>
      </c>
      <c r="Y182" s="1520">
        <f t="shared" si="63"/>
        <v>2634</v>
      </c>
      <c r="Z182" s="1519">
        <v>527</v>
      </c>
      <c r="AA182" s="1504">
        <v>0</v>
      </c>
      <c r="AB182" s="1520">
        <f t="shared" si="55"/>
        <v>527</v>
      </c>
      <c r="AC182" s="820">
        <v>0</v>
      </c>
      <c r="AD182" s="821">
        <v>0</v>
      </c>
      <c r="AE182" s="822">
        <f>AC182-AD182</f>
        <v>0</v>
      </c>
      <c r="AF182" s="820">
        <v>0</v>
      </c>
      <c r="AG182" s="821">
        <v>0</v>
      </c>
      <c r="AH182" s="822">
        <f>AF182-AG182</f>
        <v>0</v>
      </c>
      <c r="AI182" s="1503">
        <f t="shared" ref="AI182:AI213" si="73">T182+W182+Z182+AC182+AF182</f>
        <v>5269</v>
      </c>
      <c r="AJ182" s="1504">
        <f t="shared" si="70"/>
        <v>0</v>
      </c>
      <c r="AK182" s="3912">
        <v>0</v>
      </c>
      <c r="AL182" s="1505">
        <f t="shared" si="62"/>
        <v>5269</v>
      </c>
      <c r="AM182" s="3494" t="s">
        <v>4865</v>
      </c>
      <c r="AN182" s="3401">
        <v>42978</v>
      </c>
      <c r="AO182" s="3402">
        <v>1198285</v>
      </c>
      <c r="AP182" s="2664">
        <v>42887</v>
      </c>
      <c r="AQ182" s="3495">
        <v>111</v>
      </c>
      <c r="AR182" s="1506">
        <f t="shared" si="65"/>
        <v>2108</v>
      </c>
      <c r="AS182" s="1507">
        <f t="shared" si="71"/>
        <v>2634</v>
      </c>
      <c r="AT182" s="1507">
        <f t="shared" si="67"/>
        <v>527</v>
      </c>
      <c r="AU182" s="849">
        <f>ROUND($AQ182/$G182*AE182,0)</f>
        <v>0</v>
      </c>
      <c r="AV182" s="849">
        <f>ROUND($AQ182/$G182*AH182,0)</f>
        <v>0</v>
      </c>
      <c r="AW182" s="2878">
        <f t="shared" si="56"/>
        <v>5269</v>
      </c>
      <c r="AX182" s="3146" t="s">
        <v>1728</v>
      </c>
      <c r="BB182" s="267"/>
      <c r="BC182" s="4117">
        <f t="shared" si="72"/>
        <v>0</v>
      </c>
      <c r="BD182" s="4117">
        <f t="shared" si="57"/>
        <v>0</v>
      </c>
    </row>
    <row r="183" spans="1:56" ht="77.25" thickBot="1">
      <c r="A183" s="6007" t="s">
        <v>11140</v>
      </c>
      <c r="B183" s="2337" t="s">
        <v>4898</v>
      </c>
      <c r="C183" s="2338">
        <v>0</v>
      </c>
      <c r="D183" s="2339">
        <v>42878</v>
      </c>
      <c r="E183" s="3046" t="s">
        <v>6385</v>
      </c>
      <c r="F183" s="2340">
        <v>42795</v>
      </c>
      <c r="G183" s="2341">
        <v>110.5</v>
      </c>
      <c r="H183" s="2342" t="s">
        <v>4589</v>
      </c>
      <c r="I183" s="2343" t="s">
        <v>4590</v>
      </c>
      <c r="J183" s="2344" t="s">
        <v>4306</v>
      </c>
      <c r="K183" s="2345">
        <v>43608</v>
      </c>
      <c r="L183" s="2343" t="s">
        <v>4591</v>
      </c>
      <c r="M183" s="2344" t="s">
        <v>4592</v>
      </c>
      <c r="N183" s="2343" t="s">
        <v>4593</v>
      </c>
      <c r="O183" s="2342" t="s">
        <v>4599</v>
      </c>
      <c r="P183" s="2346"/>
      <c r="Q183" s="6095" t="s">
        <v>4332</v>
      </c>
      <c r="R183" s="2344" t="s">
        <v>1046</v>
      </c>
      <c r="S183" s="2347"/>
      <c r="T183" s="2348">
        <v>2294</v>
      </c>
      <c r="U183" s="2349">
        <v>0</v>
      </c>
      <c r="V183" s="2350">
        <f t="shared" si="54"/>
        <v>2294</v>
      </c>
      <c r="W183" s="2348">
        <v>2868</v>
      </c>
      <c r="X183" s="2349">
        <v>0</v>
      </c>
      <c r="Y183" s="2350">
        <f t="shared" si="63"/>
        <v>2868</v>
      </c>
      <c r="Z183" s="2348">
        <v>819</v>
      </c>
      <c r="AA183" s="2349">
        <v>0</v>
      </c>
      <c r="AB183" s="2350">
        <f t="shared" si="55"/>
        <v>819</v>
      </c>
      <c r="AC183" s="2351"/>
      <c r="AD183" s="2352"/>
      <c r="AE183" s="2353"/>
      <c r="AF183" s="2351"/>
      <c r="AG183" s="2352"/>
      <c r="AH183" s="2353"/>
      <c r="AI183" s="2354">
        <f t="shared" si="73"/>
        <v>5981</v>
      </c>
      <c r="AJ183" s="2349">
        <f t="shared" si="70"/>
        <v>0</v>
      </c>
      <c r="AK183" s="3911">
        <v>0</v>
      </c>
      <c r="AL183" s="2355">
        <f t="shared" si="62"/>
        <v>5981</v>
      </c>
      <c r="AM183" s="3496" t="s">
        <v>4902</v>
      </c>
      <c r="AN183" s="3497">
        <v>42978</v>
      </c>
      <c r="AO183" s="3498">
        <v>1198287</v>
      </c>
      <c r="AP183" s="2340" t="s">
        <v>4866</v>
      </c>
      <c r="AQ183" s="3499">
        <v>110.5</v>
      </c>
      <c r="AR183" s="2356">
        <f t="shared" si="65"/>
        <v>2294</v>
      </c>
      <c r="AS183" s="2357">
        <f t="shared" si="71"/>
        <v>2868</v>
      </c>
      <c r="AT183" s="2357">
        <f t="shared" si="67"/>
        <v>819</v>
      </c>
      <c r="AU183" s="2358"/>
      <c r="AV183" s="2358"/>
      <c r="AW183" s="2879">
        <f t="shared" si="56"/>
        <v>5981</v>
      </c>
      <c r="AX183" s="2896"/>
      <c r="AY183" s="1498" t="s">
        <v>4784</v>
      </c>
      <c r="AZ183" s="2118">
        <f>SUM(AW176:AW183)</f>
        <v>83581</v>
      </c>
      <c r="BA183" s="1727">
        <f>AZ183</f>
        <v>83581</v>
      </c>
      <c r="BB183" s="267"/>
      <c r="BC183" s="4117">
        <f t="shared" si="72"/>
        <v>0</v>
      </c>
      <c r="BD183" s="4117">
        <f t="shared" si="57"/>
        <v>0</v>
      </c>
    </row>
    <row r="184" spans="1:56" ht="76.5">
      <c r="A184" s="5967" t="s">
        <v>11140</v>
      </c>
      <c r="B184" s="827" t="s">
        <v>4899</v>
      </c>
      <c r="C184" s="828">
        <v>0</v>
      </c>
      <c r="D184" s="829">
        <v>42878</v>
      </c>
      <c r="E184" s="829" t="s">
        <v>6385</v>
      </c>
      <c r="F184" s="1865">
        <v>42887</v>
      </c>
      <c r="G184" s="2359">
        <v>111</v>
      </c>
      <c r="H184" s="832" t="s">
        <v>4589</v>
      </c>
      <c r="I184" s="833" t="s">
        <v>4590</v>
      </c>
      <c r="J184" s="834" t="s">
        <v>4306</v>
      </c>
      <c r="K184" s="835">
        <v>43608</v>
      </c>
      <c r="L184" s="833" t="s">
        <v>4591</v>
      </c>
      <c r="M184" s="834" t="s">
        <v>4592</v>
      </c>
      <c r="N184" s="833" t="s">
        <v>4593</v>
      </c>
      <c r="O184" s="832" t="s">
        <v>4599</v>
      </c>
      <c r="P184" s="836"/>
      <c r="Q184" s="6096" t="s">
        <v>4332</v>
      </c>
      <c r="R184" s="834" t="s">
        <v>1046</v>
      </c>
      <c r="S184" s="2405" t="s">
        <v>4897</v>
      </c>
      <c r="T184" s="838">
        <v>10</v>
      </c>
      <c r="U184" s="839">
        <v>0</v>
      </c>
      <c r="V184" s="840">
        <f t="shared" si="54"/>
        <v>10</v>
      </c>
      <c r="W184" s="838">
        <v>13</v>
      </c>
      <c r="X184" s="839">
        <v>0</v>
      </c>
      <c r="Y184" s="840">
        <f t="shared" si="63"/>
        <v>13</v>
      </c>
      <c r="Z184" s="838">
        <v>4</v>
      </c>
      <c r="AA184" s="839">
        <v>0</v>
      </c>
      <c r="AB184" s="840">
        <f t="shared" si="55"/>
        <v>4</v>
      </c>
      <c r="AC184" s="823"/>
      <c r="AD184" s="824"/>
      <c r="AE184" s="825"/>
      <c r="AF184" s="823"/>
      <c r="AG184" s="824"/>
      <c r="AH184" s="825"/>
      <c r="AI184" s="841">
        <f t="shared" si="73"/>
        <v>27</v>
      </c>
      <c r="AJ184" s="839">
        <f t="shared" si="70"/>
        <v>0</v>
      </c>
      <c r="AK184" s="3906">
        <v>0</v>
      </c>
      <c r="AL184" s="869">
        <f t="shared" si="62"/>
        <v>27</v>
      </c>
      <c r="AM184" s="3369" t="s">
        <v>4872</v>
      </c>
      <c r="AN184" s="3360">
        <v>42979</v>
      </c>
      <c r="AO184" s="3361">
        <v>1198321</v>
      </c>
      <c r="AP184" s="3362">
        <v>42887</v>
      </c>
      <c r="AQ184" s="3500">
        <v>111</v>
      </c>
      <c r="AR184" s="846">
        <f t="shared" ref="AR184:AR207" si="74">ROUND($AQ184/$G184*V184,0)</f>
        <v>10</v>
      </c>
      <c r="AS184" s="847">
        <f t="shared" si="71"/>
        <v>13</v>
      </c>
      <c r="AT184" s="847">
        <f t="shared" ref="AT184:AT215" si="75">ROUND($AQ184/$G184*AB184,0)</f>
        <v>4</v>
      </c>
      <c r="AU184" s="848"/>
      <c r="AV184" s="848"/>
      <c r="AW184" s="2872">
        <f t="shared" si="56"/>
        <v>27</v>
      </c>
      <c r="AX184" s="2891"/>
      <c r="BB184" s="267"/>
      <c r="BC184" s="4117">
        <f t="shared" si="72"/>
        <v>0</v>
      </c>
      <c r="BD184" s="4117">
        <f t="shared" si="57"/>
        <v>0</v>
      </c>
    </row>
    <row r="185" spans="1:56" ht="89.25">
      <c r="A185" s="2418" t="s">
        <v>11135</v>
      </c>
      <c r="B185" s="338" t="s">
        <v>4900</v>
      </c>
      <c r="C185" s="321">
        <v>0</v>
      </c>
      <c r="D185" s="323">
        <v>42475</v>
      </c>
      <c r="E185" s="3012" t="s">
        <v>6387</v>
      </c>
      <c r="F185" s="324">
        <v>41821</v>
      </c>
      <c r="G185" s="2332">
        <v>1</v>
      </c>
      <c r="H185" s="332" t="s">
        <v>4009</v>
      </c>
      <c r="I185" s="339" t="s">
        <v>1433</v>
      </c>
      <c r="J185" s="322" t="s">
        <v>1434</v>
      </c>
      <c r="K185" s="340">
        <v>43935</v>
      </c>
      <c r="L185" s="339" t="s">
        <v>177</v>
      </c>
      <c r="M185" s="322" t="s">
        <v>3726</v>
      </c>
      <c r="N185" s="339" t="s">
        <v>3727</v>
      </c>
      <c r="O185" s="332" t="s">
        <v>3728</v>
      </c>
      <c r="P185" s="345"/>
      <c r="Q185" s="322" t="s">
        <v>1111</v>
      </c>
      <c r="R185" s="322" t="s">
        <v>3652</v>
      </c>
      <c r="S185" s="346"/>
      <c r="T185" s="347">
        <v>6720</v>
      </c>
      <c r="U185" s="326">
        <v>0</v>
      </c>
      <c r="V185" s="348">
        <f t="shared" si="54"/>
        <v>6720</v>
      </c>
      <c r="W185" s="347">
        <v>8400</v>
      </c>
      <c r="X185" s="326">
        <v>0</v>
      </c>
      <c r="Y185" s="348">
        <f t="shared" si="63"/>
        <v>8400</v>
      </c>
      <c r="Z185" s="347">
        <v>1680</v>
      </c>
      <c r="AA185" s="326">
        <v>0</v>
      </c>
      <c r="AB185" s="348">
        <f t="shared" si="55"/>
        <v>1680</v>
      </c>
      <c r="AC185" s="820"/>
      <c r="AD185" s="821"/>
      <c r="AE185" s="822"/>
      <c r="AF185" s="820"/>
      <c r="AG185" s="821"/>
      <c r="AH185" s="822"/>
      <c r="AI185" s="482">
        <f t="shared" si="73"/>
        <v>16800</v>
      </c>
      <c r="AJ185" s="326">
        <f t="shared" si="70"/>
        <v>0</v>
      </c>
      <c r="AK185" s="3899">
        <v>0</v>
      </c>
      <c r="AL185" s="349">
        <f t="shared" si="62"/>
        <v>16800</v>
      </c>
      <c r="AM185" s="2002" t="s">
        <v>4901</v>
      </c>
      <c r="AN185" s="3357">
        <v>42985</v>
      </c>
      <c r="AO185" s="695">
        <v>1198487</v>
      </c>
      <c r="AP185" s="1203" t="s">
        <v>4903</v>
      </c>
      <c r="AQ185" s="3501">
        <v>1</v>
      </c>
      <c r="AR185" s="333">
        <f t="shared" si="74"/>
        <v>6720</v>
      </c>
      <c r="AS185" s="330">
        <f t="shared" si="71"/>
        <v>8400</v>
      </c>
      <c r="AT185" s="330">
        <f t="shared" si="75"/>
        <v>1680</v>
      </c>
      <c r="AU185" s="849"/>
      <c r="AV185" s="849"/>
      <c r="AW185" s="2870">
        <f t="shared" si="56"/>
        <v>16800</v>
      </c>
      <c r="AX185" s="3140"/>
      <c r="BB185" s="267"/>
      <c r="BC185" s="4117">
        <f t="shared" si="72"/>
        <v>0</v>
      </c>
      <c r="BD185" s="4117">
        <f t="shared" si="57"/>
        <v>0</v>
      </c>
    </row>
    <row r="186" spans="1:56" ht="63.75">
      <c r="A186" s="2418" t="s">
        <v>11135</v>
      </c>
      <c r="B186" s="2419" t="s">
        <v>4928</v>
      </c>
      <c r="C186" s="321">
        <v>0</v>
      </c>
      <c r="D186" s="323">
        <v>42475</v>
      </c>
      <c r="E186" s="3012" t="s">
        <v>6387</v>
      </c>
      <c r="F186" s="324" t="s">
        <v>6403</v>
      </c>
      <c r="G186" s="2332">
        <v>1.0119899999999999</v>
      </c>
      <c r="H186" s="332" t="s">
        <v>4009</v>
      </c>
      <c r="I186" s="339" t="s">
        <v>1433</v>
      </c>
      <c r="J186" s="322" t="s">
        <v>1434</v>
      </c>
      <c r="K186" s="340">
        <v>43935</v>
      </c>
      <c r="L186" s="339" t="s">
        <v>177</v>
      </c>
      <c r="M186" s="322" t="s">
        <v>3726</v>
      </c>
      <c r="N186" s="339" t="s">
        <v>3727</v>
      </c>
      <c r="O186" s="332" t="s">
        <v>3728</v>
      </c>
      <c r="P186" s="345"/>
      <c r="Q186" s="322" t="s">
        <v>1111</v>
      </c>
      <c r="R186" s="322" t="s">
        <v>3652</v>
      </c>
      <c r="S186" s="761" t="s">
        <v>4896</v>
      </c>
      <c r="T186" s="347">
        <v>81</v>
      </c>
      <c r="U186" s="326">
        <v>0</v>
      </c>
      <c r="V186" s="348">
        <f t="shared" si="54"/>
        <v>81</v>
      </c>
      <c r="W186" s="347">
        <v>101</v>
      </c>
      <c r="X186" s="326">
        <v>0</v>
      </c>
      <c r="Y186" s="348">
        <f t="shared" si="63"/>
        <v>101</v>
      </c>
      <c r="Z186" s="347">
        <v>20</v>
      </c>
      <c r="AA186" s="326">
        <v>0</v>
      </c>
      <c r="AB186" s="348">
        <f t="shared" si="55"/>
        <v>20</v>
      </c>
      <c r="AC186" s="820"/>
      <c r="AD186" s="821"/>
      <c r="AE186" s="822"/>
      <c r="AF186" s="820"/>
      <c r="AG186" s="821"/>
      <c r="AH186" s="822"/>
      <c r="AI186" s="482">
        <f t="shared" si="73"/>
        <v>202</v>
      </c>
      <c r="AJ186" s="326">
        <f t="shared" si="70"/>
        <v>0</v>
      </c>
      <c r="AK186" s="3899">
        <v>0</v>
      </c>
      <c r="AL186" s="349">
        <f t="shared" si="62"/>
        <v>202</v>
      </c>
      <c r="AM186" s="2002" t="s">
        <v>4927</v>
      </c>
      <c r="AN186" s="3357">
        <v>42989</v>
      </c>
      <c r="AO186" s="695">
        <v>1198598</v>
      </c>
      <c r="AP186" s="2722" t="s">
        <v>4929</v>
      </c>
      <c r="AQ186" s="3501">
        <v>1.0119899999999999</v>
      </c>
      <c r="AR186" s="333">
        <f t="shared" si="74"/>
        <v>81</v>
      </c>
      <c r="AS186" s="330">
        <f t="shared" si="71"/>
        <v>101</v>
      </c>
      <c r="AT186" s="330">
        <f t="shared" si="75"/>
        <v>20</v>
      </c>
      <c r="AU186" s="849"/>
      <c r="AV186" s="849"/>
      <c r="AW186" s="2870">
        <f t="shared" si="56"/>
        <v>202</v>
      </c>
      <c r="AX186" s="3140"/>
      <c r="BB186" s="267"/>
      <c r="BC186" s="4117">
        <f t="shared" si="72"/>
        <v>0</v>
      </c>
      <c r="BD186" s="4117">
        <f t="shared" si="57"/>
        <v>0</v>
      </c>
    </row>
    <row r="187" spans="1:56" ht="77.25" thickBot="1">
      <c r="A187" s="6008" t="s">
        <v>11135</v>
      </c>
      <c r="B187" s="2442" t="s">
        <v>4958</v>
      </c>
      <c r="C187" s="2443">
        <v>0</v>
      </c>
      <c r="D187" s="2444">
        <v>42663</v>
      </c>
      <c r="E187" s="2992" t="s">
        <v>6387</v>
      </c>
      <c r="F187" s="3095" t="s">
        <v>4154</v>
      </c>
      <c r="G187" s="3096">
        <v>1.0111000000000001</v>
      </c>
      <c r="H187" s="2445" t="s">
        <v>4813</v>
      </c>
      <c r="I187" s="2446" t="s">
        <v>1433</v>
      </c>
      <c r="J187" s="2447" t="s">
        <v>1434</v>
      </c>
      <c r="K187" s="2448">
        <v>44124</v>
      </c>
      <c r="L187" s="2446" t="s">
        <v>4098</v>
      </c>
      <c r="M187" s="2447" t="s">
        <v>4099</v>
      </c>
      <c r="N187" s="2446" t="s">
        <v>4101</v>
      </c>
      <c r="O187" s="2445" t="s">
        <v>4100</v>
      </c>
      <c r="P187" s="2449"/>
      <c r="Q187" s="2447" t="s">
        <v>4102</v>
      </c>
      <c r="R187" s="2447" t="s">
        <v>4103</v>
      </c>
      <c r="S187" s="2450"/>
      <c r="T187" s="2451">
        <v>26710</v>
      </c>
      <c r="U187" s="2452">
        <v>0</v>
      </c>
      <c r="V187" s="2453">
        <f t="shared" si="54"/>
        <v>26710</v>
      </c>
      <c r="W187" s="2451">
        <v>4714</v>
      </c>
      <c r="X187" s="2452">
        <v>0</v>
      </c>
      <c r="Y187" s="2453">
        <f t="shared" si="63"/>
        <v>4714</v>
      </c>
      <c r="Z187" s="2451">
        <v>1415</v>
      </c>
      <c r="AA187" s="2452">
        <v>0</v>
      </c>
      <c r="AB187" s="2453">
        <f t="shared" si="55"/>
        <v>1415</v>
      </c>
      <c r="AC187" s="2351"/>
      <c r="AD187" s="2454"/>
      <c r="AE187" s="2455"/>
      <c r="AF187" s="2351"/>
      <c r="AG187" s="2454"/>
      <c r="AH187" s="2455"/>
      <c r="AI187" s="2456">
        <f t="shared" si="73"/>
        <v>32839</v>
      </c>
      <c r="AJ187" s="2452">
        <f t="shared" si="70"/>
        <v>0</v>
      </c>
      <c r="AK187" s="3903">
        <v>0</v>
      </c>
      <c r="AL187" s="2457">
        <f t="shared" si="62"/>
        <v>32839</v>
      </c>
      <c r="AM187" s="3502" t="s">
        <v>1061</v>
      </c>
      <c r="AN187" s="3503">
        <v>43004</v>
      </c>
      <c r="AO187" s="3504">
        <v>1199137</v>
      </c>
      <c r="AP187" s="3505" t="s">
        <v>4154</v>
      </c>
      <c r="AQ187" s="3506">
        <v>1.0111000000000001</v>
      </c>
      <c r="AR187" s="2458">
        <f t="shared" si="74"/>
        <v>26710</v>
      </c>
      <c r="AS187" s="2459">
        <f t="shared" si="71"/>
        <v>4714</v>
      </c>
      <c r="AT187" s="2459">
        <f t="shared" si="75"/>
        <v>1415</v>
      </c>
      <c r="AU187" s="2460"/>
      <c r="AV187" s="2460"/>
      <c r="AW187" s="2869">
        <f t="shared" si="56"/>
        <v>32839</v>
      </c>
      <c r="AX187" s="2890"/>
      <c r="AY187" s="764" t="s">
        <v>4873</v>
      </c>
      <c r="AZ187" s="1662">
        <f>SUM(AW184:AW187)</f>
        <v>49868</v>
      </c>
      <c r="BA187" s="1727">
        <f>AZ187</f>
        <v>49868</v>
      </c>
      <c r="BB187" s="267"/>
      <c r="BC187" s="4117">
        <f t="shared" si="72"/>
        <v>0</v>
      </c>
      <c r="BD187" s="4117">
        <f t="shared" si="57"/>
        <v>0</v>
      </c>
    </row>
    <row r="188" spans="1:56" ht="102">
      <c r="A188" s="6001" t="s">
        <v>11139</v>
      </c>
      <c r="B188" s="4048" t="s">
        <v>4041</v>
      </c>
      <c r="C188" s="4049">
        <v>1</v>
      </c>
      <c r="D188" s="4050" t="s">
        <v>4046</v>
      </c>
      <c r="E188" s="4050" t="s">
        <v>6384</v>
      </c>
      <c r="F188" s="4051">
        <v>41821</v>
      </c>
      <c r="G188" s="4052">
        <v>1</v>
      </c>
      <c r="H188" s="4053" t="s">
        <v>4038</v>
      </c>
      <c r="I188" s="2206" t="s">
        <v>1433</v>
      </c>
      <c r="J188" s="2207" t="s">
        <v>1434</v>
      </c>
      <c r="K188" s="2208">
        <v>43642</v>
      </c>
      <c r="L188" s="4054" t="s">
        <v>1831</v>
      </c>
      <c r="M188" s="2207" t="s">
        <v>3136</v>
      </c>
      <c r="N188" s="2206" t="s">
        <v>1476</v>
      </c>
      <c r="O188" s="2205" t="s">
        <v>3137</v>
      </c>
      <c r="P188" s="2209" t="s">
        <v>7222</v>
      </c>
      <c r="Q188" s="2207" t="s">
        <v>4047</v>
      </c>
      <c r="R188" s="2207" t="s">
        <v>4037</v>
      </c>
      <c r="S188" s="4075" t="s">
        <v>3476</v>
      </c>
      <c r="T188" s="2210">
        <v>107671</v>
      </c>
      <c r="U188" s="2196">
        <v>107671</v>
      </c>
      <c r="V188" s="2211">
        <f t="shared" si="54"/>
        <v>0</v>
      </c>
      <c r="W188" s="2210">
        <v>19001</v>
      </c>
      <c r="X188" s="2196">
        <v>19001</v>
      </c>
      <c r="Y188" s="2211">
        <f t="shared" si="63"/>
        <v>0</v>
      </c>
      <c r="Z188" s="2210">
        <v>18860</v>
      </c>
      <c r="AA188" s="2196">
        <v>18860</v>
      </c>
      <c r="AB188" s="2211">
        <f t="shared" si="55"/>
        <v>0</v>
      </c>
      <c r="AC188" s="2210"/>
      <c r="AD188" s="2196"/>
      <c r="AE188" s="2211"/>
      <c r="AF188" s="2210"/>
      <c r="AG188" s="2196"/>
      <c r="AH188" s="2211"/>
      <c r="AI188" s="2195">
        <f t="shared" si="73"/>
        <v>145532</v>
      </c>
      <c r="AJ188" s="2196">
        <f t="shared" si="70"/>
        <v>145532</v>
      </c>
      <c r="AK188" s="3913"/>
      <c r="AL188" s="2197">
        <f t="shared" si="62"/>
        <v>0</v>
      </c>
      <c r="AM188" s="4070" t="s">
        <v>7212</v>
      </c>
      <c r="AN188" s="4071"/>
      <c r="AO188" s="4072"/>
      <c r="AP188" s="4073" t="s">
        <v>4933</v>
      </c>
      <c r="AQ188" s="4074">
        <v>1.0119899999999999</v>
      </c>
      <c r="AR188" s="2198">
        <f t="shared" si="74"/>
        <v>0</v>
      </c>
      <c r="AS188" s="2199">
        <f t="shared" si="71"/>
        <v>0</v>
      </c>
      <c r="AT188" s="2199">
        <f t="shared" si="75"/>
        <v>0</v>
      </c>
      <c r="AU188" s="2199"/>
      <c r="AV188" s="2199"/>
      <c r="AW188" s="3013">
        <f t="shared" si="56"/>
        <v>0</v>
      </c>
      <c r="AX188" s="2207"/>
      <c r="BA188" s="267"/>
      <c r="BB188" s="267"/>
      <c r="BC188" s="4117">
        <f t="shared" si="72"/>
        <v>147277</v>
      </c>
      <c r="BD188" s="4117">
        <f>ROUND($AK188*$AQ188/$G188,0)</f>
        <v>0</v>
      </c>
    </row>
    <row r="189" spans="1:56" ht="115.5" customHeight="1">
      <c r="A189" s="6006" t="s">
        <v>11140</v>
      </c>
      <c r="B189" s="2298" t="s">
        <v>4364</v>
      </c>
      <c r="C189" s="2299">
        <v>0</v>
      </c>
      <c r="D189" s="2300" t="s">
        <v>4362</v>
      </c>
      <c r="E189" s="2300" t="s">
        <v>6389</v>
      </c>
      <c r="F189" s="2301">
        <v>41609</v>
      </c>
      <c r="G189" s="2441">
        <v>104.6</v>
      </c>
      <c r="H189" s="2306" t="s">
        <v>4363</v>
      </c>
      <c r="I189" s="2303" t="s">
        <v>1433</v>
      </c>
      <c r="J189" s="2304" t="s">
        <v>1434</v>
      </c>
      <c r="K189" s="2305">
        <v>43134</v>
      </c>
      <c r="L189" s="2303" t="s">
        <v>1112</v>
      </c>
      <c r="M189" s="2304" t="s">
        <v>1822</v>
      </c>
      <c r="N189" s="2303" t="s">
        <v>1742</v>
      </c>
      <c r="O189" s="2306" t="s">
        <v>1743</v>
      </c>
      <c r="P189" s="2321" t="s">
        <v>5019</v>
      </c>
      <c r="Q189" s="2304" t="s">
        <v>1744</v>
      </c>
      <c r="R189" s="2304" t="s">
        <v>1745</v>
      </c>
      <c r="S189" s="2307" t="s">
        <v>1746</v>
      </c>
      <c r="T189" s="2308">
        <v>28719</v>
      </c>
      <c r="U189" s="2309">
        <v>27628</v>
      </c>
      <c r="V189" s="2310">
        <f t="shared" si="54"/>
        <v>1091</v>
      </c>
      <c r="W189" s="2308">
        <v>35899</v>
      </c>
      <c r="X189" s="2309">
        <v>35899</v>
      </c>
      <c r="Y189" s="2310">
        <f t="shared" si="63"/>
        <v>0</v>
      </c>
      <c r="Z189" s="2308">
        <v>7180</v>
      </c>
      <c r="AA189" s="2309">
        <v>0</v>
      </c>
      <c r="AB189" s="2310">
        <f t="shared" si="55"/>
        <v>7180</v>
      </c>
      <c r="AC189" s="823">
        <v>17109</v>
      </c>
      <c r="AD189" s="824">
        <v>17109</v>
      </c>
      <c r="AE189" s="825">
        <f>AC189-AD189</f>
        <v>0</v>
      </c>
      <c r="AF189" s="823">
        <v>25664</v>
      </c>
      <c r="AG189" s="824">
        <v>25664</v>
      </c>
      <c r="AH189" s="825">
        <f>AF189-AG189</f>
        <v>0</v>
      </c>
      <c r="AI189" s="2311">
        <f t="shared" si="73"/>
        <v>114571</v>
      </c>
      <c r="AJ189" s="2309">
        <f t="shared" si="70"/>
        <v>106300</v>
      </c>
      <c r="AK189" s="3914">
        <v>0</v>
      </c>
      <c r="AL189" s="2312">
        <f t="shared" si="62"/>
        <v>8271</v>
      </c>
      <c r="AM189" s="3507" t="s">
        <v>1061</v>
      </c>
      <c r="AN189" s="3492">
        <v>43028</v>
      </c>
      <c r="AO189" s="2492">
        <v>1199928</v>
      </c>
      <c r="AP189" s="2905">
        <v>42887</v>
      </c>
      <c r="AQ189" s="3508">
        <v>111</v>
      </c>
      <c r="AR189" s="2313">
        <f t="shared" si="74"/>
        <v>1158</v>
      </c>
      <c r="AS189" s="2314">
        <f t="shared" si="71"/>
        <v>0</v>
      </c>
      <c r="AT189" s="2314">
        <f t="shared" si="75"/>
        <v>7619</v>
      </c>
      <c r="AU189" s="848">
        <f>ROUND($AQ189/$G189*AE189,0)</f>
        <v>0</v>
      </c>
      <c r="AV189" s="848">
        <f>ROUND($AQ189/$G189*AH189,0)</f>
        <v>0</v>
      </c>
      <c r="AW189" s="2883">
        <f t="shared" si="56"/>
        <v>8777</v>
      </c>
      <c r="AX189" s="2899"/>
      <c r="BB189" s="267"/>
      <c r="BC189" s="4117">
        <v>0</v>
      </c>
      <c r="BD189" s="4117">
        <f t="shared" si="57"/>
        <v>0</v>
      </c>
    </row>
    <row r="190" spans="1:56" ht="76.5">
      <c r="A190" s="5978" t="s">
        <v>11140</v>
      </c>
      <c r="B190" s="1538" t="s">
        <v>5033</v>
      </c>
      <c r="C190" s="1509">
        <v>0</v>
      </c>
      <c r="D190" s="1510">
        <v>42922</v>
      </c>
      <c r="E190" s="3047" t="s">
        <v>6385</v>
      </c>
      <c r="F190" s="2139" t="s">
        <v>5026</v>
      </c>
      <c r="G190" s="2334">
        <v>111</v>
      </c>
      <c r="H190" s="1513" t="s">
        <v>4722</v>
      </c>
      <c r="I190" s="1514" t="s">
        <v>4723</v>
      </c>
      <c r="J190" s="1515" t="s">
        <v>4306</v>
      </c>
      <c r="K190" s="1516">
        <v>43652</v>
      </c>
      <c r="L190" s="1514" t="s">
        <v>4724</v>
      </c>
      <c r="M190" s="1515" t="s">
        <v>4725</v>
      </c>
      <c r="N190" s="1514" t="s">
        <v>4726</v>
      </c>
      <c r="O190" s="1513" t="s">
        <v>4727</v>
      </c>
      <c r="P190" s="1517"/>
      <c r="Q190" s="6094" t="s">
        <v>4332</v>
      </c>
      <c r="R190" s="1515" t="s">
        <v>1046</v>
      </c>
      <c r="S190" s="2462" t="s">
        <v>5027</v>
      </c>
      <c r="T190" s="1519">
        <v>385</v>
      </c>
      <c r="U190" s="1504">
        <v>0</v>
      </c>
      <c r="V190" s="1520">
        <f t="shared" si="54"/>
        <v>385</v>
      </c>
      <c r="W190" s="1519">
        <v>480</v>
      </c>
      <c r="X190" s="1504">
        <v>0</v>
      </c>
      <c r="Y190" s="1520">
        <f t="shared" si="63"/>
        <v>480</v>
      </c>
      <c r="Z190" s="1519">
        <v>137</v>
      </c>
      <c r="AA190" s="1504">
        <v>0</v>
      </c>
      <c r="AB190" s="1520">
        <f t="shared" si="55"/>
        <v>137</v>
      </c>
      <c r="AC190" s="820"/>
      <c r="AD190" s="821"/>
      <c r="AE190" s="822"/>
      <c r="AF190" s="820"/>
      <c r="AG190" s="821"/>
      <c r="AH190" s="822"/>
      <c r="AI190" s="1503">
        <f t="shared" si="73"/>
        <v>1002</v>
      </c>
      <c r="AJ190" s="1504">
        <f t="shared" si="70"/>
        <v>0</v>
      </c>
      <c r="AK190" s="3912">
        <v>0</v>
      </c>
      <c r="AL190" s="1505">
        <f t="shared" si="62"/>
        <v>1002</v>
      </c>
      <c r="AM190" s="1508" t="s">
        <v>1061</v>
      </c>
      <c r="AN190" s="3401">
        <v>43029</v>
      </c>
      <c r="AO190" s="3402">
        <v>1200037</v>
      </c>
      <c r="AP190" s="2664">
        <v>42887</v>
      </c>
      <c r="AQ190" s="3495">
        <v>111</v>
      </c>
      <c r="AR190" s="1506">
        <f t="shared" si="74"/>
        <v>385</v>
      </c>
      <c r="AS190" s="1507">
        <f t="shared" si="71"/>
        <v>480</v>
      </c>
      <c r="AT190" s="1507">
        <f t="shared" si="75"/>
        <v>137</v>
      </c>
      <c r="AU190" s="849"/>
      <c r="AV190" s="849"/>
      <c r="AW190" s="2878">
        <f t="shared" si="56"/>
        <v>1002</v>
      </c>
      <c r="AX190" s="3146"/>
      <c r="BB190" s="267"/>
      <c r="BC190" s="4117">
        <f t="shared" ref="BC190:BC213" si="76">ROUND($AJ190*$AQ190/$G190,0)</f>
        <v>0</v>
      </c>
      <c r="BD190" s="4117">
        <f t="shared" si="57"/>
        <v>0</v>
      </c>
    </row>
    <row r="191" spans="1:56" ht="64.5" thickBot="1">
      <c r="A191" s="6009" t="s">
        <v>11135</v>
      </c>
      <c r="B191" s="3723" t="s">
        <v>2962</v>
      </c>
      <c r="C191" s="3724">
        <v>0</v>
      </c>
      <c r="D191" s="3725">
        <v>42647</v>
      </c>
      <c r="E191" s="3725" t="s">
        <v>6387</v>
      </c>
      <c r="F191" s="4077" t="s">
        <v>4154</v>
      </c>
      <c r="G191" s="4078">
        <v>1.0111000000000001</v>
      </c>
      <c r="H191" s="3727" t="s">
        <v>4408</v>
      </c>
      <c r="I191" s="3728" t="s">
        <v>1433</v>
      </c>
      <c r="J191" s="3729" t="s">
        <v>1434</v>
      </c>
      <c r="K191" s="3730">
        <v>44108</v>
      </c>
      <c r="L191" s="3728" t="s">
        <v>2380</v>
      </c>
      <c r="M191" s="3729" t="s">
        <v>4071</v>
      </c>
      <c r="N191" s="3728" t="s">
        <v>4072</v>
      </c>
      <c r="O191" s="3727" t="s">
        <v>4073</v>
      </c>
      <c r="P191" s="3731"/>
      <c r="Q191" s="3729" t="s">
        <v>4074</v>
      </c>
      <c r="R191" s="3729" t="s">
        <v>4075</v>
      </c>
      <c r="S191" s="3732"/>
      <c r="T191" s="3733">
        <v>6794</v>
      </c>
      <c r="U191" s="3734">
        <v>0</v>
      </c>
      <c r="V191" s="3735">
        <f t="shared" si="54"/>
        <v>6794</v>
      </c>
      <c r="W191" s="3733">
        <v>8493</v>
      </c>
      <c r="X191" s="3734">
        <v>0</v>
      </c>
      <c r="Y191" s="3735">
        <f t="shared" si="63"/>
        <v>8493</v>
      </c>
      <c r="Z191" s="3733">
        <v>1699</v>
      </c>
      <c r="AA191" s="3734">
        <v>0</v>
      </c>
      <c r="AB191" s="3735">
        <f t="shared" si="55"/>
        <v>1699</v>
      </c>
      <c r="AC191" s="3736"/>
      <c r="AD191" s="3737"/>
      <c r="AE191" s="3738"/>
      <c r="AF191" s="3736"/>
      <c r="AG191" s="3737"/>
      <c r="AH191" s="3738"/>
      <c r="AI191" s="3739">
        <f t="shared" si="73"/>
        <v>16986</v>
      </c>
      <c r="AJ191" s="3734">
        <f t="shared" si="70"/>
        <v>0</v>
      </c>
      <c r="AK191" s="3916">
        <v>0</v>
      </c>
      <c r="AL191" s="3740">
        <f t="shared" si="62"/>
        <v>16986</v>
      </c>
      <c r="AM191" s="3741" t="s">
        <v>1061</v>
      </c>
      <c r="AN191" s="3742">
        <v>43035</v>
      </c>
      <c r="AO191" s="3743">
        <v>1200121</v>
      </c>
      <c r="AP191" s="4079" t="s">
        <v>4933</v>
      </c>
      <c r="AQ191" s="4080">
        <v>1.0119899999999999</v>
      </c>
      <c r="AR191" s="3744">
        <f t="shared" si="74"/>
        <v>6800</v>
      </c>
      <c r="AS191" s="3745">
        <f t="shared" si="71"/>
        <v>8500</v>
      </c>
      <c r="AT191" s="3745">
        <f t="shared" si="75"/>
        <v>1700</v>
      </c>
      <c r="AU191" s="3746"/>
      <c r="AV191" s="3746"/>
      <c r="AW191" s="4081">
        <f t="shared" si="56"/>
        <v>17000</v>
      </c>
      <c r="AX191" s="3747"/>
      <c r="AY191" s="1498" t="s">
        <v>5020</v>
      </c>
      <c r="AZ191" s="2118">
        <f>SUM(AW188:AW191)</f>
        <v>26779</v>
      </c>
      <c r="BA191" s="4028">
        <f>AZ191</f>
        <v>26779</v>
      </c>
      <c r="BB191" s="267"/>
      <c r="BC191" s="4117">
        <f t="shared" si="76"/>
        <v>0</v>
      </c>
      <c r="BD191" s="4117">
        <f t="shared" si="57"/>
        <v>0</v>
      </c>
    </row>
    <row r="192" spans="1:56" ht="165.75">
      <c r="A192" s="5966" t="s">
        <v>11135</v>
      </c>
      <c r="B192" s="827" t="s">
        <v>5048</v>
      </c>
      <c r="C192" s="828">
        <v>0</v>
      </c>
      <c r="D192" s="829">
        <v>43034</v>
      </c>
      <c r="E192" s="829" t="s">
        <v>6385</v>
      </c>
      <c r="F192" s="830" t="s">
        <v>4933</v>
      </c>
      <c r="G192" s="2331">
        <v>1.0119899999999999</v>
      </c>
      <c r="H192" s="832" t="s">
        <v>5049</v>
      </c>
      <c r="I192" s="833" t="s">
        <v>1433</v>
      </c>
      <c r="J192" s="834" t="s">
        <v>1434</v>
      </c>
      <c r="K192" s="835">
        <v>43034</v>
      </c>
      <c r="L192" s="834" t="s">
        <v>5050</v>
      </c>
      <c r="M192" s="832" t="s">
        <v>5052</v>
      </c>
      <c r="N192" s="833" t="s">
        <v>5051</v>
      </c>
      <c r="O192" s="4076" t="s">
        <v>5053</v>
      </c>
      <c r="P192" s="836"/>
      <c r="Q192" s="834" t="s">
        <v>5054</v>
      </c>
      <c r="R192" s="834" t="s">
        <v>5055</v>
      </c>
      <c r="S192" s="837"/>
      <c r="T192" s="838">
        <v>2284</v>
      </c>
      <c r="U192" s="839">
        <v>0</v>
      </c>
      <c r="V192" s="840">
        <f t="shared" si="54"/>
        <v>2284</v>
      </c>
      <c r="W192" s="838">
        <v>403</v>
      </c>
      <c r="X192" s="839">
        <v>0</v>
      </c>
      <c r="Y192" s="840">
        <f t="shared" si="63"/>
        <v>403</v>
      </c>
      <c r="Z192" s="838">
        <v>0</v>
      </c>
      <c r="AA192" s="839">
        <v>0</v>
      </c>
      <c r="AB192" s="840">
        <f t="shared" si="55"/>
        <v>0</v>
      </c>
      <c r="AC192" s="823"/>
      <c r="AD192" s="824"/>
      <c r="AE192" s="825"/>
      <c r="AF192" s="823"/>
      <c r="AG192" s="824"/>
      <c r="AH192" s="825"/>
      <c r="AI192" s="841">
        <f t="shared" si="73"/>
        <v>2687</v>
      </c>
      <c r="AJ192" s="839"/>
      <c r="AK192" s="3906">
        <v>0</v>
      </c>
      <c r="AL192" s="869">
        <f t="shared" si="62"/>
        <v>2687</v>
      </c>
      <c r="AM192" s="3369" t="s">
        <v>1061</v>
      </c>
      <c r="AN192" s="3360">
        <v>43040</v>
      </c>
      <c r="AO192" s="3361">
        <v>1200248</v>
      </c>
      <c r="AP192" s="3362" t="s">
        <v>4933</v>
      </c>
      <c r="AQ192" s="3500">
        <v>1.0119899999999999</v>
      </c>
      <c r="AR192" s="846">
        <f t="shared" si="74"/>
        <v>2284</v>
      </c>
      <c r="AS192" s="847">
        <f t="shared" si="71"/>
        <v>403</v>
      </c>
      <c r="AT192" s="847">
        <f t="shared" si="75"/>
        <v>0</v>
      </c>
      <c r="AU192" s="848"/>
      <c r="AV192" s="848"/>
      <c r="AW192" s="2872">
        <f t="shared" si="56"/>
        <v>2687</v>
      </c>
      <c r="AX192" s="2891"/>
      <c r="BB192" s="267"/>
      <c r="BC192" s="4117">
        <f t="shared" si="76"/>
        <v>0</v>
      </c>
      <c r="BD192" s="4117">
        <f t="shared" si="57"/>
        <v>0</v>
      </c>
    </row>
    <row r="193" spans="1:56" ht="76.5">
      <c r="A193" s="5964" t="s">
        <v>11140</v>
      </c>
      <c r="B193" s="338" t="s">
        <v>3956</v>
      </c>
      <c r="C193" s="321">
        <v>0</v>
      </c>
      <c r="D193" s="323">
        <v>42905</v>
      </c>
      <c r="E193" s="3012" t="s">
        <v>6385</v>
      </c>
      <c r="F193" s="1203">
        <v>42795</v>
      </c>
      <c r="G193" s="2404">
        <v>110.5</v>
      </c>
      <c r="H193" s="332" t="s">
        <v>4674</v>
      </c>
      <c r="I193" s="339" t="s">
        <v>4675</v>
      </c>
      <c r="J193" s="322" t="s">
        <v>4306</v>
      </c>
      <c r="K193" s="340">
        <v>43635</v>
      </c>
      <c r="L193" s="339" t="s">
        <v>4676</v>
      </c>
      <c r="M193" s="322" t="s">
        <v>4677</v>
      </c>
      <c r="N193" s="339" t="s">
        <v>4678</v>
      </c>
      <c r="O193" s="332" t="s">
        <v>4679</v>
      </c>
      <c r="P193" s="345"/>
      <c r="Q193" s="6094" t="s">
        <v>4332</v>
      </c>
      <c r="R193" s="322" t="s">
        <v>1046</v>
      </c>
      <c r="S193" s="346"/>
      <c r="T193" s="347">
        <v>2294</v>
      </c>
      <c r="U193" s="326">
        <v>0</v>
      </c>
      <c r="V193" s="348">
        <f t="shared" si="54"/>
        <v>2294</v>
      </c>
      <c r="W193" s="347">
        <v>2868</v>
      </c>
      <c r="X193" s="326">
        <v>0</v>
      </c>
      <c r="Y193" s="348">
        <f t="shared" si="63"/>
        <v>2868</v>
      </c>
      <c r="Z193" s="347">
        <v>819</v>
      </c>
      <c r="AA193" s="326">
        <v>0</v>
      </c>
      <c r="AB193" s="348">
        <f t="shared" si="55"/>
        <v>819</v>
      </c>
      <c r="AC193" s="820"/>
      <c r="AD193" s="821"/>
      <c r="AE193" s="822"/>
      <c r="AF193" s="820"/>
      <c r="AG193" s="821"/>
      <c r="AH193" s="822"/>
      <c r="AI193" s="482">
        <f t="shared" si="73"/>
        <v>5981</v>
      </c>
      <c r="AJ193" s="326">
        <f t="shared" ref="AJ193:AJ205" si="77">U193+X193+AA193+AD193+AG193</f>
        <v>0</v>
      </c>
      <c r="AK193" s="3899">
        <v>0</v>
      </c>
      <c r="AL193" s="349">
        <f t="shared" si="62"/>
        <v>5981</v>
      </c>
      <c r="AM193" s="2002" t="s">
        <v>1061</v>
      </c>
      <c r="AN193" s="3357">
        <v>43046</v>
      </c>
      <c r="AO193" s="695">
        <v>1200399</v>
      </c>
      <c r="AP193" s="2722">
        <v>42979</v>
      </c>
      <c r="AQ193" s="3501">
        <v>111.5</v>
      </c>
      <c r="AR193" s="333">
        <f t="shared" si="74"/>
        <v>2315</v>
      </c>
      <c r="AS193" s="330">
        <f t="shared" si="71"/>
        <v>2894</v>
      </c>
      <c r="AT193" s="330">
        <f t="shared" si="75"/>
        <v>826</v>
      </c>
      <c r="AU193" s="849"/>
      <c r="AV193" s="849"/>
      <c r="AW193" s="2870">
        <f t="shared" si="56"/>
        <v>6035</v>
      </c>
      <c r="AX193" s="3140"/>
      <c r="BB193" s="267"/>
      <c r="BC193" s="4117">
        <f t="shared" si="76"/>
        <v>0</v>
      </c>
      <c r="BD193" s="4117">
        <f t="shared" si="57"/>
        <v>0</v>
      </c>
    </row>
    <row r="194" spans="1:56" ht="51">
      <c r="A194" s="2418" t="s">
        <v>11135</v>
      </c>
      <c r="B194" s="338" t="s">
        <v>3955</v>
      </c>
      <c r="C194" s="321">
        <v>0</v>
      </c>
      <c r="D194" s="323">
        <v>42902</v>
      </c>
      <c r="E194" s="3012" t="s">
        <v>6385</v>
      </c>
      <c r="F194" s="324" t="s">
        <v>4154</v>
      </c>
      <c r="G194" s="2332">
        <v>1.0111000000000001</v>
      </c>
      <c r="H194" s="332" t="s">
        <v>4657</v>
      </c>
      <c r="I194" s="339" t="s">
        <v>1436</v>
      </c>
      <c r="J194" s="322" t="s">
        <v>1437</v>
      </c>
      <c r="K194" s="340">
        <v>44332</v>
      </c>
      <c r="L194" s="339" t="s">
        <v>4658</v>
      </c>
      <c r="M194" s="322" t="s">
        <v>2912</v>
      </c>
      <c r="N194" s="339" t="s">
        <v>4659</v>
      </c>
      <c r="O194" s="332" t="s">
        <v>4660</v>
      </c>
      <c r="P194" s="345"/>
      <c r="Q194" s="322" t="s">
        <v>4234</v>
      </c>
      <c r="R194" s="322" t="s">
        <v>3617</v>
      </c>
      <c r="S194" s="346"/>
      <c r="T194" s="347">
        <v>6794</v>
      </c>
      <c r="U194" s="326">
        <v>0</v>
      </c>
      <c r="V194" s="348">
        <f t="shared" si="54"/>
        <v>6794</v>
      </c>
      <c r="W194" s="347">
        <v>8493</v>
      </c>
      <c r="X194" s="326">
        <v>0</v>
      </c>
      <c r="Y194" s="348">
        <f t="shared" si="63"/>
        <v>8493</v>
      </c>
      <c r="Z194" s="347">
        <v>1699</v>
      </c>
      <c r="AA194" s="326">
        <v>0</v>
      </c>
      <c r="AB194" s="348">
        <f t="shared" si="55"/>
        <v>1699</v>
      </c>
      <c r="AC194" s="820"/>
      <c r="AD194" s="821"/>
      <c r="AE194" s="822"/>
      <c r="AF194" s="820"/>
      <c r="AG194" s="821"/>
      <c r="AH194" s="822"/>
      <c r="AI194" s="482">
        <f t="shared" si="73"/>
        <v>16986</v>
      </c>
      <c r="AJ194" s="326">
        <f t="shared" si="77"/>
        <v>0</v>
      </c>
      <c r="AK194" s="3899">
        <v>0</v>
      </c>
      <c r="AL194" s="349">
        <f t="shared" si="62"/>
        <v>16986</v>
      </c>
      <c r="AM194" s="2002" t="s">
        <v>1061</v>
      </c>
      <c r="AN194" s="3357">
        <v>43049</v>
      </c>
      <c r="AO194" s="695">
        <v>1200465</v>
      </c>
      <c r="AP194" s="2722" t="s">
        <v>4933</v>
      </c>
      <c r="AQ194" s="3501">
        <v>1.0119899999999999</v>
      </c>
      <c r="AR194" s="333">
        <f t="shared" si="74"/>
        <v>6800</v>
      </c>
      <c r="AS194" s="330">
        <f t="shared" si="71"/>
        <v>8500</v>
      </c>
      <c r="AT194" s="330">
        <f t="shared" si="75"/>
        <v>1700</v>
      </c>
      <c r="AU194" s="849"/>
      <c r="AV194" s="849"/>
      <c r="AW194" s="2870">
        <f t="shared" si="56"/>
        <v>17000</v>
      </c>
      <c r="AX194" s="3140"/>
      <c r="BB194" s="267"/>
      <c r="BC194" s="4117">
        <f t="shared" si="76"/>
        <v>0</v>
      </c>
      <c r="BD194" s="4117">
        <f t="shared" si="57"/>
        <v>0</v>
      </c>
    </row>
    <row r="195" spans="1:56" ht="38.25">
      <c r="A195" s="2418" t="s">
        <v>11135</v>
      </c>
      <c r="B195" s="338" t="s">
        <v>5074</v>
      </c>
      <c r="C195" s="321">
        <v>0</v>
      </c>
      <c r="D195" s="323">
        <v>42614</v>
      </c>
      <c r="E195" s="3012" t="s">
        <v>6387</v>
      </c>
      <c r="F195" s="324" t="s">
        <v>4154</v>
      </c>
      <c r="G195" s="2332">
        <v>1.0111000000000001</v>
      </c>
      <c r="H195" s="332" t="s">
        <v>4051</v>
      </c>
      <c r="I195" s="339" t="s">
        <v>1433</v>
      </c>
      <c r="J195" s="322" t="s">
        <v>1434</v>
      </c>
      <c r="K195" s="340">
        <v>44090</v>
      </c>
      <c r="L195" s="339" t="s">
        <v>4048</v>
      </c>
      <c r="M195" s="322" t="s">
        <v>4049</v>
      </c>
      <c r="N195" s="339" t="s">
        <v>4058</v>
      </c>
      <c r="O195" s="332" t="s">
        <v>4050</v>
      </c>
      <c r="P195" s="345"/>
      <c r="Q195" s="322" t="s">
        <v>4053</v>
      </c>
      <c r="R195" s="322" t="s">
        <v>4052</v>
      </c>
      <c r="S195" s="346"/>
      <c r="T195" s="347">
        <v>4853</v>
      </c>
      <c r="U195" s="326">
        <v>0</v>
      </c>
      <c r="V195" s="348">
        <f t="shared" si="54"/>
        <v>4853</v>
      </c>
      <c r="W195" s="347">
        <v>6067</v>
      </c>
      <c r="X195" s="326">
        <v>0</v>
      </c>
      <c r="Y195" s="348">
        <f t="shared" si="63"/>
        <v>6067</v>
      </c>
      <c r="Z195" s="347">
        <v>1213</v>
      </c>
      <c r="AA195" s="326">
        <v>0</v>
      </c>
      <c r="AB195" s="348">
        <f t="shared" si="55"/>
        <v>1213</v>
      </c>
      <c r="AC195" s="820"/>
      <c r="AD195" s="821"/>
      <c r="AE195" s="822"/>
      <c r="AF195" s="820"/>
      <c r="AG195" s="821"/>
      <c r="AH195" s="822"/>
      <c r="AI195" s="482">
        <f t="shared" si="73"/>
        <v>12133</v>
      </c>
      <c r="AJ195" s="326">
        <f t="shared" si="77"/>
        <v>0</v>
      </c>
      <c r="AK195" s="3899">
        <v>0</v>
      </c>
      <c r="AL195" s="349">
        <f t="shared" si="62"/>
        <v>12133</v>
      </c>
      <c r="AM195" s="2002" t="s">
        <v>5115</v>
      </c>
      <c r="AN195" s="3357" t="s">
        <v>5116</v>
      </c>
      <c r="AO195" s="695" t="s">
        <v>5117</v>
      </c>
      <c r="AP195" s="2722" t="s">
        <v>4933</v>
      </c>
      <c r="AQ195" s="3501">
        <v>1.0119899999999999</v>
      </c>
      <c r="AR195" s="333">
        <f t="shared" si="74"/>
        <v>4857</v>
      </c>
      <c r="AS195" s="330">
        <f>3643+2429</f>
        <v>6072</v>
      </c>
      <c r="AT195" s="330">
        <f t="shared" si="75"/>
        <v>1214</v>
      </c>
      <c r="AU195" s="849"/>
      <c r="AV195" s="849"/>
      <c r="AW195" s="2870">
        <f t="shared" si="56"/>
        <v>12143</v>
      </c>
      <c r="AX195" s="3145" t="s">
        <v>5075</v>
      </c>
      <c r="BB195" s="267"/>
      <c r="BC195" s="4117">
        <f t="shared" si="76"/>
        <v>0</v>
      </c>
      <c r="BD195" s="4117">
        <f t="shared" si="57"/>
        <v>0</v>
      </c>
    </row>
    <row r="196" spans="1:56" ht="51">
      <c r="A196" s="2418" t="s">
        <v>11135</v>
      </c>
      <c r="B196" s="338" t="s">
        <v>3961</v>
      </c>
      <c r="C196" s="321">
        <v>0</v>
      </c>
      <c r="D196" s="323">
        <v>42935</v>
      </c>
      <c r="E196" s="3012" t="s">
        <v>6385</v>
      </c>
      <c r="F196" s="324" t="s">
        <v>4154</v>
      </c>
      <c r="G196" s="2332">
        <v>1.0111000000000001</v>
      </c>
      <c r="H196" s="332" t="s">
        <v>4756</v>
      </c>
      <c r="I196" s="339" t="s">
        <v>1436</v>
      </c>
      <c r="J196" s="322" t="s">
        <v>1437</v>
      </c>
      <c r="K196" s="340">
        <v>44396</v>
      </c>
      <c r="L196" s="339" t="s">
        <v>4757</v>
      </c>
      <c r="M196" s="322" t="s">
        <v>3941</v>
      </c>
      <c r="N196" s="339" t="s">
        <v>4758</v>
      </c>
      <c r="O196" s="332" t="s">
        <v>4759</v>
      </c>
      <c r="P196" s="345"/>
      <c r="Q196" s="322" t="s">
        <v>4760</v>
      </c>
      <c r="R196" s="322" t="s">
        <v>4761</v>
      </c>
      <c r="S196" s="346"/>
      <c r="T196" s="347">
        <v>6794</v>
      </c>
      <c r="U196" s="326">
        <v>0</v>
      </c>
      <c r="V196" s="348">
        <f t="shared" ref="V196:V259" si="78">T196-U196</f>
        <v>6794</v>
      </c>
      <c r="W196" s="347">
        <v>8493</v>
      </c>
      <c r="X196" s="326">
        <v>0</v>
      </c>
      <c r="Y196" s="348">
        <f t="shared" si="63"/>
        <v>8493</v>
      </c>
      <c r="Z196" s="347">
        <v>1699</v>
      </c>
      <c r="AA196" s="326">
        <v>0</v>
      </c>
      <c r="AB196" s="348">
        <f t="shared" ref="AB196:AB259" si="79">Z196-AA196</f>
        <v>1699</v>
      </c>
      <c r="AC196" s="820"/>
      <c r="AD196" s="821"/>
      <c r="AE196" s="822"/>
      <c r="AF196" s="820"/>
      <c r="AG196" s="821"/>
      <c r="AH196" s="822"/>
      <c r="AI196" s="482">
        <f t="shared" si="73"/>
        <v>16986</v>
      </c>
      <c r="AJ196" s="326">
        <f t="shared" si="77"/>
        <v>0</v>
      </c>
      <c r="AK196" s="3899">
        <v>0</v>
      </c>
      <c r="AL196" s="349">
        <f t="shared" si="62"/>
        <v>16986</v>
      </c>
      <c r="AM196" s="2002" t="s">
        <v>1061</v>
      </c>
      <c r="AN196" s="3357">
        <v>43052</v>
      </c>
      <c r="AO196" s="695">
        <v>1200569</v>
      </c>
      <c r="AP196" s="2722" t="s">
        <v>4933</v>
      </c>
      <c r="AQ196" s="3501">
        <v>1.0119899999999999</v>
      </c>
      <c r="AR196" s="333">
        <f t="shared" si="74"/>
        <v>6800</v>
      </c>
      <c r="AS196" s="330">
        <f t="shared" ref="AS196:AS228" si="80">ROUND($AQ196/$G196*Y196,0)</f>
        <v>8500</v>
      </c>
      <c r="AT196" s="330">
        <f t="shared" si="75"/>
        <v>1700</v>
      </c>
      <c r="AU196" s="849"/>
      <c r="AV196" s="849"/>
      <c r="AW196" s="2870">
        <f t="shared" ref="AW196:AW259" si="81">SUM(AR196:AV196)</f>
        <v>17000</v>
      </c>
      <c r="AX196" s="3140"/>
      <c r="BB196" s="267"/>
      <c r="BC196" s="4117">
        <f t="shared" si="76"/>
        <v>0</v>
      </c>
      <c r="BD196" s="4117">
        <f t="shared" ref="BD196:BD259" si="82">ROUND($AK196*$AQ196/$G196,0)</f>
        <v>0</v>
      </c>
    </row>
    <row r="197" spans="1:56" ht="76.5">
      <c r="A197" s="6010" t="s">
        <v>11135</v>
      </c>
      <c r="B197" s="4086" t="s">
        <v>3560</v>
      </c>
      <c r="C197" s="3859">
        <v>0</v>
      </c>
      <c r="D197" s="3860">
        <v>42691</v>
      </c>
      <c r="E197" s="3860" t="s">
        <v>6385</v>
      </c>
      <c r="F197" s="3861" t="s">
        <v>4154</v>
      </c>
      <c r="G197" s="4093">
        <v>1.0111000000000001</v>
      </c>
      <c r="H197" s="4087" t="s">
        <v>4240</v>
      </c>
      <c r="I197" s="3864" t="s">
        <v>1433</v>
      </c>
      <c r="J197" s="3865" t="s">
        <v>1434</v>
      </c>
      <c r="K197" s="4088">
        <v>44152</v>
      </c>
      <c r="L197" s="3864" t="s">
        <v>4241</v>
      </c>
      <c r="M197" s="3865" t="s">
        <v>4242</v>
      </c>
      <c r="N197" s="3864" t="s">
        <v>4243</v>
      </c>
      <c r="O197" s="4087" t="s">
        <v>4244</v>
      </c>
      <c r="P197" s="3867" t="s">
        <v>4246</v>
      </c>
      <c r="Q197" s="3865" t="s">
        <v>4245</v>
      </c>
      <c r="R197" s="3865" t="s">
        <v>3617</v>
      </c>
      <c r="S197" s="4089"/>
      <c r="T197" s="3869">
        <v>6794</v>
      </c>
      <c r="U197" s="3870">
        <v>0</v>
      </c>
      <c r="V197" s="4090">
        <f t="shared" si="78"/>
        <v>6794</v>
      </c>
      <c r="W197" s="3869">
        <v>8493</v>
      </c>
      <c r="X197" s="3870">
        <v>0</v>
      </c>
      <c r="Y197" s="4090">
        <f t="shared" si="63"/>
        <v>8493</v>
      </c>
      <c r="Z197" s="3869">
        <v>1699</v>
      </c>
      <c r="AA197" s="3870">
        <v>0</v>
      </c>
      <c r="AB197" s="4090">
        <f t="shared" si="79"/>
        <v>1699</v>
      </c>
      <c r="AC197" s="4066"/>
      <c r="AD197" s="4067"/>
      <c r="AE197" s="4068"/>
      <c r="AF197" s="4066"/>
      <c r="AG197" s="4067"/>
      <c r="AH197" s="4068"/>
      <c r="AI197" s="3872">
        <f t="shared" si="73"/>
        <v>16986</v>
      </c>
      <c r="AJ197" s="3870">
        <f t="shared" si="77"/>
        <v>0</v>
      </c>
      <c r="AK197" s="3917">
        <v>0</v>
      </c>
      <c r="AL197" s="4091">
        <f t="shared" si="62"/>
        <v>16986</v>
      </c>
      <c r="AM197" s="3874" t="s">
        <v>1061</v>
      </c>
      <c r="AN197" s="3875">
        <v>43055</v>
      </c>
      <c r="AO197" s="3876">
        <v>200596</v>
      </c>
      <c r="AP197" s="3877" t="s">
        <v>4933</v>
      </c>
      <c r="AQ197" s="4094">
        <v>1.0119899999999999</v>
      </c>
      <c r="AR197" s="3879">
        <f t="shared" si="74"/>
        <v>6800</v>
      </c>
      <c r="AS197" s="3880">
        <f t="shared" si="80"/>
        <v>8500</v>
      </c>
      <c r="AT197" s="3880">
        <f t="shared" si="75"/>
        <v>1700</v>
      </c>
      <c r="AU197" s="4069"/>
      <c r="AV197" s="4069"/>
      <c r="AW197" s="4092">
        <f t="shared" si="81"/>
        <v>17000</v>
      </c>
      <c r="AX197" s="3882"/>
      <c r="BA197" s="267"/>
      <c r="BB197" s="267"/>
      <c r="BC197" s="4117">
        <f t="shared" si="76"/>
        <v>0</v>
      </c>
      <c r="BD197" s="4117">
        <f t="shared" si="82"/>
        <v>0</v>
      </c>
    </row>
    <row r="198" spans="1:56" ht="53.25" customHeight="1" thickBot="1">
      <c r="A198" s="5991" t="s">
        <v>11135</v>
      </c>
      <c r="B198" s="4095" t="s">
        <v>4769</v>
      </c>
      <c r="C198" s="4096">
        <v>0</v>
      </c>
      <c r="D198" s="4097">
        <v>42941</v>
      </c>
      <c r="E198" s="4097" t="s">
        <v>6385</v>
      </c>
      <c r="F198" s="4098" t="s">
        <v>4154</v>
      </c>
      <c r="G198" s="4099">
        <v>1.0111000000000001</v>
      </c>
      <c r="H198" s="4100" t="s">
        <v>4765</v>
      </c>
      <c r="I198" s="4042" t="s">
        <v>4766</v>
      </c>
      <c r="J198" s="4043" t="s">
        <v>4306</v>
      </c>
      <c r="K198" s="4044">
        <v>43671</v>
      </c>
      <c r="L198" s="4101" t="s">
        <v>4767</v>
      </c>
      <c r="M198" s="4043" t="s">
        <v>4768</v>
      </c>
      <c r="N198" s="4042" t="s">
        <v>1476</v>
      </c>
      <c r="O198" s="4041" t="s">
        <v>3137</v>
      </c>
      <c r="P198" s="4045" t="s">
        <v>6151</v>
      </c>
      <c r="Q198" s="4043" t="s">
        <v>4770</v>
      </c>
      <c r="R198" s="4043" t="s">
        <v>4771</v>
      </c>
      <c r="S198" s="4102" t="s">
        <v>3476</v>
      </c>
      <c r="T198" s="1268">
        <v>7140</v>
      </c>
      <c r="U198" s="1269">
        <v>7140</v>
      </c>
      <c r="V198" s="1270">
        <f t="shared" si="78"/>
        <v>0</v>
      </c>
      <c r="W198" s="1268">
        <v>1260</v>
      </c>
      <c r="X198" s="1269">
        <v>1260</v>
      </c>
      <c r="Y198" s="1270">
        <f t="shared" si="63"/>
        <v>0</v>
      </c>
      <c r="Z198" s="1268">
        <v>1000</v>
      </c>
      <c r="AA198" s="1269">
        <v>1000</v>
      </c>
      <c r="AB198" s="1270">
        <f t="shared" si="79"/>
        <v>0</v>
      </c>
      <c r="AC198" s="1271"/>
      <c r="AD198" s="1272"/>
      <c r="AE198" s="1273"/>
      <c r="AF198" s="1271"/>
      <c r="AG198" s="1272"/>
      <c r="AH198" s="1273"/>
      <c r="AI198" s="1274">
        <f t="shared" si="73"/>
        <v>9400</v>
      </c>
      <c r="AJ198" s="4103">
        <f t="shared" si="77"/>
        <v>9400</v>
      </c>
      <c r="AK198" s="3910"/>
      <c r="AL198" s="1275">
        <f t="shared" si="62"/>
        <v>0</v>
      </c>
      <c r="AM198" s="4104" t="s">
        <v>6151</v>
      </c>
      <c r="AN198" s="4105"/>
      <c r="AO198" s="4106"/>
      <c r="AP198" s="3766" t="s">
        <v>4933</v>
      </c>
      <c r="AQ198" s="4107">
        <v>1.0119899999999999</v>
      </c>
      <c r="AR198" s="1276">
        <f t="shared" si="74"/>
        <v>0</v>
      </c>
      <c r="AS198" s="1277">
        <f t="shared" si="80"/>
        <v>0</v>
      </c>
      <c r="AT198" s="1277">
        <f t="shared" si="75"/>
        <v>0</v>
      </c>
      <c r="AU198" s="1278"/>
      <c r="AV198" s="1278"/>
      <c r="AW198" s="4108">
        <f t="shared" si="81"/>
        <v>0</v>
      </c>
      <c r="AX198" s="3771"/>
      <c r="AY198" s="764" t="s">
        <v>5057</v>
      </c>
      <c r="AZ198" s="1662">
        <f>SUM(AW192:AW198)</f>
        <v>71865</v>
      </c>
      <c r="BA198" s="4028">
        <f>AZ198</f>
        <v>71865</v>
      </c>
      <c r="BB198" s="267"/>
      <c r="BC198" s="4117">
        <f t="shared" si="76"/>
        <v>9408</v>
      </c>
      <c r="BD198" s="4117">
        <f t="shared" si="82"/>
        <v>0</v>
      </c>
    </row>
    <row r="199" spans="1:56" ht="76.5">
      <c r="A199" s="6006" t="s">
        <v>11140</v>
      </c>
      <c r="B199" s="2298" t="s">
        <v>5145</v>
      </c>
      <c r="C199" s="2492">
        <v>0</v>
      </c>
      <c r="D199" s="2300">
        <v>42982</v>
      </c>
      <c r="E199" s="2300" t="s">
        <v>6385</v>
      </c>
      <c r="F199" s="2301">
        <v>42887</v>
      </c>
      <c r="G199" s="2441">
        <v>111</v>
      </c>
      <c r="H199" s="2306" t="s">
        <v>4889</v>
      </c>
      <c r="I199" s="2303" t="s">
        <v>4890</v>
      </c>
      <c r="J199" s="2304" t="s">
        <v>4306</v>
      </c>
      <c r="K199" s="2305">
        <v>42975</v>
      </c>
      <c r="L199" s="2303" t="s">
        <v>4891</v>
      </c>
      <c r="M199" s="2304" t="s">
        <v>4892</v>
      </c>
      <c r="N199" s="2303" t="s">
        <v>4893</v>
      </c>
      <c r="O199" s="2306" t="s">
        <v>4894</v>
      </c>
      <c r="P199" s="2321"/>
      <c r="Q199" s="6096" t="s">
        <v>4895</v>
      </c>
      <c r="R199" s="2304" t="s">
        <v>1046</v>
      </c>
      <c r="S199" s="2307"/>
      <c r="T199" s="2308">
        <v>2304</v>
      </c>
      <c r="U199" s="2309">
        <v>0</v>
      </c>
      <c r="V199" s="2310">
        <f t="shared" si="78"/>
        <v>2304</v>
      </c>
      <c r="W199" s="2308">
        <v>2881</v>
      </c>
      <c r="X199" s="2309">
        <v>0</v>
      </c>
      <c r="Y199" s="2310">
        <f t="shared" si="63"/>
        <v>2881</v>
      </c>
      <c r="Z199" s="2308">
        <v>823</v>
      </c>
      <c r="AA199" s="2309">
        <v>0</v>
      </c>
      <c r="AB199" s="2310">
        <f t="shared" si="79"/>
        <v>823</v>
      </c>
      <c r="AC199" s="823"/>
      <c r="AD199" s="824"/>
      <c r="AE199" s="825"/>
      <c r="AF199" s="823"/>
      <c r="AG199" s="824"/>
      <c r="AH199" s="825"/>
      <c r="AI199" s="2311">
        <f t="shared" si="73"/>
        <v>6008</v>
      </c>
      <c r="AJ199" s="2309">
        <f t="shared" si="77"/>
        <v>0</v>
      </c>
      <c r="AK199" s="3914">
        <v>0</v>
      </c>
      <c r="AL199" s="2312">
        <f t="shared" si="62"/>
        <v>6008</v>
      </c>
      <c r="AM199" s="3491" t="s">
        <v>1061</v>
      </c>
      <c r="AN199" s="3492">
        <v>43073</v>
      </c>
      <c r="AO199" s="2492">
        <v>1200980</v>
      </c>
      <c r="AP199" s="2905" t="s">
        <v>5143</v>
      </c>
      <c r="AQ199" s="3508">
        <v>111.5</v>
      </c>
      <c r="AR199" s="2313">
        <f t="shared" si="74"/>
        <v>2314</v>
      </c>
      <c r="AS199" s="2314">
        <f t="shared" si="80"/>
        <v>2894</v>
      </c>
      <c r="AT199" s="2314">
        <f t="shared" si="75"/>
        <v>827</v>
      </c>
      <c r="AU199" s="848"/>
      <c r="AV199" s="848"/>
      <c r="AW199" s="2883">
        <f t="shared" si="81"/>
        <v>6035</v>
      </c>
      <c r="AX199" s="2899"/>
      <c r="BB199" s="267"/>
      <c r="BC199" s="4117">
        <f t="shared" si="76"/>
        <v>0</v>
      </c>
      <c r="BD199" s="4117">
        <f t="shared" si="82"/>
        <v>0</v>
      </c>
    </row>
    <row r="200" spans="1:56" ht="76.5">
      <c r="A200" s="5978" t="s">
        <v>11140</v>
      </c>
      <c r="B200" s="1538" t="s">
        <v>3951</v>
      </c>
      <c r="C200" s="1509">
        <v>0</v>
      </c>
      <c r="D200" s="1510">
        <v>42885</v>
      </c>
      <c r="E200" s="3047" t="s">
        <v>6385</v>
      </c>
      <c r="F200" s="2139">
        <v>42795</v>
      </c>
      <c r="G200" s="2334">
        <v>110.5</v>
      </c>
      <c r="H200" s="1513" t="s">
        <v>4607</v>
      </c>
      <c r="I200" s="1514" t="s">
        <v>4608</v>
      </c>
      <c r="J200" s="1515" t="s">
        <v>4306</v>
      </c>
      <c r="K200" s="1516">
        <v>43615</v>
      </c>
      <c r="L200" s="1514" t="s">
        <v>4609</v>
      </c>
      <c r="M200" s="1515" t="s">
        <v>4610</v>
      </c>
      <c r="N200" s="1514" t="s">
        <v>4611</v>
      </c>
      <c r="O200" s="1513" t="s">
        <v>4618</v>
      </c>
      <c r="P200" s="1517"/>
      <c r="Q200" s="6094" t="s">
        <v>4332</v>
      </c>
      <c r="R200" s="1515" t="s">
        <v>1046</v>
      </c>
      <c r="S200" s="1518"/>
      <c r="T200" s="1519">
        <v>2294</v>
      </c>
      <c r="U200" s="1504">
        <v>0</v>
      </c>
      <c r="V200" s="1520">
        <f t="shared" si="78"/>
        <v>2294</v>
      </c>
      <c r="W200" s="1519">
        <v>2868</v>
      </c>
      <c r="X200" s="1504">
        <v>0</v>
      </c>
      <c r="Y200" s="1520">
        <f t="shared" si="63"/>
        <v>2868</v>
      </c>
      <c r="Z200" s="1519">
        <v>819</v>
      </c>
      <c r="AA200" s="1504">
        <v>0</v>
      </c>
      <c r="AB200" s="1520">
        <f t="shared" si="79"/>
        <v>819</v>
      </c>
      <c r="AC200" s="820"/>
      <c r="AD200" s="821"/>
      <c r="AE200" s="822"/>
      <c r="AF200" s="820"/>
      <c r="AG200" s="821"/>
      <c r="AH200" s="822"/>
      <c r="AI200" s="1503">
        <f t="shared" si="73"/>
        <v>5981</v>
      </c>
      <c r="AJ200" s="1504">
        <f t="shared" si="77"/>
        <v>0</v>
      </c>
      <c r="AK200" s="3912">
        <v>0</v>
      </c>
      <c r="AL200" s="1505">
        <f t="shared" si="62"/>
        <v>5981</v>
      </c>
      <c r="AM200" s="1508" t="s">
        <v>1061</v>
      </c>
      <c r="AN200" s="3401">
        <v>43075</v>
      </c>
      <c r="AO200" s="3402">
        <v>1201045</v>
      </c>
      <c r="AP200" s="2664" t="s">
        <v>5160</v>
      </c>
      <c r="AQ200" s="3495">
        <v>111.5</v>
      </c>
      <c r="AR200" s="1506">
        <f t="shared" si="74"/>
        <v>2315</v>
      </c>
      <c r="AS200" s="1507">
        <f t="shared" si="80"/>
        <v>2894</v>
      </c>
      <c r="AT200" s="1507">
        <f t="shared" si="75"/>
        <v>826</v>
      </c>
      <c r="AU200" s="849"/>
      <c r="AV200" s="849"/>
      <c r="AW200" s="2878">
        <f t="shared" si="81"/>
        <v>6035</v>
      </c>
      <c r="AX200" s="3146"/>
      <c r="BB200" s="267"/>
      <c r="BC200" s="4117">
        <f t="shared" si="76"/>
        <v>0</v>
      </c>
      <c r="BD200" s="4117">
        <f t="shared" si="82"/>
        <v>0</v>
      </c>
    </row>
    <row r="201" spans="1:56" ht="51">
      <c r="A201" s="5978" t="s">
        <v>11140</v>
      </c>
      <c r="B201" s="1538" t="s">
        <v>3534</v>
      </c>
      <c r="C201" s="1509">
        <v>0</v>
      </c>
      <c r="D201" s="1510">
        <v>42188</v>
      </c>
      <c r="E201" s="3047" t="s">
        <v>6387</v>
      </c>
      <c r="F201" s="2139" t="s">
        <v>3977</v>
      </c>
      <c r="G201" s="2334">
        <v>105.2</v>
      </c>
      <c r="H201" s="1513" t="s">
        <v>3680</v>
      </c>
      <c r="I201" s="1514" t="s">
        <v>1433</v>
      </c>
      <c r="J201" s="1515" t="s">
        <v>1434</v>
      </c>
      <c r="K201" s="1516">
        <v>43649</v>
      </c>
      <c r="L201" s="1514" t="s">
        <v>993</v>
      </c>
      <c r="M201" s="1515" t="s">
        <v>1957</v>
      </c>
      <c r="N201" s="1514" t="s">
        <v>3129</v>
      </c>
      <c r="O201" s="1513" t="s">
        <v>3130</v>
      </c>
      <c r="P201" s="1517" t="s">
        <v>3504</v>
      </c>
      <c r="Q201" s="1515" t="s">
        <v>3132</v>
      </c>
      <c r="R201" s="1515" t="s">
        <v>3131</v>
      </c>
      <c r="S201" s="1518"/>
      <c r="T201" s="1519">
        <v>0</v>
      </c>
      <c r="U201" s="1504">
        <v>0</v>
      </c>
      <c r="V201" s="1520">
        <f t="shared" si="78"/>
        <v>0</v>
      </c>
      <c r="W201" s="1519">
        <v>0</v>
      </c>
      <c r="X201" s="1504">
        <v>0</v>
      </c>
      <c r="Y201" s="1520">
        <f t="shared" si="63"/>
        <v>0</v>
      </c>
      <c r="Z201" s="1519">
        <v>720</v>
      </c>
      <c r="AA201" s="1504">
        <v>0</v>
      </c>
      <c r="AB201" s="1520">
        <f t="shared" si="79"/>
        <v>720</v>
      </c>
      <c r="AC201" s="820"/>
      <c r="AD201" s="821"/>
      <c r="AE201" s="822"/>
      <c r="AF201" s="820"/>
      <c r="AG201" s="821"/>
      <c r="AH201" s="822"/>
      <c r="AI201" s="1503">
        <f t="shared" si="73"/>
        <v>720</v>
      </c>
      <c r="AJ201" s="1504">
        <f t="shared" si="77"/>
        <v>0</v>
      </c>
      <c r="AK201" s="3912">
        <v>0</v>
      </c>
      <c r="AL201" s="1505">
        <f t="shared" si="62"/>
        <v>720</v>
      </c>
      <c r="AM201" s="1508" t="s">
        <v>1061</v>
      </c>
      <c r="AN201" s="3401">
        <v>43075</v>
      </c>
      <c r="AO201" s="3402">
        <v>1201086</v>
      </c>
      <c r="AP201" s="2664" t="s">
        <v>5160</v>
      </c>
      <c r="AQ201" s="3495">
        <v>111.5</v>
      </c>
      <c r="AR201" s="1506">
        <f t="shared" si="74"/>
        <v>0</v>
      </c>
      <c r="AS201" s="1507">
        <f t="shared" si="80"/>
        <v>0</v>
      </c>
      <c r="AT201" s="1507">
        <f t="shared" si="75"/>
        <v>763</v>
      </c>
      <c r="AU201" s="849"/>
      <c r="AV201" s="849"/>
      <c r="AW201" s="2878">
        <f t="shared" si="81"/>
        <v>763</v>
      </c>
      <c r="AX201" s="3146"/>
      <c r="BB201" s="267"/>
      <c r="BC201" s="4117">
        <f t="shared" si="76"/>
        <v>0</v>
      </c>
      <c r="BD201" s="4117">
        <f t="shared" si="82"/>
        <v>0</v>
      </c>
    </row>
    <row r="202" spans="1:56" ht="51">
      <c r="A202" s="5981" t="s">
        <v>11135</v>
      </c>
      <c r="B202" s="1538" t="s">
        <v>3553</v>
      </c>
      <c r="C202" s="1509">
        <v>0</v>
      </c>
      <c r="D202" s="1510">
        <v>42655</v>
      </c>
      <c r="E202" s="3047" t="s">
        <v>6387</v>
      </c>
      <c r="F202" s="1511" t="s">
        <v>4154</v>
      </c>
      <c r="G202" s="2498">
        <v>1.0111000000000001</v>
      </c>
      <c r="H202" s="1513" t="s">
        <v>4078</v>
      </c>
      <c r="I202" s="1514" t="s">
        <v>1436</v>
      </c>
      <c r="J202" s="1515" t="s">
        <v>1437</v>
      </c>
      <c r="K202" s="1516">
        <v>44055</v>
      </c>
      <c r="L202" s="1514" t="s">
        <v>4079</v>
      </c>
      <c r="M202" s="1515" t="s">
        <v>2912</v>
      </c>
      <c r="N202" s="1514" t="s">
        <v>4080</v>
      </c>
      <c r="O202" s="1513" t="s">
        <v>4081</v>
      </c>
      <c r="P202" s="1517"/>
      <c r="Q202" s="1515" t="s">
        <v>4082</v>
      </c>
      <c r="R202" s="1515" t="s">
        <v>4083</v>
      </c>
      <c r="S202" s="1518"/>
      <c r="T202" s="1519">
        <v>47562</v>
      </c>
      <c r="U202" s="1504">
        <v>0</v>
      </c>
      <c r="V202" s="1520">
        <f t="shared" si="78"/>
        <v>47562</v>
      </c>
      <c r="W202" s="1519">
        <v>59453</v>
      </c>
      <c r="X202" s="1504">
        <v>0</v>
      </c>
      <c r="Y202" s="1520">
        <f t="shared" si="63"/>
        <v>59453</v>
      </c>
      <c r="Z202" s="1519">
        <v>11891</v>
      </c>
      <c r="AA202" s="1504">
        <v>0</v>
      </c>
      <c r="AB202" s="1520">
        <f t="shared" si="79"/>
        <v>11891</v>
      </c>
      <c r="AC202" s="820"/>
      <c r="AD202" s="821"/>
      <c r="AE202" s="822"/>
      <c r="AF202" s="820"/>
      <c r="AG202" s="821"/>
      <c r="AH202" s="822"/>
      <c r="AI202" s="1503">
        <f t="shared" si="73"/>
        <v>118906</v>
      </c>
      <c r="AJ202" s="1504">
        <f t="shared" si="77"/>
        <v>0</v>
      </c>
      <c r="AK202" s="3912">
        <v>0</v>
      </c>
      <c r="AL202" s="1505">
        <f t="shared" si="62"/>
        <v>118906</v>
      </c>
      <c r="AM202" s="1508" t="s">
        <v>2977</v>
      </c>
      <c r="AN202" s="3401">
        <v>43081</v>
      </c>
      <c r="AO202" s="3402">
        <v>1201191</v>
      </c>
      <c r="AP202" s="2664" t="s">
        <v>4933</v>
      </c>
      <c r="AQ202" s="3495">
        <v>1.0119899999999999</v>
      </c>
      <c r="AR202" s="1506">
        <f t="shared" si="74"/>
        <v>47604</v>
      </c>
      <c r="AS202" s="1507">
        <f t="shared" si="80"/>
        <v>59505</v>
      </c>
      <c r="AT202" s="1507">
        <f t="shared" si="75"/>
        <v>11901</v>
      </c>
      <c r="AU202" s="849"/>
      <c r="AV202" s="849"/>
      <c r="AW202" s="2878">
        <f t="shared" si="81"/>
        <v>119010</v>
      </c>
      <c r="AX202" s="3146"/>
      <c r="AY202" s="2006"/>
      <c r="AZ202" s="1726"/>
      <c r="BB202" s="267"/>
      <c r="BC202" s="4117">
        <f t="shared" si="76"/>
        <v>0</v>
      </c>
      <c r="BD202" s="4117">
        <f t="shared" si="82"/>
        <v>0</v>
      </c>
    </row>
    <row r="203" spans="1:56" ht="89.25">
      <c r="A203" s="5981" t="s">
        <v>11135</v>
      </c>
      <c r="B203" s="1538" t="s">
        <v>5146</v>
      </c>
      <c r="C203" s="1509">
        <v>0</v>
      </c>
      <c r="D203" s="1510">
        <v>42692</v>
      </c>
      <c r="E203" s="3047" t="s">
        <v>6385</v>
      </c>
      <c r="F203" s="1511" t="s">
        <v>4154</v>
      </c>
      <c r="G203" s="2498">
        <v>1.0111000000000001</v>
      </c>
      <c r="H203" s="1513" t="s">
        <v>4709</v>
      </c>
      <c r="I203" s="1514" t="s">
        <v>1433</v>
      </c>
      <c r="J203" s="1515" t="s">
        <v>1434</v>
      </c>
      <c r="K203" s="1516">
        <v>44153</v>
      </c>
      <c r="L203" s="1514" t="s">
        <v>4169</v>
      </c>
      <c r="M203" s="1515" t="s">
        <v>4170</v>
      </c>
      <c r="N203" s="1514" t="s">
        <v>4171</v>
      </c>
      <c r="O203" s="1513" t="s">
        <v>4172</v>
      </c>
      <c r="P203" s="2335"/>
      <c r="Q203" s="1515" t="s">
        <v>4173</v>
      </c>
      <c r="R203" s="1515" t="s">
        <v>4174</v>
      </c>
      <c r="S203" s="1518"/>
      <c r="T203" s="1519">
        <v>17782</v>
      </c>
      <c r="U203" s="1504">
        <v>0</v>
      </c>
      <c r="V203" s="1520">
        <f t="shared" si="78"/>
        <v>17782</v>
      </c>
      <c r="W203" s="1519">
        <v>3138</v>
      </c>
      <c r="X203" s="1504">
        <v>0</v>
      </c>
      <c r="Y203" s="1520">
        <f t="shared" si="63"/>
        <v>3138</v>
      </c>
      <c r="Z203" s="1519">
        <v>10906</v>
      </c>
      <c r="AA203" s="1504">
        <v>0</v>
      </c>
      <c r="AB203" s="1520">
        <f t="shared" si="79"/>
        <v>10906</v>
      </c>
      <c r="AC203" s="820"/>
      <c r="AD203" s="821"/>
      <c r="AE203" s="822"/>
      <c r="AF203" s="820"/>
      <c r="AG203" s="821"/>
      <c r="AH203" s="822"/>
      <c r="AI203" s="1503">
        <f t="shared" si="73"/>
        <v>31826</v>
      </c>
      <c r="AJ203" s="1504">
        <f t="shared" si="77"/>
        <v>0</v>
      </c>
      <c r="AK203" s="3912">
        <v>0</v>
      </c>
      <c r="AL203" s="1505">
        <f t="shared" si="62"/>
        <v>31826</v>
      </c>
      <c r="AM203" s="1508" t="s">
        <v>1061</v>
      </c>
      <c r="AN203" s="3401">
        <v>43082</v>
      </c>
      <c r="AO203" s="3402">
        <v>1201241</v>
      </c>
      <c r="AP203" s="2664" t="s">
        <v>4933</v>
      </c>
      <c r="AQ203" s="3495">
        <v>1.0119899999999999</v>
      </c>
      <c r="AR203" s="1506">
        <f t="shared" si="74"/>
        <v>17798</v>
      </c>
      <c r="AS203" s="1507">
        <f t="shared" si="80"/>
        <v>3141</v>
      </c>
      <c r="AT203" s="1507">
        <f t="shared" si="75"/>
        <v>10916</v>
      </c>
      <c r="AU203" s="849"/>
      <c r="AV203" s="849"/>
      <c r="AW203" s="2878">
        <f t="shared" si="81"/>
        <v>31855</v>
      </c>
      <c r="AX203" s="3146"/>
      <c r="BB203" s="267"/>
      <c r="BC203" s="4117">
        <f t="shared" si="76"/>
        <v>0</v>
      </c>
      <c r="BD203" s="4117">
        <f t="shared" si="82"/>
        <v>0</v>
      </c>
    </row>
    <row r="204" spans="1:56" ht="76.5">
      <c r="A204" s="5978" t="s">
        <v>11140</v>
      </c>
      <c r="B204" s="1538" t="s">
        <v>5144</v>
      </c>
      <c r="C204" s="1509">
        <v>0</v>
      </c>
      <c r="D204" s="1510">
        <v>43012</v>
      </c>
      <c r="E204" s="3047" t="s">
        <v>6385</v>
      </c>
      <c r="F204" s="2139">
        <v>42887</v>
      </c>
      <c r="G204" s="2334">
        <v>111</v>
      </c>
      <c r="H204" s="1513" t="s">
        <v>4979</v>
      </c>
      <c r="I204" s="1514" t="s">
        <v>4981</v>
      </c>
      <c r="J204" s="1515" t="s">
        <v>4306</v>
      </c>
      <c r="K204" s="1516">
        <v>43742</v>
      </c>
      <c r="L204" s="1514" t="s">
        <v>4985</v>
      </c>
      <c r="M204" s="1515" t="s">
        <v>4986</v>
      </c>
      <c r="N204" s="1514" t="s">
        <v>4987</v>
      </c>
      <c r="O204" s="1515" t="s">
        <v>4986</v>
      </c>
      <c r="P204" s="1517"/>
      <c r="Q204" s="6094" t="s">
        <v>4878</v>
      </c>
      <c r="R204" s="1515" t="s">
        <v>1046</v>
      </c>
      <c r="S204" s="1518"/>
      <c r="T204" s="1519">
        <v>2304</v>
      </c>
      <c r="U204" s="1504">
        <v>0</v>
      </c>
      <c r="V204" s="1520">
        <f t="shared" si="78"/>
        <v>2304</v>
      </c>
      <c r="W204" s="1519">
        <v>2881</v>
      </c>
      <c r="X204" s="1504">
        <v>0</v>
      </c>
      <c r="Y204" s="1520">
        <f t="shared" si="63"/>
        <v>2881</v>
      </c>
      <c r="Z204" s="1519">
        <v>823</v>
      </c>
      <c r="AA204" s="1504">
        <v>0</v>
      </c>
      <c r="AB204" s="1520">
        <f t="shared" si="79"/>
        <v>823</v>
      </c>
      <c r="AC204" s="820"/>
      <c r="AD204" s="821"/>
      <c r="AE204" s="822"/>
      <c r="AF204" s="820"/>
      <c r="AG204" s="821"/>
      <c r="AH204" s="822"/>
      <c r="AI204" s="1503">
        <f t="shared" si="73"/>
        <v>6008</v>
      </c>
      <c r="AJ204" s="1504">
        <f t="shared" si="77"/>
        <v>0</v>
      </c>
      <c r="AK204" s="3912">
        <v>0</v>
      </c>
      <c r="AL204" s="1505">
        <f t="shared" ref="AL204:AL267" si="83">V204+Y204+AB204+AE204+AH204</f>
        <v>6008</v>
      </c>
      <c r="AM204" s="1508" t="s">
        <v>1061</v>
      </c>
      <c r="AN204" s="3401">
        <v>43082</v>
      </c>
      <c r="AO204" s="3402">
        <v>1201242</v>
      </c>
      <c r="AP204" s="2664" t="s">
        <v>5143</v>
      </c>
      <c r="AQ204" s="3495">
        <v>111.5</v>
      </c>
      <c r="AR204" s="1506">
        <f t="shared" si="74"/>
        <v>2314</v>
      </c>
      <c r="AS204" s="1507">
        <f t="shared" si="80"/>
        <v>2894</v>
      </c>
      <c r="AT204" s="1507">
        <f t="shared" si="75"/>
        <v>827</v>
      </c>
      <c r="AU204" s="849"/>
      <c r="AV204" s="849"/>
      <c r="AW204" s="2878">
        <f t="shared" si="81"/>
        <v>6035</v>
      </c>
      <c r="AX204" s="3146"/>
      <c r="AY204" s="2006"/>
      <c r="AZ204" s="1726"/>
      <c r="BB204" s="267"/>
      <c r="BC204" s="4117">
        <f t="shared" si="76"/>
        <v>0</v>
      </c>
      <c r="BD204" s="4117">
        <f t="shared" si="82"/>
        <v>0</v>
      </c>
    </row>
    <row r="205" spans="1:56" ht="76.5">
      <c r="A205" s="5978" t="s">
        <v>11140</v>
      </c>
      <c r="B205" s="1538" t="s">
        <v>5187</v>
      </c>
      <c r="C205" s="1509">
        <v>0</v>
      </c>
      <c r="D205" s="1510">
        <v>42969</v>
      </c>
      <c r="E205" s="3047" t="s">
        <v>6385</v>
      </c>
      <c r="F205" s="2139">
        <v>42979</v>
      </c>
      <c r="G205" s="2334">
        <v>111.5</v>
      </c>
      <c r="H205" s="1513" t="s">
        <v>4839</v>
      </c>
      <c r="I205" s="1514" t="s">
        <v>4840</v>
      </c>
      <c r="J205" s="1515" t="s">
        <v>4306</v>
      </c>
      <c r="K205" s="1516">
        <v>43699</v>
      </c>
      <c r="L205" s="1514" t="s">
        <v>4841</v>
      </c>
      <c r="M205" s="1515" t="s">
        <v>4842</v>
      </c>
      <c r="N205" s="1514" t="s">
        <v>4843</v>
      </c>
      <c r="O205" s="1513" t="s">
        <v>4844</v>
      </c>
      <c r="P205" s="1517"/>
      <c r="Q205" s="6094" t="s">
        <v>4332</v>
      </c>
      <c r="R205" s="1515" t="s">
        <v>1046</v>
      </c>
      <c r="S205" s="1518"/>
      <c r="T205" s="1519">
        <v>461</v>
      </c>
      <c r="U205" s="1504">
        <v>0</v>
      </c>
      <c r="V205" s="1520">
        <f t="shared" si="78"/>
        <v>461</v>
      </c>
      <c r="W205" s="1519">
        <v>576</v>
      </c>
      <c r="X205" s="1504">
        <v>0</v>
      </c>
      <c r="Y205" s="1520">
        <f t="shared" si="63"/>
        <v>576</v>
      </c>
      <c r="Z205" s="1519">
        <v>165</v>
      </c>
      <c r="AA205" s="1504">
        <v>0</v>
      </c>
      <c r="AB205" s="1520">
        <f t="shared" si="79"/>
        <v>165</v>
      </c>
      <c r="AC205" s="820"/>
      <c r="AD205" s="821"/>
      <c r="AE205" s="822"/>
      <c r="AF205" s="820"/>
      <c r="AG205" s="821"/>
      <c r="AH205" s="822"/>
      <c r="AI205" s="1503">
        <f t="shared" si="73"/>
        <v>1202</v>
      </c>
      <c r="AJ205" s="1504">
        <f t="shared" si="77"/>
        <v>0</v>
      </c>
      <c r="AK205" s="3912">
        <v>0</v>
      </c>
      <c r="AL205" s="1505">
        <f t="shared" si="83"/>
        <v>1202</v>
      </c>
      <c r="AM205" s="1508" t="s">
        <v>2977</v>
      </c>
      <c r="AN205" s="3401">
        <v>43087</v>
      </c>
      <c r="AO205" s="3402">
        <v>1201353</v>
      </c>
      <c r="AP205" s="2664" t="s">
        <v>5143</v>
      </c>
      <c r="AQ205" s="3495">
        <v>111.5</v>
      </c>
      <c r="AR205" s="1506">
        <f t="shared" si="74"/>
        <v>461</v>
      </c>
      <c r="AS205" s="1507">
        <f t="shared" si="80"/>
        <v>576</v>
      </c>
      <c r="AT205" s="1507">
        <f t="shared" si="75"/>
        <v>165</v>
      </c>
      <c r="AU205" s="849"/>
      <c r="AV205" s="849"/>
      <c r="AW205" s="2878">
        <f t="shared" si="81"/>
        <v>1202</v>
      </c>
      <c r="AX205" s="3146"/>
      <c r="AY205" s="2006"/>
      <c r="AZ205" s="1726"/>
      <c r="BB205" s="267"/>
      <c r="BC205" s="4117">
        <f t="shared" si="76"/>
        <v>0</v>
      </c>
      <c r="BD205" s="4117">
        <f t="shared" si="82"/>
        <v>0</v>
      </c>
    </row>
    <row r="206" spans="1:56" ht="178.5">
      <c r="A206" s="5978" t="s">
        <v>11140</v>
      </c>
      <c r="B206" s="1538" t="s">
        <v>3564</v>
      </c>
      <c r="C206" s="1509">
        <v>0</v>
      </c>
      <c r="D206" s="1510">
        <v>42782</v>
      </c>
      <c r="E206" s="3047" t="s">
        <v>6385</v>
      </c>
      <c r="F206" s="2139">
        <v>42705</v>
      </c>
      <c r="G206" s="2334">
        <v>110.2</v>
      </c>
      <c r="H206" s="1513" t="s">
        <v>4718</v>
      </c>
      <c r="I206" s="1514" t="s">
        <v>1433</v>
      </c>
      <c r="J206" s="1515" t="s">
        <v>1434</v>
      </c>
      <c r="K206" s="1516">
        <v>44243</v>
      </c>
      <c r="L206" s="1514" t="s">
        <v>3991</v>
      </c>
      <c r="M206" s="1515" t="s">
        <v>4012</v>
      </c>
      <c r="N206" s="1514" t="s">
        <v>4357</v>
      </c>
      <c r="O206" s="1513" t="s">
        <v>4358</v>
      </c>
      <c r="P206" s="1517"/>
      <c r="Q206" s="1515" t="s">
        <v>4360</v>
      </c>
      <c r="R206" s="1515" t="s">
        <v>4359</v>
      </c>
      <c r="S206" s="1518" t="s">
        <v>7229</v>
      </c>
      <c r="T206" s="1519">
        <v>33562</v>
      </c>
      <c r="U206" s="1504">
        <v>1321</v>
      </c>
      <c r="V206" s="1520">
        <f t="shared" si="78"/>
        <v>32241</v>
      </c>
      <c r="W206" s="1519">
        <v>9431</v>
      </c>
      <c r="X206" s="1504">
        <v>0</v>
      </c>
      <c r="Y206" s="1520">
        <f t="shared" si="63"/>
        <v>9431</v>
      </c>
      <c r="Z206" s="1519">
        <v>18541</v>
      </c>
      <c r="AA206" s="1504">
        <v>524</v>
      </c>
      <c r="AB206" s="1520">
        <f t="shared" si="79"/>
        <v>18017</v>
      </c>
      <c r="AC206" s="820"/>
      <c r="AD206" s="821"/>
      <c r="AE206" s="822"/>
      <c r="AF206" s="820"/>
      <c r="AG206" s="821"/>
      <c r="AH206" s="822"/>
      <c r="AI206" s="1503">
        <f t="shared" si="73"/>
        <v>61534</v>
      </c>
      <c r="AJ206" s="1504">
        <v>0</v>
      </c>
      <c r="AK206" s="1504">
        <f>U206+X206+AA206+AD206+AG206</f>
        <v>1845</v>
      </c>
      <c r="AL206" s="1505">
        <f t="shared" si="83"/>
        <v>59689</v>
      </c>
      <c r="AM206" s="1508" t="s">
        <v>1061</v>
      </c>
      <c r="AN206" s="3401" t="s">
        <v>5185</v>
      </c>
      <c r="AO206" s="3402">
        <v>1201352</v>
      </c>
      <c r="AP206" s="2664" t="s">
        <v>5143</v>
      </c>
      <c r="AQ206" s="3495">
        <v>111.5</v>
      </c>
      <c r="AR206" s="1506">
        <f t="shared" si="74"/>
        <v>32621</v>
      </c>
      <c r="AS206" s="1507">
        <f t="shared" si="80"/>
        <v>9542</v>
      </c>
      <c r="AT206" s="1507">
        <f t="shared" si="75"/>
        <v>18230</v>
      </c>
      <c r="AU206" s="849"/>
      <c r="AV206" s="849"/>
      <c r="AW206" s="2878">
        <f t="shared" si="81"/>
        <v>60393</v>
      </c>
      <c r="AX206" s="3146"/>
      <c r="AY206" s="2006"/>
      <c r="AZ206" s="1726"/>
      <c r="BB206" s="267"/>
      <c r="BC206" s="4117">
        <f t="shared" si="76"/>
        <v>0</v>
      </c>
      <c r="BD206" s="4117">
        <f t="shared" si="82"/>
        <v>1867</v>
      </c>
    </row>
    <row r="207" spans="1:56" ht="38.25">
      <c r="A207" s="5981" t="s">
        <v>11135</v>
      </c>
      <c r="B207" s="1538" t="s">
        <v>2948</v>
      </c>
      <c r="C207" s="1509">
        <v>0</v>
      </c>
      <c r="D207" s="1510">
        <v>42502</v>
      </c>
      <c r="E207" s="2300" t="s">
        <v>6387</v>
      </c>
      <c r="F207" s="2497" t="s">
        <v>4932</v>
      </c>
      <c r="G207" s="2498">
        <v>1</v>
      </c>
      <c r="H207" s="1513" t="s">
        <v>3798</v>
      </c>
      <c r="I207" s="1514" t="s">
        <v>1433</v>
      </c>
      <c r="J207" s="1515" t="s">
        <v>1434</v>
      </c>
      <c r="K207" s="1516">
        <v>43935</v>
      </c>
      <c r="L207" s="1514" t="s">
        <v>3800</v>
      </c>
      <c r="M207" s="1515" t="s">
        <v>3621</v>
      </c>
      <c r="N207" s="1514" t="s">
        <v>3801</v>
      </c>
      <c r="O207" s="1513" t="s">
        <v>3802</v>
      </c>
      <c r="P207" s="1517" t="s">
        <v>3799</v>
      </c>
      <c r="Q207" s="1515" t="s">
        <v>3803</v>
      </c>
      <c r="R207" s="1515" t="s">
        <v>3804</v>
      </c>
      <c r="S207" s="1518"/>
      <c r="T207" s="1519">
        <v>1920</v>
      </c>
      <c r="U207" s="1504">
        <v>0</v>
      </c>
      <c r="V207" s="1520">
        <f t="shared" si="78"/>
        <v>1920</v>
      </c>
      <c r="W207" s="1519">
        <v>2400</v>
      </c>
      <c r="X207" s="1504">
        <v>0</v>
      </c>
      <c r="Y207" s="1520">
        <f t="shared" si="63"/>
        <v>2400</v>
      </c>
      <c r="Z207" s="1519">
        <v>480</v>
      </c>
      <c r="AA207" s="1504">
        <v>0</v>
      </c>
      <c r="AB207" s="1520">
        <f t="shared" si="79"/>
        <v>480</v>
      </c>
      <c r="AC207" s="820"/>
      <c r="AD207" s="821"/>
      <c r="AE207" s="822"/>
      <c r="AF207" s="820"/>
      <c r="AG207" s="821"/>
      <c r="AH207" s="822"/>
      <c r="AI207" s="1503">
        <f t="shared" si="73"/>
        <v>4800</v>
      </c>
      <c r="AJ207" s="1504">
        <f t="shared" ref="AJ207:AJ214" si="84">U207+X207+AA207+AD207+AG207</f>
        <v>0</v>
      </c>
      <c r="AK207" s="3912">
        <v>0</v>
      </c>
      <c r="AL207" s="1505">
        <f t="shared" si="83"/>
        <v>4800</v>
      </c>
      <c r="AM207" s="1508" t="s">
        <v>1061</v>
      </c>
      <c r="AN207" s="3401">
        <v>43087</v>
      </c>
      <c r="AO207" s="3402">
        <v>1201354</v>
      </c>
      <c r="AP207" s="2664" t="s">
        <v>4933</v>
      </c>
      <c r="AQ207" s="3495">
        <v>1.0119899999999999</v>
      </c>
      <c r="AR207" s="1506">
        <f t="shared" si="74"/>
        <v>1943</v>
      </c>
      <c r="AS207" s="1507">
        <f t="shared" si="80"/>
        <v>2429</v>
      </c>
      <c r="AT207" s="1507">
        <f t="shared" si="75"/>
        <v>486</v>
      </c>
      <c r="AU207" s="849"/>
      <c r="AV207" s="849"/>
      <c r="AW207" s="2878">
        <f t="shared" si="81"/>
        <v>4858</v>
      </c>
      <c r="AX207" s="3146"/>
      <c r="AY207" s="2006"/>
      <c r="AZ207" s="1726"/>
      <c r="BB207" s="267"/>
      <c r="BC207" s="4117">
        <f t="shared" si="76"/>
        <v>0</v>
      </c>
      <c r="BD207" s="4117">
        <f t="shared" si="82"/>
        <v>0</v>
      </c>
    </row>
    <row r="208" spans="1:56" ht="63.75">
      <c r="A208" s="5978" t="s">
        <v>11140</v>
      </c>
      <c r="B208" s="1538" t="s">
        <v>4862</v>
      </c>
      <c r="C208" s="1509" t="s">
        <v>1432</v>
      </c>
      <c r="D208" s="1510">
        <v>41464</v>
      </c>
      <c r="E208" s="3047" t="s">
        <v>6388</v>
      </c>
      <c r="F208" s="2139">
        <v>42887</v>
      </c>
      <c r="G208" s="2334">
        <v>111</v>
      </c>
      <c r="H208" s="1513" t="s">
        <v>1551</v>
      </c>
      <c r="I208" s="1514" t="s">
        <v>1433</v>
      </c>
      <c r="J208" s="1515" t="s">
        <v>1434</v>
      </c>
      <c r="K208" s="1516">
        <v>42920</v>
      </c>
      <c r="L208" s="1514" t="s">
        <v>1816</v>
      </c>
      <c r="M208" s="1515" t="s">
        <v>1799</v>
      </c>
      <c r="N208" s="1514" t="s">
        <v>1552</v>
      </c>
      <c r="O208" s="1513" t="s">
        <v>1688</v>
      </c>
      <c r="P208" s="2335" t="s">
        <v>4856</v>
      </c>
      <c r="Q208" s="1515" t="s">
        <v>1687</v>
      </c>
      <c r="R208" s="1515" t="s">
        <v>1553</v>
      </c>
      <c r="S208" s="2336" t="s">
        <v>4858</v>
      </c>
      <c r="T208" s="1519">
        <v>2108</v>
      </c>
      <c r="U208" s="1504">
        <v>0</v>
      </c>
      <c r="V208" s="1520">
        <f t="shared" si="78"/>
        <v>2108</v>
      </c>
      <c r="W208" s="1519">
        <v>2634</v>
      </c>
      <c r="X208" s="1504">
        <v>0</v>
      </c>
      <c r="Y208" s="1520">
        <f t="shared" si="63"/>
        <v>2634</v>
      </c>
      <c r="Z208" s="1519">
        <v>527</v>
      </c>
      <c r="AA208" s="1504">
        <v>0</v>
      </c>
      <c r="AB208" s="1520">
        <f t="shared" si="79"/>
        <v>527</v>
      </c>
      <c r="AC208" s="820">
        <v>0</v>
      </c>
      <c r="AD208" s="821">
        <v>0</v>
      </c>
      <c r="AE208" s="822">
        <f>AC208-AD208</f>
        <v>0</v>
      </c>
      <c r="AF208" s="820">
        <v>0</v>
      </c>
      <c r="AG208" s="821">
        <v>0</v>
      </c>
      <c r="AH208" s="822">
        <f>AF208-AG208</f>
        <v>0</v>
      </c>
      <c r="AI208" s="1503">
        <f t="shared" si="73"/>
        <v>5269</v>
      </c>
      <c r="AJ208" s="1504">
        <f t="shared" si="84"/>
        <v>0</v>
      </c>
      <c r="AK208" s="3912">
        <v>0</v>
      </c>
      <c r="AL208" s="1505">
        <f t="shared" si="83"/>
        <v>5269</v>
      </c>
      <c r="AM208" s="3494" t="s">
        <v>2977</v>
      </c>
      <c r="AN208" s="3401">
        <v>43089</v>
      </c>
      <c r="AO208" s="3402">
        <v>1201436</v>
      </c>
      <c r="AP208" s="2664" t="s">
        <v>5143</v>
      </c>
      <c r="AQ208" s="3495">
        <v>111.5</v>
      </c>
      <c r="AR208" s="1506">
        <f>ROUND($AQ208/$G208*V208,0)+1</f>
        <v>2118</v>
      </c>
      <c r="AS208" s="1507">
        <f t="shared" si="80"/>
        <v>2646</v>
      </c>
      <c r="AT208" s="1507">
        <f t="shared" si="75"/>
        <v>529</v>
      </c>
      <c r="AU208" s="849">
        <f>ROUND($AQ208/$G208*AE208,0)</f>
        <v>0</v>
      </c>
      <c r="AV208" s="849">
        <f>ROUND($AQ208/$G208*AH208,0)</f>
        <v>0</v>
      </c>
      <c r="AW208" s="2878">
        <f t="shared" si="81"/>
        <v>5293</v>
      </c>
      <c r="AX208" s="3146" t="s">
        <v>1728</v>
      </c>
      <c r="AY208" s="2006"/>
      <c r="AZ208" s="1726"/>
      <c r="BB208" s="267"/>
      <c r="BC208" s="4117">
        <f t="shared" si="76"/>
        <v>0</v>
      </c>
      <c r="BD208" s="4117">
        <f t="shared" si="82"/>
        <v>0</v>
      </c>
    </row>
    <row r="209" spans="1:57" ht="77.25" thickBot="1">
      <c r="A209" s="6011" t="s">
        <v>11140</v>
      </c>
      <c r="B209" s="2337" t="s">
        <v>4521</v>
      </c>
      <c r="C209" s="2501">
        <v>0</v>
      </c>
      <c r="D209" s="2502">
        <v>43039</v>
      </c>
      <c r="E209" s="3046" t="s">
        <v>6385</v>
      </c>
      <c r="F209" s="2503">
        <v>42979</v>
      </c>
      <c r="G209" s="2504">
        <v>111.5</v>
      </c>
      <c r="H209" s="2505" t="s">
        <v>5036</v>
      </c>
      <c r="I209" s="2343" t="s">
        <v>5043</v>
      </c>
      <c r="J209" s="2506" t="s">
        <v>4306</v>
      </c>
      <c r="K209" s="2507">
        <v>43769</v>
      </c>
      <c r="L209" s="2343" t="s">
        <v>5044</v>
      </c>
      <c r="M209" s="2506" t="s">
        <v>5045</v>
      </c>
      <c r="N209" s="2343" t="s">
        <v>5046</v>
      </c>
      <c r="O209" s="2505" t="s">
        <v>5047</v>
      </c>
      <c r="P209" s="2346"/>
      <c r="Q209" s="6097" t="s">
        <v>4878</v>
      </c>
      <c r="R209" s="2506" t="s">
        <v>1046</v>
      </c>
      <c r="S209" s="2508"/>
      <c r="T209" s="2348">
        <v>2315</v>
      </c>
      <c r="U209" s="2509">
        <v>0</v>
      </c>
      <c r="V209" s="2510">
        <f t="shared" si="78"/>
        <v>2315</v>
      </c>
      <c r="W209" s="2348">
        <v>2893</v>
      </c>
      <c r="X209" s="2509">
        <v>0</v>
      </c>
      <c r="Y209" s="2510">
        <f t="shared" si="63"/>
        <v>2893</v>
      </c>
      <c r="Z209" s="2348">
        <v>827</v>
      </c>
      <c r="AA209" s="2509">
        <v>0</v>
      </c>
      <c r="AB209" s="2510">
        <f t="shared" si="79"/>
        <v>827</v>
      </c>
      <c r="AC209" s="2351"/>
      <c r="AD209" s="2493"/>
      <c r="AE209" s="2494"/>
      <c r="AF209" s="2351"/>
      <c r="AG209" s="2493"/>
      <c r="AH209" s="2494"/>
      <c r="AI209" s="2354">
        <f t="shared" si="73"/>
        <v>6035</v>
      </c>
      <c r="AJ209" s="2509">
        <f t="shared" si="84"/>
        <v>0</v>
      </c>
      <c r="AK209" s="3911">
        <v>0</v>
      </c>
      <c r="AL209" s="2511">
        <f t="shared" si="83"/>
        <v>6035</v>
      </c>
      <c r="AM209" s="3496" t="s">
        <v>1061</v>
      </c>
      <c r="AN209" s="3509">
        <v>43089</v>
      </c>
      <c r="AO209" s="3510">
        <v>1201437</v>
      </c>
      <c r="AP209" s="3511" t="s">
        <v>5143</v>
      </c>
      <c r="AQ209" s="3512">
        <v>111.5</v>
      </c>
      <c r="AR209" s="2356">
        <f t="shared" ref="AR209:AR233" si="85">ROUND($AQ209/$G209*V209,0)</f>
        <v>2315</v>
      </c>
      <c r="AS209" s="2512">
        <f t="shared" si="80"/>
        <v>2893</v>
      </c>
      <c r="AT209" s="2512">
        <f t="shared" si="75"/>
        <v>827</v>
      </c>
      <c r="AU209" s="2495"/>
      <c r="AV209" s="2495"/>
      <c r="AW209" s="2879">
        <f t="shared" si="81"/>
        <v>6035</v>
      </c>
      <c r="AX209" s="2896"/>
      <c r="AY209" s="1498" t="s">
        <v>5147</v>
      </c>
      <c r="AZ209" s="2118">
        <f>SUM(AW199:AW209)</f>
        <v>247514</v>
      </c>
      <c r="BA209" s="1727">
        <f>AZ209</f>
        <v>247514</v>
      </c>
      <c r="BB209" s="267"/>
      <c r="BC209" s="4117">
        <f t="shared" si="76"/>
        <v>0</v>
      </c>
      <c r="BD209" s="4117">
        <f t="shared" si="82"/>
        <v>0</v>
      </c>
    </row>
    <row r="210" spans="1:57" ht="76.5">
      <c r="A210" s="5967" t="s">
        <v>11140</v>
      </c>
      <c r="B210" s="827" t="s">
        <v>5034</v>
      </c>
      <c r="C210" s="828">
        <v>0</v>
      </c>
      <c r="D210" s="829">
        <v>42922</v>
      </c>
      <c r="E210" s="829" t="s">
        <v>6385</v>
      </c>
      <c r="F210" s="1865" t="s">
        <v>5026</v>
      </c>
      <c r="G210" s="2359">
        <v>111</v>
      </c>
      <c r="H210" s="832" t="s">
        <v>4722</v>
      </c>
      <c r="I210" s="833" t="s">
        <v>4723</v>
      </c>
      <c r="J210" s="834" t="s">
        <v>4306</v>
      </c>
      <c r="K210" s="835">
        <v>43652</v>
      </c>
      <c r="L210" s="833" t="s">
        <v>4724</v>
      </c>
      <c r="M210" s="834" t="s">
        <v>4725</v>
      </c>
      <c r="N210" s="833" t="s">
        <v>4726</v>
      </c>
      <c r="O210" s="832" t="s">
        <v>4727</v>
      </c>
      <c r="P210" s="836"/>
      <c r="Q210" s="6096" t="s">
        <v>4332</v>
      </c>
      <c r="R210" s="834" t="s">
        <v>1046</v>
      </c>
      <c r="S210" s="2500" t="s">
        <v>5028</v>
      </c>
      <c r="T210" s="838">
        <v>385</v>
      </c>
      <c r="U210" s="839">
        <v>0</v>
      </c>
      <c r="V210" s="840">
        <f t="shared" si="78"/>
        <v>385</v>
      </c>
      <c r="W210" s="838">
        <v>480</v>
      </c>
      <c r="X210" s="839">
        <v>0</v>
      </c>
      <c r="Y210" s="840">
        <f t="shared" si="63"/>
        <v>480</v>
      </c>
      <c r="Z210" s="838">
        <v>137</v>
      </c>
      <c r="AA210" s="839">
        <v>0</v>
      </c>
      <c r="AB210" s="840">
        <f t="shared" si="79"/>
        <v>137</v>
      </c>
      <c r="AC210" s="823"/>
      <c r="AD210" s="824"/>
      <c r="AE210" s="825"/>
      <c r="AF210" s="823"/>
      <c r="AG210" s="824"/>
      <c r="AH210" s="825"/>
      <c r="AI210" s="841">
        <f t="shared" si="73"/>
        <v>1002</v>
      </c>
      <c r="AJ210" s="839">
        <f t="shared" si="84"/>
        <v>0</v>
      </c>
      <c r="AK210" s="3906">
        <v>0</v>
      </c>
      <c r="AL210" s="869">
        <f t="shared" si="83"/>
        <v>1002</v>
      </c>
      <c r="AM210" s="3369" t="s">
        <v>1061</v>
      </c>
      <c r="AN210" s="3360" t="s">
        <v>5203</v>
      </c>
      <c r="AO210" s="3361">
        <v>1201624</v>
      </c>
      <c r="AP210" s="3362" t="s">
        <v>5160</v>
      </c>
      <c r="AQ210" s="3500">
        <v>111.5</v>
      </c>
      <c r="AR210" s="846">
        <f t="shared" si="85"/>
        <v>387</v>
      </c>
      <c r="AS210" s="847">
        <f t="shared" si="80"/>
        <v>482</v>
      </c>
      <c r="AT210" s="847">
        <f t="shared" si="75"/>
        <v>138</v>
      </c>
      <c r="AU210" s="848"/>
      <c r="AV210" s="848"/>
      <c r="AW210" s="2872">
        <f t="shared" si="81"/>
        <v>1007</v>
      </c>
      <c r="AX210" s="2891"/>
      <c r="BB210" s="267"/>
      <c r="BC210" s="4117">
        <f t="shared" si="76"/>
        <v>0</v>
      </c>
      <c r="BD210" s="4117">
        <f t="shared" si="82"/>
        <v>0</v>
      </c>
    </row>
    <row r="211" spans="1:57" ht="76.5">
      <c r="A211" s="2418" t="s">
        <v>11135</v>
      </c>
      <c r="B211" s="338" t="s">
        <v>5161</v>
      </c>
      <c r="C211" s="321">
        <v>0</v>
      </c>
      <c r="D211" s="323">
        <v>42709</v>
      </c>
      <c r="E211" s="3012" t="s">
        <v>6385</v>
      </c>
      <c r="F211" s="324" t="s">
        <v>4154</v>
      </c>
      <c r="G211" s="2332">
        <v>1.0111000000000001</v>
      </c>
      <c r="H211" s="332" t="s">
        <v>4205</v>
      </c>
      <c r="I211" s="339" t="s">
        <v>1433</v>
      </c>
      <c r="J211" s="322" t="s">
        <v>1434</v>
      </c>
      <c r="K211" s="340">
        <v>44170</v>
      </c>
      <c r="L211" s="339" t="s">
        <v>4206</v>
      </c>
      <c r="M211" s="322" t="s">
        <v>4207</v>
      </c>
      <c r="N211" s="339" t="s">
        <v>4208</v>
      </c>
      <c r="O211" s="332" t="s">
        <v>4209</v>
      </c>
      <c r="P211" s="345" t="s">
        <v>4210</v>
      </c>
      <c r="Q211" s="322" t="s">
        <v>5225</v>
      </c>
      <c r="R211" s="322" t="s">
        <v>4211</v>
      </c>
      <c r="S211" s="346"/>
      <c r="T211" s="347">
        <v>50608</v>
      </c>
      <c r="U211" s="326">
        <v>0</v>
      </c>
      <c r="V211" s="348">
        <f t="shared" si="78"/>
        <v>50608</v>
      </c>
      <c r="W211" s="347">
        <v>1291</v>
      </c>
      <c r="X211" s="326">
        <v>0</v>
      </c>
      <c r="Y211" s="348">
        <f t="shared" ref="Y211:Y274" si="86">W211-X211</f>
        <v>1291</v>
      </c>
      <c r="Z211" s="347">
        <v>30886</v>
      </c>
      <c r="AA211" s="326">
        <v>0</v>
      </c>
      <c r="AB211" s="348">
        <f t="shared" si="79"/>
        <v>30886</v>
      </c>
      <c r="AC211" s="820"/>
      <c r="AD211" s="821"/>
      <c r="AE211" s="822"/>
      <c r="AF211" s="820"/>
      <c r="AG211" s="821"/>
      <c r="AH211" s="822"/>
      <c r="AI211" s="482">
        <f t="shared" si="73"/>
        <v>82785</v>
      </c>
      <c r="AJ211" s="326">
        <f t="shared" si="84"/>
        <v>0</v>
      </c>
      <c r="AK211" s="3899">
        <v>0</v>
      </c>
      <c r="AL211" s="349">
        <f t="shared" si="83"/>
        <v>82785</v>
      </c>
      <c r="AM211" s="2002" t="s">
        <v>1061</v>
      </c>
      <c r="AN211" s="3357">
        <v>43105</v>
      </c>
      <c r="AO211" s="695">
        <v>1201639</v>
      </c>
      <c r="AP211" s="2722" t="s">
        <v>4933</v>
      </c>
      <c r="AQ211" s="3501">
        <v>1.0119899999999999</v>
      </c>
      <c r="AR211" s="333">
        <f t="shared" si="85"/>
        <v>50653</v>
      </c>
      <c r="AS211" s="330">
        <f t="shared" si="80"/>
        <v>1292</v>
      </c>
      <c r="AT211" s="330">
        <f t="shared" si="75"/>
        <v>30913</v>
      </c>
      <c r="AU211" s="849"/>
      <c r="AV211" s="849"/>
      <c r="AW211" s="2870">
        <f t="shared" si="81"/>
        <v>82858</v>
      </c>
      <c r="AX211" s="3140"/>
      <c r="BB211" s="267"/>
      <c r="BC211" s="4117">
        <f t="shared" si="76"/>
        <v>0</v>
      </c>
      <c r="BD211" s="4117">
        <f t="shared" si="82"/>
        <v>0</v>
      </c>
    </row>
    <row r="212" spans="1:57" ht="76.5">
      <c r="A212" s="5964" t="s">
        <v>11140</v>
      </c>
      <c r="B212" s="338" t="s">
        <v>3949</v>
      </c>
      <c r="C212" s="321">
        <v>0</v>
      </c>
      <c r="D212" s="323">
        <v>42878</v>
      </c>
      <c r="E212" s="3012" t="s">
        <v>6385</v>
      </c>
      <c r="F212" s="1203">
        <v>42795</v>
      </c>
      <c r="G212" s="2404">
        <v>110.5</v>
      </c>
      <c r="H212" s="332" t="s">
        <v>4594</v>
      </c>
      <c r="I212" s="339" t="s">
        <v>4595</v>
      </c>
      <c r="J212" s="322" t="s">
        <v>4306</v>
      </c>
      <c r="K212" s="340">
        <v>43608</v>
      </c>
      <c r="L212" s="339" t="s">
        <v>4596</v>
      </c>
      <c r="M212" s="322" t="s">
        <v>4597</v>
      </c>
      <c r="N212" s="339" t="s">
        <v>4598</v>
      </c>
      <c r="O212" s="332" t="s">
        <v>4600</v>
      </c>
      <c r="P212" s="345"/>
      <c r="Q212" s="6094" t="s">
        <v>4332</v>
      </c>
      <c r="R212" s="322" t="s">
        <v>1046</v>
      </c>
      <c r="S212" s="346"/>
      <c r="T212" s="347">
        <v>2294</v>
      </c>
      <c r="U212" s="326">
        <v>0</v>
      </c>
      <c r="V212" s="348">
        <f t="shared" si="78"/>
        <v>2294</v>
      </c>
      <c r="W212" s="347">
        <v>2868</v>
      </c>
      <c r="X212" s="326">
        <v>0</v>
      </c>
      <c r="Y212" s="348">
        <f t="shared" si="86"/>
        <v>2868</v>
      </c>
      <c r="Z212" s="347">
        <v>819</v>
      </c>
      <c r="AA212" s="326">
        <v>0</v>
      </c>
      <c r="AB212" s="348">
        <f t="shared" si="79"/>
        <v>819</v>
      </c>
      <c r="AC212" s="820"/>
      <c r="AD212" s="821"/>
      <c r="AE212" s="822"/>
      <c r="AF212" s="820"/>
      <c r="AG212" s="821"/>
      <c r="AH212" s="822"/>
      <c r="AI212" s="482">
        <f t="shared" si="73"/>
        <v>5981</v>
      </c>
      <c r="AJ212" s="326">
        <f t="shared" si="84"/>
        <v>0</v>
      </c>
      <c r="AK212" s="3899">
        <v>0</v>
      </c>
      <c r="AL212" s="349">
        <f t="shared" si="83"/>
        <v>5981</v>
      </c>
      <c r="AM212" s="2002" t="s">
        <v>1061</v>
      </c>
      <c r="AN212" s="3357">
        <v>43105</v>
      </c>
      <c r="AO212" s="695">
        <v>1201638</v>
      </c>
      <c r="AP212" s="2722" t="s">
        <v>5160</v>
      </c>
      <c r="AQ212" s="3501">
        <v>111.5</v>
      </c>
      <c r="AR212" s="333">
        <f t="shared" si="85"/>
        <v>2315</v>
      </c>
      <c r="AS212" s="330">
        <f t="shared" si="80"/>
        <v>2894</v>
      </c>
      <c r="AT212" s="330">
        <f t="shared" si="75"/>
        <v>826</v>
      </c>
      <c r="AU212" s="849"/>
      <c r="AV212" s="849"/>
      <c r="AW212" s="2870">
        <f t="shared" si="81"/>
        <v>6035</v>
      </c>
      <c r="AX212" s="3140"/>
      <c r="BB212" s="267"/>
      <c r="BC212" s="4117">
        <f t="shared" si="76"/>
        <v>0</v>
      </c>
      <c r="BD212" s="4117">
        <f t="shared" si="82"/>
        <v>0</v>
      </c>
    </row>
    <row r="213" spans="1:57" ht="63.75">
      <c r="A213" s="2418" t="s">
        <v>11135</v>
      </c>
      <c r="B213" s="338" t="s">
        <v>4522</v>
      </c>
      <c r="C213" s="321">
        <v>0</v>
      </c>
      <c r="D213" s="323">
        <v>43047</v>
      </c>
      <c r="E213" s="3012" t="s">
        <v>6385</v>
      </c>
      <c r="F213" s="324" t="s">
        <v>4933</v>
      </c>
      <c r="G213" s="2332">
        <v>1.0119899999999999</v>
      </c>
      <c r="H213" s="332" t="s">
        <v>5063</v>
      </c>
      <c r="I213" s="339" t="s">
        <v>1433</v>
      </c>
      <c r="J213" s="322" t="s">
        <v>1434</v>
      </c>
      <c r="K213" s="340">
        <v>44508</v>
      </c>
      <c r="L213" s="339" t="s">
        <v>5064</v>
      </c>
      <c r="M213" s="322" t="s">
        <v>303</v>
      </c>
      <c r="N213" s="339" t="s">
        <v>5065</v>
      </c>
      <c r="O213" s="332" t="s">
        <v>5066</v>
      </c>
      <c r="P213" s="345" t="s">
        <v>5068</v>
      </c>
      <c r="Q213" s="322" t="s">
        <v>5069</v>
      </c>
      <c r="R213" s="322" t="s">
        <v>5067</v>
      </c>
      <c r="S213" s="346"/>
      <c r="T213" s="347">
        <v>4211</v>
      </c>
      <c r="U213" s="326">
        <v>0</v>
      </c>
      <c r="V213" s="348">
        <f t="shared" si="78"/>
        <v>4211</v>
      </c>
      <c r="W213" s="347">
        <v>743</v>
      </c>
      <c r="X213" s="326">
        <v>0</v>
      </c>
      <c r="Y213" s="348">
        <f t="shared" si="86"/>
        <v>743</v>
      </c>
      <c r="Z213" s="347">
        <v>0</v>
      </c>
      <c r="AA213" s="326">
        <v>0</v>
      </c>
      <c r="AB213" s="348">
        <f t="shared" si="79"/>
        <v>0</v>
      </c>
      <c r="AC213" s="820"/>
      <c r="AD213" s="821"/>
      <c r="AE213" s="822"/>
      <c r="AF213" s="820"/>
      <c r="AG213" s="821"/>
      <c r="AH213" s="822"/>
      <c r="AI213" s="482">
        <f t="shared" si="73"/>
        <v>4954</v>
      </c>
      <c r="AJ213" s="326">
        <f t="shared" si="84"/>
        <v>0</v>
      </c>
      <c r="AK213" s="3899">
        <v>0</v>
      </c>
      <c r="AL213" s="349">
        <f t="shared" si="83"/>
        <v>4954</v>
      </c>
      <c r="AM213" s="2002" t="s">
        <v>1061</v>
      </c>
      <c r="AN213" s="3357">
        <v>43105</v>
      </c>
      <c r="AO213" s="695">
        <v>1201637</v>
      </c>
      <c r="AP213" s="2722" t="s">
        <v>4933</v>
      </c>
      <c r="AQ213" s="3501">
        <v>1.0119899999999999</v>
      </c>
      <c r="AR213" s="333">
        <f t="shared" si="85"/>
        <v>4211</v>
      </c>
      <c r="AS213" s="330">
        <f t="shared" si="80"/>
        <v>743</v>
      </c>
      <c r="AT213" s="330">
        <f t="shared" si="75"/>
        <v>0</v>
      </c>
      <c r="AU213" s="849"/>
      <c r="AV213" s="849"/>
      <c r="AW213" s="2870">
        <f t="shared" si="81"/>
        <v>4954</v>
      </c>
      <c r="AX213" s="3140"/>
      <c r="BB213" s="267"/>
      <c r="BC213" s="4117">
        <f t="shared" si="76"/>
        <v>0</v>
      </c>
      <c r="BD213" s="4117">
        <f t="shared" si="82"/>
        <v>0</v>
      </c>
    </row>
    <row r="214" spans="1:57" ht="76.5">
      <c r="A214" s="5964" t="s">
        <v>11140</v>
      </c>
      <c r="B214" s="338" t="s">
        <v>5223</v>
      </c>
      <c r="C214" s="321">
        <v>1</v>
      </c>
      <c r="D214" s="323">
        <v>43102</v>
      </c>
      <c r="E214" s="3012" t="s">
        <v>6385</v>
      </c>
      <c r="F214" s="2513">
        <v>42979</v>
      </c>
      <c r="G214" s="2514">
        <v>111.5</v>
      </c>
      <c r="H214" s="332" t="s">
        <v>5191</v>
      </c>
      <c r="I214" s="339" t="s">
        <v>1433</v>
      </c>
      <c r="J214" s="322" t="s">
        <v>1434</v>
      </c>
      <c r="K214" s="340">
        <v>44153</v>
      </c>
      <c r="L214" s="339" t="s">
        <v>3991</v>
      </c>
      <c r="M214" s="322" t="s">
        <v>4163</v>
      </c>
      <c r="N214" s="339" t="s">
        <v>4164</v>
      </c>
      <c r="O214" s="332" t="s">
        <v>4165</v>
      </c>
      <c r="P214" s="345" t="s">
        <v>5222</v>
      </c>
      <c r="Q214" s="322" t="s">
        <v>7789</v>
      </c>
      <c r="R214" s="322" t="s">
        <v>4166</v>
      </c>
      <c r="S214" s="761" t="s">
        <v>5192</v>
      </c>
      <c r="T214" s="347">
        <v>11486</v>
      </c>
      <c r="U214" s="326">
        <v>15475</v>
      </c>
      <c r="V214" s="348">
        <f t="shared" si="78"/>
        <v>-3989</v>
      </c>
      <c r="W214" s="347">
        <v>5773</v>
      </c>
      <c r="X214" s="326">
        <v>6416</v>
      </c>
      <c r="Y214" s="348">
        <f t="shared" si="86"/>
        <v>-643</v>
      </c>
      <c r="Z214" s="347">
        <v>14382</v>
      </c>
      <c r="AA214" s="326">
        <v>14807</v>
      </c>
      <c r="AB214" s="348">
        <f t="shared" si="79"/>
        <v>-425</v>
      </c>
      <c r="AC214" s="820"/>
      <c r="AD214" s="821"/>
      <c r="AE214" s="822"/>
      <c r="AF214" s="820"/>
      <c r="AG214" s="821"/>
      <c r="AH214" s="822"/>
      <c r="AI214" s="482">
        <v>0</v>
      </c>
      <c r="AJ214" s="326">
        <f t="shared" si="84"/>
        <v>36698</v>
      </c>
      <c r="AK214" s="3899">
        <v>0</v>
      </c>
      <c r="AL214" s="2499">
        <f t="shared" si="83"/>
        <v>-5057</v>
      </c>
      <c r="AM214" s="1298" t="s">
        <v>5220</v>
      </c>
      <c r="AN214" s="3357">
        <v>43110</v>
      </c>
      <c r="AO214" s="695" t="s">
        <v>5221</v>
      </c>
      <c r="AP214" s="3222">
        <v>42979</v>
      </c>
      <c r="AQ214" s="3513">
        <v>111.5</v>
      </c>
      <c r="AR214" s="333">
        <f t="shared" si="85"/>
        <v>-3989</v>
      </c>
      <c r="AS214" s="330">
        <f t="shared" si="80"/>
        <v>-643</v>
      </c>
      <c r="AT214" s="330">
        <f t="shared" si="75"/>
        <v>-425</v>
      </c>
      <c r="AU214" s="849"/>
      <c r="AV214" s="849"/>
      <c r="AW214" s="2870">
        <f t="shared" si="81"/>
        <v>-5057</v>
      </c>
      <c r="AX214" s="3145" t="s">
        <v>7298</v>
      </c>
      <c r="BA214" s="1727"/>
      <c r="BB214" s="1222"/>
      <c r="BC214" s="4117">
        <v>0</v>
      </c>
      <c r="BD214" s="4117">
        <f t="shared" si="82"/>
        <v>0</v>
      </c>
      <c r="BE214" s="4111">
        <f>AW214</f>
        <v>-5057</v>
      </c>
    </row>
    <row r="215" spans="1:57" ht="51">
      <c r="A215" s="5964" t="s">
        <v>11140</v>
      </c>
      <c r="B215" s="338">
        <v>43</v>
      </c>
      <c r="C215" s="321" t="s">
        <v>1432</v>
      </c>
      <c r="D215" s="323" t="s">
        <v>5200</v>
      </c>
      <c r="E215" s="3012" t="s">
        <v>6391</v>
      </c>
      <c r="F215" s="1203">
        <v>40695</v>
      </c>
      <c r="G215" s="2404">
        <v>99.6</v>
      </c>
      <c r="H215" s="332" t="s">
        <v>5201</v>
      </c>
      <c r="I215" s="339" t="s">
        <v>1433</v>
      </c>
      <c r="J215" s="322" t="s">
        <v>1434</v>
      </c>
      <c r="K215" s="340" t="s">
        <v>4952</v>
      </c>
      <c r="L215" s="339" t="s">
        <v>1811</v>
      </c>
      <c r="M215" s="322" t="s">
        <v>1810</v>
      </c>
      <c r="N215" s="339" t="s">
        <v>1460</v>
      </c>
      <c r="O215" s="332" t="s">
        <v>1633</v>
      </c>
      <c r="P215" s="345"/>
      <c r="Q215" s="322" t="s">
        <v>1632</v>
      </c>
      <c r="R215" s="322" t="s">
        <v>1444</v>
      </c>
      <c r="S215" s="346" t="s">
        <v>1461</v>
      </c>
      <c r="T215" s="347">
        <v>12456</v>
      </c>
      <c r="U215" s="326">
        <v>12456</v>
      </c>
      <c r="V215" s="348">
        <f t="shared" si="78"/>
        <v>0</v>
      </c>
      <c r="W215" s="347">
        <v>20760</v>
      </c>
      <c r="X215" s="326">
        <v>0</v>
      </c>
      <c r="Y215" s="348">
        <f t="shared" si="86"/>
        <v>20760</v>
      </c>
      <c r="Z215" s="347">
        <v>8304</v>
      </c>
      <c r="AA215" s="326">
        <v>0</v>
      </c>
      <c r="AB215" s="348">
        <f t="shared" si="79"/>
        <v>8304</v>
      </c>
      <c r="AC215" s="820">
        <v>9792</v>
      </c>
      <c r="AD215" s="821">
        <v>0</v>
      </c>
      <c r="AE215" s="822">
        <f>AC215-AD215</f>
        <v>9792</v>
      </c>
      <c r="AF215" s="820">
        <v>14688</v>
      </c>
      <c r="AG215" s="821">
        <v>0</v>
      </c>
      <c r="AH215" s="822">
        <f>AF215-AG215</f>
        <v>14688</v>
      </c>
      <c r="AI215" s="482">
        <f t="shared" ref="AI215:AI246" si="87">T215+W215+Z215+AC215+AF215</f>
        <v>66000</v>
      </c>
      <c r="AJ215" s="326">
        <v>0</v>
      </c>
      <c r="AK215" s="326">
        <f>U215+X215+AA215+AD215+AG215</f>
        <v>12456</v>
      </c>
      <c r="AL215" s="349">
        <f t="shared" si="83"/>
        <v>53544</v>
      </c>
      <c r="AM215" s="3356" t="s">
        <v>2519</v>
      </c>
      <c r="AN215" s="3357">
        <v>43115</v>
      </c>
      <c r="AO215" s="695">
        <v>1201829</v>
      </c>
      <c r="AP215" s="2722" t="s">
        <v>5143</v>
      </c>
      <c r="AQ215" s="3501">
        <v>111.5</v>
      </c>
      <c r="AR215" s="333">
        <f t="shared" si="85"/>
        <v>0</v>
      </c>
      <c r="AS215" s="330">
        <f t="shared" si="80"/>
        <v>23240</v>
      </c>
      <c r="AT215" s="330">
        <f t="shared" si="75"/>
        <v>9296</v>
      </c>
      <c r="AU215" s="849">
        <v>0</v>
      </c>
      <c r="AV215" s="849">
        <v>0</v>
      </c>
      <c r="AW215" s="2870">
        <f t="shared" si="81"/>
        <v>32536</v>
      </c>
      <c r="AX215" s="3140" t="s">
        <v>1728</v>
      </c>
      <c r="BB215" s="267"/>
      <c r="BC215" s="4117">
        <f t="shared" ref="BC215:BC278" si="88">ROUND($AJ215*$AQ215/$G215,0)</f>
        <v>0</v>
      </c>
      <c r="BD215" s="4117">
        <f t="shared" si="82"/>
        <v>13944</v>
      </c>
    </row>
    <row r="216" spans="1:57" ht="51">
      <c r="A216" s="2418" t="s">
        <v>11135</v>
      </c>
      <c r="B216" s="338" t="s">
        <v>5209</v>
      </c>
      <c r="C216" s="321">
        <v>0</v>
      </c>
      <c r="D216" s="323">
        <v>42705</v>
      </c>
      <c r="E216" s="3012" t="s">
        <v>6385</v>
      </c>
      <c r="F216" s="324" t="s">
        <v>4154</v>
      </c>
      <c r="G216" s="2332">
        <v>1.0111000000000001</v>
      </c>
      <c r="H216" s="332" t="s">
        <v>4199</v>
      </c>
      <c r="I216" s="339" t="s">
        <v>1436</v>
      </c>
      <c r="J216" s="322" t="s">
        <v>1437</v>
      </c>
      <c r="K216" s="340">
        <v>44166</v>
      </c>
      <c r="L216" s="339" t="s">
        <v>4200</v>
      </c>
      <c r="M216" s="322" t="s">
        <v>2323</v>
      </c>
      <c r="N216" s="339" t="s">
        <v>4201</v>
      </c>
      <c r="O216" s="332" t="s">
        <v>4202</v>
      </c>
      <c r="P216" s="345"/>
      <c r="Q216" s="322" t="s">
        <v>4203</v>
      </c>
      <c r="R216" s="322" t="s">
        <v>4204</v>
      </c>
      <c r="S216" s="346"/>
      <c r="T216" s="347">
        <v>6794</v>
      </c>
      <c r="U216" s="326">
        <v>0</v>
      </c>
      <c r="V216" s="348">
        <f t="shared" si="78"/>
        <v>6794</v>
      </c>
      <c r="W216" s="347">
        <v>8493</v>
      </c>
      <c r="X216" s="326">
        <v>0</v>
      </c>
      <c r="Y216" s="348">
        <f t="shared" si="86"/>
        <v>8493</v>
      </c>
      <c r="Z216" s="347">
        <v>1699</v>
      </c>
      <c r="AA216" s="326">
        <v>0</v>
      </c>
      <c r="AB216" s="348">
        <f t="shared" si="79"/>
        <v>1699</v>
      </c>
      <c r="AC216" s="820"/>
      <c r="AD216" s="821"/>
      <c r="AE216" s="822"/>
      <c r="AF216" s="820"/>
      <c r="AG216" s="821"/>
      <c r="AH216" s="822"/>
      <c r="AI216" s="482">
        <f t="shared" si="87"/>
        <v>16986</v>
      </c>
      <c r="AJ216" s="326">
        <f t="shared" ref="AJ216:AJ247" si="89">U216+X216+AA216+AD216+AG216</f>
        <v>0</v>
      </c>
      <c r="AK216" s="3899">
        <v>0</v>
      </c>
      <c r="AL216" s="349">
        <f t="shared" si="83"/>
        <v>16986</v>
      </c>
      <c r="AM216" s="2002" t="s">
        <v>1061</v>
      </c>
      <c r="AN216" s="3357">
        <v>43119</v>
      </c>
      <c r="AO216" s="695">
        <v>1202026</v>
      </c>
      <c r="AP216" s="2722" t="s">
        <v>4933</v>
      </c>
      <c r="AQ216" s="3501">
        <v>1.0119899999999999</v>
      </c>
      <c r="AR216" s="333">
        <f t="shared" si="85"/>
        <v>6800</v>
      </c>
      <c r="AS216" s="330">
        <f t="shared" si="80"/>
        <v>8500</v>
      </c>
      <c r="AT216" s="330">
        <f t="shared" ref="AT216:AT233" si="90">ROUND($AQ216/$G216*AB216,0)</f>
        <v>1700</v>
      </c>
      <c r="AU216" s="849"/>
      <c r="AV216" s="849"/>
      <c r="AW216" s="2870">
        <f t="shared" si="81"/>
        <v>17000</v>
      </c>
      <c r="AX216" s="3140"/>
      <c r="BB216" s="267"/>
      <c r="BC216" s="4117">
        <f t="shared" si="88"/>
        <v>0</v>
      </c>
      <c r="BD216" s="4117">
        <f t="shared" si="82"/>
        <v>0</v>
      </c>
    </row>
    <row r="217" spans="1:57" ht="39" thickBot="1">
      <c r="A217" s="6012" t="s">
        <v>11140</v>
      </c>
      <c r="B217" s="2442">
        <v>57</v>
      </c>
      <c r="C217" s="2515" t="s">
        <v>1432</v>
      </c>
      <c r="D217" s="2516">
        <v>40813</v>
      </c>
      <c r="E217" s="2992" t="s">
        <v>6390</v>
      </c>
      <c r="F217" s="2517">
        <v>40695</v>
      </c>
      <c r="G217" s="2518">
        <v>99.6</v>
      </c>
      <c r="H217" s="2519" t="s">
        <v>3618</v>
      </c>
      <c r="I217" s="2446" t="s">
        <v>1436</v>
      </c>
      <c r="J217" s="2520" t="s">
        <v>1437</v>
      </c>
      <c r="K217" s="2521" t="s">
        <v>3619</v>
      </c>
      <c r="L217" s="2446" t="s">
        <v>1807</v>
      </c>
      <c r="M217" s="2520" t="s">
        <v>1799</v>
      </c>
      <c r="N217" s="2446" t="s">
        <v>1462</v>
      </c>
      <c r="O217" s="2519" t="s">
        <v>1634</v>
      </c>
      <c r="P217" s="2449"/>
      <c r="Q217" s="2520" t="s">
        <v>1635</v>
      </c>
      <c r="R217" s="2520" t="s">
        <v>1435</v>
      </c>
      <c r="S217" s="2522"/>
      <c r="T217" s="2451">
        <v>29052</v>
      </c>
      <c r="U217" s="2523">
        <v>0</v>
      </c>
      <c r="V217" s="2524">
        <f t="shared" si="78"/>
        <v>29052</v>
      </c>
      <c r="W217" s="2451">
        <v>48420</v>
      </c>
      <c r="X217" s="2523">
        <v>0</v>
      </c>
      <c r="Y217" s="2524">
        <f t="shared" si="86"/>
        <v>48420</v>
      </c>
      <c r="Z217" s="2451">
        <v>19368</v>
      </c>
      <c r="AA217" s="2523">
        <v>0</v>
      </c>
      <c r="AB217" s="2524">
        <f t="shared" si="79"/>
        <v>19368</v>
      </c>
      <c r="AC217" s="2351">
        <v>58464</v>
      </c>
      <c r="AD217" s="2525">
        <v>0</v>
      </c>
      <c r="AE217" s="2526">
        <f>AC217-AD217</f>
        <v>58464</v>
      </c>
      <c r="AF217" s="2351">
        <v>87696</v>
      </c>
      <c r="AG217" s="2525">
        <v>0</v>
      </c>
      <c r="AH217" s="2526">
        <f>AF217-AG217</f>
        <v>87696</v>
      </c>
      <c r="AI217" s="2456">
        <f t="shared" si="87"/>
        <v>243000</v>
      </c>
      <c r="AJ217" s="2523">
        <f t="shared" si="89"/>
        <v>0</v>
      </c>
      <c r="AK217" s="3903">
        <v>0</v>
      </c>
      <c r="AL217" s="2527">
        <f t="shared" si="83"/>
        <v>243000</v>
      </c>
      <c r="AM217" s="3514" t="s">
        <v>5231</v>
      </c>
      <c r="AN217" s="3515">
        <v>43119</v>
      </c>
      <c r="AO217" s="3516">
        <v>1202030</v>
      </c>
      <c r="AP217" s="3517" t="s">
        <v>5160</v>
      </c>
      <c r="AQ217" s="3518">
        <v>111.5</v>
      </c>
      <c r="AR217" s="2458">
        <f t="shared" si="85"/>
        <v>32523</v>
      </c>
      <c r="AS217" s="2528">
        <f t="shared" si="80"/>
        <v>54205</v>
      </c>
      <c r="AT217" s="2528">
        <f t="shared" si="90"/>
        <v>21682</v>
      </c>
      <c r="AU217" s="2529"/>
      <c r="AV217" s="2529"/>
      <c r="AW217" s="2869">
        <f t="shared" si="81"/>
        <v>108410</v>
      </c>
      <c r="AX217" s="2890" t="s">
        <v>1728</v>
      </c>
      <c r="AY217" s="764" t="s">
        <v>5202</v>
      </c>
      <c r="AZ217" s="1662">
        <f>SUM(AW210:AW217)</f>
        <v>247743</v>
      </c>
      <c r="BA217" s="1727">
        <f>AZ217</f>
        <v>247743</v>
      </c>
      <c r="BB217" s="267"/>
      <c r="BC217" s="4117">
        <f t="shared" si="88"/>
        <v>0</v>
      </c>
      <c r="BD217" s="4117">
        <f t="shared" si="82"/>
        <v>0</v>
      </c>
    </row>
    <row r="218" spans="1:57" ht="76.5">
      <c r="A218" s="5978" t="s">
        <v>11140</v>
      </c>
      <c r="B218" s="1538" t="s">
        <v>5320</v>
      </c>
      <c r="C218" s="1509">
        <v>0</v>
      </c>
      <c r="D218" s="1510">
        <v>41677</v>
      </c>
      <c r="E218" s="3047" t="s">
        <v>6389</v>
      </c>
      <c r="F218" s="2139">
        <v>41609</v>
      </c>
      <c r="G218" s="2334">
        <v>104.6</v>
      </c>
      <c r="H218" s="1513" t="s">
        <v>1946</v>
      </c>
      <c r="I218" s="1514" t="s">
        <v>1433</v>
      </c>
      <c r="J218" s="1515" t="s">
        <v>1434</v>
      </c>
      <c r="K218" s="1516" t="s">
        <v>3776</v>
      </c>
      <c r="L218" s="1514" t="s">
        <v>1765</v>
      </c>
      <c r="M218" s="1515" t="s">
        <v>1810</v>
      </c>
      <c r="N218" s="1514" t="s">
        <v>1766</v>
      </c>
      <c r="O218" s="1513" t="s">
        <v>1767</v>
      </c>
      <c r="P218" s="1517"/>
      <c r="Q218" s="1515" t="s">
        <v>1768</v>
      </c>
      <c r="R218" s="1515" t="s">
        <v>5270</v>
      </c>
      <c r="S218" s="1518"/>
      <c r="T218" s="1519">
        <v>4965</v>
      </c>
      <c r="U218" s="1504">
        <v>0</v>
      </c>
      <c r="V218" s="1520">
        <f t="shared" si="78"/>
        <v>4965</v>
      </c>
      <c r="W218" s="1519">
        <v>6206</v>
      </c>
      <c r="X218" s="1504">
        <v>0</v>
      </c>
      <c r="Y218" s="1520">
        <f t="shared" si="86"/>
        <v>6206</v>
      </c>
      <c r="Z218" s="1519">
        <v>1241</v>
      </c>
      <c r="AA218" s="1504">
        <v>0</v>
      </c>
      <c r="AB218" s="1520">
        <f t="shared" si="79"/>
        <v>1241</v>
      </c>
      <c r="AC218" s="820">
        <v>0</v>
      </c>
      <c r="AD218" s="821">
        <v>0</v>
      </c>
      <c r="AE218" s="822">
        <f>AC218-AD218</f>
        <v>0</v>
      </c>
      <c r="AF218" s="820">
        <v>0</v>
      </c>
      <c r="AG218" s="821">
        <v>0</v>
      </c>
      <c r="AH218" s="822">
        <f>AF218-AG218</f>
        <v>0</v>
      </c>
      <c r="AI218" s="1503">
        <f t="shared" si="87"/>
        <v>12412</v>
      </c>
      <c r="AJ218" s="1504">
        <f t="shared" si="89"/>
        <v>0</v>
      </c>
      <c r="AK218" s="3912">
        <v>0</v>
      </c>
      <c r="AL218" s="1505">
        <f t="shared" si="83"/>
        <v>12412</v>
      </c>
      <c r="AM218" s="1508" t="s">
        <v>1061</v>
      </c>
      <c r="AN218" s="3401">
        <v>43157</v>
      </c>
      <c r="AO218" s="3402">
        <v>1204500</v>
      </c>
      <c r="AP218" s="2664" t="s">
        <v>5271</v>
      </c>
      <c r="AQ218" s="3495">
        <v>112.3</v>
      </c>
      <c r="AR218" s="1506">
        <f t="shared" si="85"/>
        <v>5330</v>
      </c>
      <c r="AS218" s="1507">
        <f t="shared" si="80"/>
        <v>6663</v>
      </c>
      <c r="AT218" s="1507">
        <f t="shared" si="90"/>
        <v>1332</v>
      </c>
      <c r="AU218" s="849">
        <f>ROUND($AQ218/$G218*AE218,0)</f>
        <v>0</v>
      </c>
      <c r="AV218" s="849">
        <f>ROUND($AQ218/$G218*AH218,0)</f>
        <v>0</v>
      </c>
      <c r="AW218" s="2881">
        <f t="shared" si="81"/>
        <v>13325</v>
      </c>
      <c r="AX218" s="3146"/>
      <c r="BB218" s="267"/>
      <c r="BC218" s="4117">
        <f t="shared" si="88"/>
        <v>0</v>
      </c>
      <c r="BD218" s="4117">
        <f t="shared" si="82"/>
        <v>0</v>
      </c>
    </row>
    <row r="219" spans="1:57" ht="77.25" thickBot="1">
      <c r="A219" s="6013" t="s">
        <v>11135</v>
      </c>
      <c r="B219" s="2337" t="s">
        <v>5321</v>
      </c>
      <c r="C219" s="2534">
        <v>0</v>
      </c>
      <c r="D219" s="2535">
        <v>42608</v>
      </c>
      <c r="E219" s="3046" t="s">
        <v>6385</v>
      </c>
      <c r="F219" s="3100" t="s">
        <v>4154</v>
      </c>
      <c r="G219" s="3101">
        <v>1.0111000000000001</v>
      </c>
      <c r="H219" s="2536" t="s">
        <v>4022</v>
      </c>
      <c r="I219" s="2343" t="s">
        <v>1433</v>
      </c>
      <c r="J219" s="2537" t="s">
        <v>1434</v>
      </c>
      <c r="K219" s="2538">
        <v>44069</v>
      </c>
      <c r="L219" s="2343" t="s">
        <v>4021</v>
      </c>
      <c r="M219" s="2537" t="s">
        <v>2102</v>
      </c>
      <c r="N219" s="2343" t="s">
        <v>4016</v>
      </c>
      <c r="O219" s="2536" t="s">
        <v>4017</v>
      </c>
      <c r="P219" s="2346" t="s">
        <v>374</v>
      </c>
      <c r="Q219" s="2537" t="s">
        <v>4018</v>
      </c>
      <c r="R219" s="2537" t="s">
        <v>1046</v>
      </c>
      <c r="S219" s="2539"/>
      <c r="T219" s="2348">
        <v>9706</v>
      </c>
      <c r="U219" s="2540">
        <v>0</v>
      </c>
      <c r="V219" s="2541">
        <f t="shared" si="78"/>
        <v>9706</v>
      </c>
      <c r="W219" s="2348">
        <v>12133</v>
      </c>
      <c r="X219" s="2540">
        <v>0</v>
      </c>
      <c r="Y219" s="2541">
        <f t="shared" si="86"/>
        <v>12133</v>
      </c>
      <c r="Z219" s="2348">
        <v>2427</v>
      </c>
      <c r="AA219" s="2540">
        <v>0</v>
      </c>
      <c r="AB219" s="2541">
        <f t="shared" si="79"/>
        <v>2427</v>
      </c>
      <c r="AC219" s="2351"/>
      <c r="AD219" s="2525"/>
      <c r="AE219" s="2526"/>
      <c r="AF219" s="2351"/>
      <c r="AG219" s="2525"/>
      <c r="AH219" s="2526"/>
      <c r="AI219" s="2354">
        <f t="shared" si="87"/>
        <v>24266</v>
      </c>
      <c r="AJ219" s="2540">
        <f t="shared" si="89"/>
        <v>0</v>
      </c>
      <c r="AK219" s="3911">
        <v>0</v>
      </c>
      <c r="AL219" s="2542">
        <f t="shared" si="83"/>
        <v>24266</v>
      </c>
      <c r="AM219" s="3496" t="s">
        <v>1061</v>
      </c>
      <c r="AN219" s="3519">
        <v>43157</v>
      </c>
      <c r="AO219" s="3520">
        <v>1204503</v>
      </c>
      <c r="AP219" s="3521" t="s">
        <v>4929</v>
      </c>
      <c r="AQ219" s="3522">
        <v>1.0119899999999999</v>
      </c>
      <c r="AR219" s="2356">
        <f t="shared" si="85"/>
        <v>9715</v>
      </c>
      <c r="AS219" s="2543">
        <f t="shared" si="80"/>
        <v>12144</v>
      </c>
      <c r="AT219" s="2543">
        <f t="shared" si="90"/>
        <v>2429</v>
      </c>
      <c r="AU219" s="2529"/>
      <c r="AV219" s="2529"/>
      <c r="AW219" s="2884">
        <f t="shared" si="81"/>
        <v>24288</v>
      </c>
      <c r="AX219" s="2896"/>
      <c r="AY219" s="1498" t="s">
        <v>5319</v>
      </c>
      <c r="AZ219" s="2118">
        <f>SUM(AW218:AW219)</f>
        <v>37613</v>
      </c>
      <c r="BA219" s="1727">
        <f>AZ219</f>
        <v>37613</v>
      </c>
      <c r="BB219" s="267"/>
      <c r="BC219" s="4117">
        <f t="shared" si="88"/>
        <v>0</v>
      </c>
      <c r="BD219" s="4117">
        <f t="shared" si="82"/>
        <v>0</v>
      </c>
    </row>
    <row r="220" spans="1:57" ht="51">
      <c r="A220" s="5966" t="s">
        <v>11135</v>
      </c>
      <c r="B220" s="827" t="s">
        <v>2812</v>
      </c>
      <c r="C220" s="828">
        <v>0</v>
      </c>
      <c r="D220" s="829">
        <v>42062</v>
      </c>
      <c r="E220" s="829" t="s">
        <v>6387</v>
      </c>
      <c r="F220" s="830" t="s">
        <v>4932</v>
      </c>
      <c r="G220" s="2331">
        <v>1</v>
      </c>
      <c r="H220" s="832" t="s">
        <v>2910</v>
      </c>
      <c r="I220" s="833" t="s">
        <v>1436</v>
      </c>
      <c r="J220" s="834" t="s">
        <v>2712</v>
      </c>
      <c r="K220" s="835">
        <v>43522</v>
      </c>
      <c r="L220" s="833" t="s">
        <v>2911</v>
      </c>
      <c r="M220" s="834" t="s">
        <v>2912</v>
      </c>
      <c r="N220" s="833" t="s">
        <v>2913</v>
      </c>
      <c r="O220" s="832" t="s">
        <v>2914</v>
      </c>
      <c r="P220" s="836"/>
      <c r="Q220" s="834" t="s">
        <v>2915</v>
      </c>
      <c r="R220" s="834" t="s">
        <v>2916</v>
      </c>
      <c r="S220" s="837"/>
      <c r="T220" s="838">
        <v>20160</v>
      </c>
      <c r="U220" s="839">
        <v>0</v>
      </c>
      <c r="V220" s="840">
        <f t="shared" si="78"/>
        <v>20160</v>
      </c>
      <c r="W220" s="838">
        <v>25200</v>
      </c>
      <c r="X220" s="839">
        <v>0</v>
      </c>
      <c r="Y220" s="840">
        <f t="shared" si="86"/>
        <v>25200</v>
      </c>
      <c r="Z220" s="838">
        <v>5040</v>
      </c>
      <c r="AA220" s="839">
        <v>0</v>
      </c>
      <c r="AB220" s="840">
        <f t="shared" si="79"/>
        <v>5040</v>
      </c>
      <c r="AC220" s="823"/>
      <c r="AD220" s="824"/>
      <c r="AE220" s="825"/>
      <c r="AF220" s="823"/>
      <c r="AG220" s="824"/>
      <c r="AH220" s="825"/>
      <c r="AI220" s="841">
        <f t="shared" si="87"/>
        <v>50400</v>
      </c>
      <c r="AJ220" s="839">
        <f t="shared" si="89"/>
        <v>0</v>
      </c>
      <c r="AK220" s="3906">
        <v>0</v>
      </c>
      <c r="AL220" s="869">
        <f t="shared" si="83"/>
        <v>50400</v>
      </c>
      <c r="AM220" s="3369" t="s">
        <v>1061</v>
      </c>
      <c r="AN220" s="3360">
        <v>43173</v>
      </c>
      <c r="AO220" s="3361">
        <v>1204983</v>
      </c>
      <c r="AP220" s="3362" t="s">
        <v>4933</v>
      </c>
      <c r="AQ220" s="3500">
        <v>1.0119899999999999</v>
      </c>
      <c r="AR220" s="846">
        <f t="shared" si="85"/>
        <v>20402</v>
      </c>
      <c r="AS220" s="847">
        <f t="shared" si="80"/>
        <v>25502</v>
      </c>
      <c r="AT220" s="847">
        <f t="shared" si="90"/>
        <v>5100</v>
      </c>
      <c r="AU220" s="848"/>
      <c r="AV220" s="848"/>
      <c r="AW220" s="2872">
        <f t="shared" si="81"/>
        <v>51004</v>
      </c>
      <c r="AX220" s="2891"/>
      <c r="AY220" s="2667"/>
      <c r="AZ220" s="2615"/>
      <c r="BB220" s="267"/>
      <c r="BC220" s="4117">
        <f t="shared" si="88"/>
        <v>0</v>
      </c>
      <c r="BD220" s="4117">
        <f t="shared" si="82"/>
        <v>0</v>
      </c>
    </row>
    <row r="221" spans="1:57" ht="63.75">
      <c r="A221" s="2418" t="s">
        <v>11135</v>
      </c>
      <c r="B221" s="338" t="s">
        <v>4192</v>
      </c>
      <c r="C221" s="321">
        <v>0</v>
      </c>
      <c r="D221" s="323">
        <v>42208</v>
      </c>
      <c r="E221" s="3012" t="s">
        <v>6387</v>
      </c>
      <c r="F221" s="324" t="s">
        <v>6404</v>
      </c>
      <c r="G221" s="3102">
        <v>1.0111000000000001</v>
      </c>
      <c r="H221" s="332" t="s">
        <v>4951</v>
      </c>
      <c r="I221" s="339" t="s">
        <v>1433</v>
      </c>
      <c r="J221" s="322" t="s">
        <v>1434</v>
      </c>
      <c r="K221" s="340">
        <v>43669</v>
      </c>
      <c r="L221" s="339" t="s">
        <v>3160</v>
      </c>
      <c r="M221" s="322" t="s">
        <v>3161</v>
      </c>
      <c r="N221" s="339" t="s">
        <v>3162</v>
      </c>
      <c r="O221" s="332" t="s">
        <v>3163</v>
      </c>
      <c r="P221" s="930" t="s">
        <v>4190</v>
      </c>
      <c r="Q221" s="322" t="s">
        <v>5322</v>
      </c>
      <c r="R221" s="322" t="s">
        <v>3060</v>
      </c>
      <c r="S221" s="761" t="s">
        <v>4188</v>
      </c>
      <c r="T221" s="347">
        <v>17472</v>
      </c>
      <c r="U221" s="326">
        <v>0</v>
      </c>
      <c r="V221" s="348">
        <f t="shared" si="78"/>
        <v>17472</v>
      </c>
      <c r="W221" s="347">
        <v>21840</v>
      </c>
      <c r="X221" s="326">
        <v>0</v>
      </c>
      <c r="Y221" s="348">
        <f t="shared" si="86"/>
        <v>21840</v>
      </c>
      <c r="Z221" s="347">
        <v>4368</v>
      </c>
      <c r="AA221" s="326">
        <v>0</v>
      </c>
      <c r="AB221" s="348">
        <f t="shared" si="79"/>
        <v>4368</v>
      </c>
      <c r="AC221" s="820"/>
      <c r="AD221" s="821"/>
      <c r="AE221" s="822"/>
      <c r="AF221" s="820"/>
      <c r="AG221" s="821"/>
      <c r="AH221" s="822"/>
      <c r="AI221" s="482">
        <f t="shared" si="87"/>
        <v>43680</v>
      </c>
      <c r="AJ221" s="326">
        <f t="shared" si="89"/>
        <v>0</v>
      </c>
      <c r="AK221" s="3899">
        <v>0</v>
      </c>
      <c r="AL221" s="349">
        <f t="shared" si="83"/>
        <v>43680</v>
      </c>
      <c r="AM221" s="2002" t="s">
        <v>1061</v>
      </c>
      <c r="AN221" s="3357">
        <v>43181</v>
      </c>
      <c r="AO221" s="695">
        <v>1205209</v>
      </c>
      <c r="AP221" s="2722" t="s">
        <v>4929</v>
      </c>
      <c r="AQ221" s="3501">
        <v>1.0119899999999999</v>
      </c>
      <c r="AR221" s="333">
        <f t="shared" si="85"/>
        <v>17487</v>
      </c>
      <c r="AS221" s="330">
        <f t="shared" si="80"/>
        <v>21859</v>
      </c>
      <c r="AT221" s="330">
        <f t="shared" si="90"/>
        <v>4372</v>
      </c>
      <c r="AU221" s="849"/>
      <c r="AV221" s="849"/>
      <c r="AW221" s="2870">
        <f t="shared" si="81"/>
        <v>43718</v>
      </c>
      <c r="AX221" s="3140"/>
      <c r="BB221" s="267"/>
      <c r="BC221" s="4117">
        <f t="shared" si="88"/>
        <v>0</v>
      </c>
      <c r="BD221" s="4117">
        <f t="shared" si="82"/>
        <v>0</v>
      </c>
    </row>
    <row r="222" spans="1:57" ht="90" thickBot="1">
      <c r="A222" s="6014" t="s">
        <v>11135</v>
      </c>
      <c r="B222" s="2442" t="s">
        <v>5405</v>
      </c>
      <c r="C222" s="2515">
        <v>0</v>
      </c>
      <c r="D222" s="2516">
        <v>42928</v>
      </c>
      <c r="E222" s="2992" t="s">
        <v>6385</v>
      </c>
      <c r="F222" s="3098" t="s">
        <v>4154</v>
      </c>
      <c r="G222" s="3099">
        <v>1.0111000000000001</v>
      </c>
      <c r="H222" s="2519" t="s">
        <v>4744</v>
      </c>
      <c r="I222" s="2446" t="s">
        <v>1433</v>
      </c>
      <c r="J222" s="2520" t="s">
        <v>1434</v>
      </c>
      <c r="K222" s="2521">
        <v>44389</v>
      </c>
      <c r="L222" s="2446" t="s">
        <v>4745</v>
      </c>
      <c r="M222" s="2520" t="s">
        <v>4746</v>
      </c>
      <c r="N222" s="2446" t="s">
        <v>4747</v>
      </c>
      <c r="O222" s="2519" t="s">
        <v>4748</v>
      </c>
      <c r="P222" s="2449"/>
      <c r="Q222" s="2520" t="s">
        <v>4749</v>
      </c>
      <c r="R222" s="2520" t="s">
        <v>4750</v>
      </c>
      <c r="S222" s="2522"/>
      <c r="T222" s="2451">
        <v>1941</v>
      </c>
      <c r="U222" s="2523">
        <v>0</v>
      </c>
      <c r="V222" s="2524">
        <f t="shared" si="78"/>
        <v>1941</v>
      </c>
      <c r="W222" s="2451">
        <v>2427</v>
      </c>
      <c r="X222" s="2523">
        <v>0</v>
      </c>
      <c r="Y222" s="2524">
        <f t="shared" si="86"/>
        <v>2427</v>
      </c>
      <c r="Z222" s="2451">
        <v>485</v>
      </c>
      <c r="AA222" s="2523">
        <v>0</v>
      </c>
      <c r="AB222" s="2524">
        <f t="shared" si="79"/>
        <v>485</v>
      </c>
      <c r="AC222" s="2351"/>
      <c r="AD222" s="2525"/>
      <c r="AE222" s="2526"/>
      <c r="AF222" s="2351"/>
      <c r="AG222" s="2525"/>
      <c r="AH222" s="2526"/>
      <c r="AI222" s="2456">
        <f t="shared" si="87"/>
        <v>4853</v>
      </c>
      <c r="AJ222" s="2523">
        <f t="shared" si="89"/>
        <v>0</v>
      </c>
      <c r="AK222" s="3903">
        <v>0</v>
      </c>
      <c r="AL222" s="2527">
        <f t="shared" si="83"/>
        <v>4853</v>
      </c>
      <c r="AM222" s="3502" t="s">
        <v>1061</v>
      </c>
      <c r="AN222" s="3515">
        <v>43182</v>
      </c>
      <c r="AO222" s="3516">
        <v>1205281</v>
      </c>
      <c r="AP222" s="3517" t="s">
        <v>4929</v>
      </c>
      <c r="AQ222" s="3518">
        <v>1.0119899999999999</v>
      </c>
      <c r="AR222" s="2458">
        <f t="shared" si="85"/>
        <v>1943</v>
      </c>
      <c r="AS222" s="2528">
        <f t="shared" si="80"/>
        <v>2429</v>
      </c>
      <c r="AT222" s="2528">
        <f t="shared" si="90"/>
        <v>485</v>
      </c>
      <c r="AU222" s="2529"/>
      <c r="AV222" s="2529"/>
      <c r="AW222" s="2869">
        <f t="shared" si="81"/>
        <v>4857</v>
      </c>
      <c r="AX222" s="2890"/>
      <c r="AY222" s="764" t="s">
        <v>5373</v>
      </c>
      <c r="AZ222" s="1662">
        <f>SUM(AW220:AW222)</f>
        <v>99579</v>
      </c>
      <c r="BA222" s="1727">
        <f>AZ222</f>
        <v>99579</v>
      </c>
      <c r="BB222" s="267"/>
      <c r="BC222" s="4117">
        <f t="shared" si="88"/>
        <v>0</v>
      </c>
      <c r="BD222" s="4117">
        <f t="shared" si="82"/>
        <v>0</v>
      </c>
    </row>
    <row r="223" spans="1:57" ht="89.25">
      <c r="A223" s="6006" t="s">
        <v>11140</v>
      </c>
      <c r="B223" s="2545" t="s">
        <v>5444</v>
      </c>
      <c r="C223" s="2299">
        <v>0</v>
      </c>
      <c r="D223" s="2300">
        <v>42899</v>
      </c>
      <c r="E223" s="2300" t="s">
        <v>6385</v>
      </c>
      <c r="F223" s="2301">
        <v>42795</v>
      </c>
      <c r="G223" s="2441">
        <v>110.5</v>
      </c>
      <c r="H223" s="2306" t="s">
        <v>4645</v>
      </c>
      <c r="I223" s="2303" t="s">
        <v>4651</v>
      </c>
      <c r="J223" s="2304" t="s">
        <v>4306</v>
      </c>
      <c r="K223" s="2305">
        <v>43629</v>
      </c>
      <c r="L223" s="2303" t="s">
        <v>4646</v>
      </c>
      <c r="M223" s="2304" t="s">
        <v>4647</v>
      </c>
      <c r="N223" s="2303" t="s">
        <v>4648</v>
      </c>
      <c r="O223" s="2306" t="s">
        <v>4649</v>
      </c>
      <c r="P223" s="2321"/>
      <c r="Q223" s="6096" t="s">
        <v>4332</v>
      </c>
      <c r="R223" s="2304" t="s">
        <v>1046</v>
      </c>
      <c r="S223" s="2307"/>
      <c r="T223" s="2308">
        <v>2294</v>
      </c>
      <c r="U223" s="2309">
        <v>0</v>
      </c>
      <c r="V223" s="2310">
        <f t="shared" si="78"/>
        <v>2294</v>
      </c>
      <c r="W223" s="2308">
        <v>2868</v>
      </c>
      <c r="X223" s="2309">
        <v>0</v>
      </c>
      <c r="Y223" s="2310">
        <f t="shared" si="86"/>
        <v>2868</v>
      </c>
      <c r="Z223" s="2308">
        <v>819</v>
      </c>
      <c r="AA223" s="2309">
        <v>0</v>
      </c>
      <c r="AB223" s="2310">
        <f t="shared" si="79"/>
        <v>819</v>
      </c>
      <c r="AC223" s="823"/>
      <c r="AD223" s="824"/>
      <c r="AE223" s="825"/>
      <c r="AF223" s="823"/>
      <c r="AG223" s="824"/>
      <c r="AH223" s="825"/>
      <c r="AI223" s="2311">
        <f t="shared" si="87"/>
        <v>5981</v>
      </c>
      <c r="AJ223" s="2309">
        <f t="shared" si="89"/>
        <v>0</v>
      </c>
      <c r="AK223" s="3914">
        <v>0</v>
      </c>
      <c r="AL223" s="2312">
        <f t="shared" si="83"/>
        <v>5981</v>
      </c>
      <c r="AM223" s="3491" t="s">
        <v>1061</v>
      </c>
      <c r="AN223" s="3492">
        <v>43201</v>
      </c>
      <c r="AO223" s="2492">
        <v>1205749</v>
      </c>
      <c r="AP223" s="2905" t="s">
        <v>5271</v>
      </c>
      <c r="AQ223" s="3508">
        <v>112.3</v>
      </c>
      <c r="AR223" s="2313">
        <f t="shared" si="85"/>
        <v>2331</v>
      </c>
      <c r="AS223" s="2314">
        <f t="shared" si="80"/>
        <v>2915</v>
      </c>
      <c r="AT223" s="2314">
        <f t="shared" si="90"/>
        <v>832</v>
      </c>
      <c r="AU223" s="848"/>
      <c r="AV223" s="848"/>
      <c r="AW223" s="2883">
        <f t="shared" si="81"/>
        <v>6078</v>
      </c>
      <c r="AX223" s="2899"/>
      <c r="BB223" s="267"/>
      <c r="BC223" s="4117">
        <f t="shared" si="88"/>
        <v>0</v>
      </c>
      <c r="BD223" s="4117">
        <f t="shared" si="82"/>
        <v>0</v>
      </c>
    </row>
    <row r="224" spans="1:57" ht="76.5">
      <c r="A224" s="5981" t="s">
        <v>11135</v>
      </c>
      <c r="B224" s="1538" t="s">
        <v>5318</v>
      </c>
      <c r="C224" s="1509">
        <v>0</v>
      </c>
      <c r="D224" s="1510">
        <v>43157</v>
      </c>
      <c r="E224" s="3047" t="s">
        <v>6385</v>
      </c>
      <c r="F224" s="1511" t="s">
        <v>4933</v>
      </c>
      <c r="G224" s="2498">
        <v>1.0119899999999999</v>
      </c>
      <c r="H224" s="1513" t="s">
        <v>5309</v>
      </c>
      <c r="I224" s="1514" t="s">
        <v>1433</v>
      </c>
      <c r="J224" s="1515" t="s">
        <v>1434</v>
      </c>
      <c r="K224" s="1516" t="s">
        <v>4905</v>
      </c>
      <c r="L224" s="1514" t="s">
        <v>5310</v>
      </c>
      <c r="M224" s="1515" t="s">
        <v>5311</v>
      </c>
      <c r="N224" s="1514" t="s">
        <v>5313</v>
      </c>
      <c r="O224" s="1513" t="s">
        <v>5312</v>
      </c>
      <c r="P224" s="1517" t="s">
        <v>5316</v>
      </c>
      <c r="Q224" s="1515" t="s">
        <v>5314</v>
      </c>
      <c r="R224" s="1515" t="s">
        <v>5315</v>
      </c>
      <c r="S224" s="1518" t="s">
        <v>5317</v>
      </c>
      <c r="T224" s="1519">
        <v>0</v>
      </c>
      <c r="U224" s="1504">
        <v>0</v>
      </c>
      <c r="V224" s="1520">
        <f t="shared" si="78"/>
        <v>0</v>
      </c>
      <c r="W224" s="1519">
        <v>0</v>
      </c>
      <c r="X224" s="1504">
        <v>0</v>
      </c>
      <c r="Y224" s="1520">
        <f t="shared" si="86"/>
        <v>0</v>
      </c>
      <c r="Z224" s="1519">
        <v>681</v>
      </c>
      <c r="AA224" s="1504">
        <v>0</v>
      </c>
      <c r="AB224" s="1520">
        <f t="shared" si="79"/>
        <v>681</v>
      </c>
      <c r="AC224" s="820"/>
      <c r="AD224" s="821"/>
      <c r="AE224" s="822"/>
      <c r="AF224" s="820"/>
      <c r="AG224" s="821"/>
      <c r="AH224" s="822"/>
      <c r="AI224" s="1503">
        <f t="shared" si="87"/>
        <v>681</v>
      </c>
      <c r="AJ224" s="1504">
        <f t="shared" si="89"/>
        <v>0</v>
      </c>
      <c r="AK224" s="3912">
        <v>0</v>
      </c>
      <c r="AL224" s="1505">
        <f t="shared" si="83"/>
        <v>681</v>
      </c>
      <c r="AM224" s="1508" t="s">
        <v>1061</v>
      </c>
      <c r="AN224" s="3401">
        <v>43203</v>
      </c>
      <c r="AO224" s="3402">
        <v>1205803</v>
      </c>
      <c r="AP224" s="2664" t="s">
        <v>4929</v>
      </c>
      <c r="AQ224" s="3495">
        <v>1.0119899999999999</v>
      </c>
      <c r="AR224" s="1506">
        <f t="shared" si="85"/>
        <v>0</v>
      </c>
      <c r="AS224" s="1507">
        <f t="shared" si="80"/>
        <v>0</v>
      </c>
      <c r="AT224" s="1507">
        <f t="shared" si="90"/>
        <v>681</v>
      </c>
      <c r="AU224" s="849"/>
      <c r="AV224" s="849"/>
      <c r="AW224" s="2878">
        <f t="shared" si="81"/>
        <v>681</v>
      </c>
      <c r="AX224" s="3146"/>
      <c r="BB224" s="267"/>
      <c r="BC224" s="4117">
        <f t="shared" si="88"/>
        <v>0</v>
      </c>
      <c r="BD224" s="4117">
        <f t="shared" si="82"/>
        <v>0</v>
      </c>
    </row>
    <row r="225" spans="1:56" ht="89.25">
      <c r="A225" s="5981" t="s">
        <v>11135</v>
      </c>
      <c r="B225" s="2546" t="s">
        <v>5445</v>
      </c>
      <c r="C225" s="1509">
        <v>0</v>
      </c>
      <c r="D225" s="1510">
        <v>42916</v>
      </c>
      <c r="E225" s="3047" t="s">
        <v>6385</v>
      </c>
      <c r="F225" s="1511" t="s">
        <v>4154</v>
      </c>
      <c r="G225" s="2498">
        <v>1.0111000000000001</v>
      </c>
      <c r="H225" s="1513" t="s">
        <v>4729</v>
      </c>
      <c r="I225" s="1514" t="s">
        <v>1433</v>
      </c>
      <c r="J225" s="1515" t="s">
        <v>1434</v>
      </c>
      <c r="K225" s="1516">
        <v>44377</v>
      </c>
      <c r="L225" s="1514" t="s">
        <v>4730</v>
      </c>
      <c r="M225" s="1515" t="s">
        <v>4731</v>
      </c>
      <c r="N225" s="1514" t="s">
        <v>4732</v>
      </c>
      <c r="O225" s="1513" t="s">
        <v>4733</v>
      </c>
      <c r="P225" s="1517"/>
      <c r="Q225" s="1515" t="s">
        <v>4734</v>
      </c>
      <c r="R225" s="1515" t="s">
        <v>4735</v>
      </c>
      <c r="S225" s="1518"/>
      <c r="T225" s="1519">
        <v>1125</v>
      </c>
      <c r="U225" s="1504">
        <v>0</v>
      </c>
      <c r="V225" s="1520">
        <f t="shared" si="78"/>
        <v>1125</v>
      </c>
      <c r="W225" s="1519">
        <v>198</v>
      </c>
      <c r="X225" s="1504">
        <v>0</v>
      </c>
      <c r="Y225" s="1520">
        <f t="shared" si="86"/>
        <v>198</v>
      </c>
      <c r="Z225" s="1519">
        <v>0</v>
      </c>
      <c r="AA225" s="1504">
        <v>0</v>
      </c>
      <c r="AB225" s="1520">
        <f t="shared" si="79"/>
        <v>0</v>
      </c>
      <c r="AC225" s="820"/>
      <c r="AD225" s="821"/>
      <c r="AE225" s="822"/>
      <c r="AF225" s="820"/>
      <c r="AG225" s="821"/>
      <c r="AH225" s="822"/>
      <c r="AI225" s="1503">
        <f t="shared" si="87"/>
        <v>1323</v>
      </c>
      <c r="AJ225" s="1504">
        <f t="shared" si="89"/>
        <v>0</v>
      </c>
      <c r="AK225" s="3912">
        <v>0</v>
      </c>
      <c r="AL225" s="1505">
        <f t="shared" si="83"/>
        <v>1323</v>
      </c>
      <c r="AM225" s="1508" t="s">
        <v>1061</v>
      </c>
      <c r="AN225" s="3401">
        <v>43206</v>
      </c>
      <c r="AO225" s="3402">
        <v>1205847</v>
      </c>
      <c r="AP225" s="2664" t="s">
        <v>4929</v>
      </c>
      <c r="AQ225" s="3495">
        <v>1.0119899999999999</v>
      </c>
      <c r="AR225" s="1506">
        <f t="shared" si="85"/>
        <v>1126</v>
      </c>
      <c r="AS225" s="1507">
        <f t="shared" si="80"/>
        <v>198</v>
      </c>
      <c r="AT225" s="1507">
        <f t="shared" si="90"/>
        <v>0</v>
      </c>
      <c r="AU225" s="849"/>
      <c r="AV225" s="849"/>
      <c r="AW225" s="2878">
        <f t="shared" si="81"/>
        <v>1324</v>
      </c>
      <c r="AX225" s="3146"/>
      <c r="BB225" s="267"/>
      <c r="BC225" s="4117">
        <f t="shared" si="88"/>
        <v>0</v>
      </c>
      <c r="BD225" s="4117">
        <f t="shared" si="82"/>
        <v>0</v>
      </c>
    </row>
    <row r="226" spans="1:56" ht="51">
      <c r="A226" s="5981" t="s">
        <v>11135</v>
      </c>
      <c r="B226" s="1538" t="s">
        <v>3567</v>
      </c>
      <c r="C226" s="1509">
        <v>0</v>
      </c>
      <c r="D226" s="1510">
        <v>42818</v>
      </c>
      <c r="E226" s="3047" t="s">
        <v>6385</v>
      </c>
      <c r="F226" s="1511" t="s">
        <v>4154</v>
      </c>
      <c r="G226" s="2498">
        <v>1.0111000000000001</v>
      </c>
      <c r="H226" s="1513" t="s">
        <v>4468</v>
      </c>
      <c r="I226" s="1514" t="s">
        <v>1436</v>
      </c>
      <c r="J226" s="1515" t="s">
        <v>1437</v>
      </c>
      <c r="K226" s="1516">
        <v>44279</v>
      </c>
      <c r="L226" s="1514" t="s">
        <v>4469</v>
      </c>
      <c r="M226" s="1515" t="s">
        <v>2323</v>
      </c>
      <c r="N226" s="1514" t="s">
        <v>4470</v>
      </c>
      <c r="O226" s="1513" t="s">
        <v>4471</v>
      </c>
      <c r="P226" s="1517"/>
      <c r="Q226" s="1515" t="s">
        <v>4472</v>
      </c>
      <c r="R226" s="1515" t="s">
        <v>4473</v>
      </c>
      <c r="S226" s="1518"/>
      <c r="T226" s="1519">
        <v>13589</v>
      </c>
      <c r="U226" s="1504">
        <v>0</v>
      </c>
      <c r="V226" s="1520">
        <f t="shared" si="78"/>
        <v>13589</v>
      </c>
      <c r="W226" s="1519">
        <v>16987</v>
      </c>
      <c r="X226" s="1504">
        <v>0</v>
      </c>
      <c r="Y226" s="1520">
        <f t="shared" si="86"/>
        <v>16987</v>
      </c>
      <c r="Z226" s="1519">
        <v>3397</v>
      </c>
      <c r="AA226" s="1504">
        <v>0</v>
      </c>
      <c r="AB226" s="1520">
        <f t="shared" si="79"/>
        <v>3397</v>
      </c>
      <c r="AC226" s="820"/>
      <c r="AD226" s="821"/>
      <c r="AE226" s="822"/>
      <c r="AF226" s="820"/>
      <c r="AG226" s="821"/>
      <c r="AH226" s="822"/>
      <c r="AI226" s="1503">
        <f t="shared" si="87"/>
        <v>33973</v>
      </c>
      <c r="AJ226" s="1504">
        <f t="shared" si="89"/>
        <v>0</v>
      </c>
      <c r="AK226" s="3912">
        <v>0</v>
      </c>
      <c r="AL226" s="1505">
        <f t="shared" si="83"/>
        <v>33973</v>
      </c>
      <c r="AM226" s="1508" t="s">
        <v>1061</v>
      </c>
      <c r="AN226" s="3401">
        <v>43206</v>
      </c>
      <c r="AO226" s="3402">
        <v>1205869</v>
      </c>
      <c r="AP226" s="2664" t="s">
        <v>4929</v>
      </c>
      <c r="AQ226" s="3495">
        <v>1.0119899999999999</v>
      </c>
      <c r="AR226" s="1506">
        <f t="shared" si="85"/>
        <v>13601</v>
      </c>
      <c r="AS226" s="1507">
        <f t="shared" si="80"/>
        <v>17002</v>
      </c>
      <c r="AT226" s="1507">
        <f t="shared" si="90"/>
        <v>3400</v>
      </c>
      <c r="AU226" s="849"/>
      <c r="AV226" s="849"/>
      <c r="AW226" s="2878">
        <f t="shared" si="81"/>
        <v>34003</v>
      </c>
      <c r="AX226" s="3146"/>
      <c r="AY226" s="2006"/>
      <c r="AZ226" s="1726"/>
      <c r="BB226" s="267"/>
      <c r="BC226" s="4117">
        <f t="shared" si="88"/>
        <v>0</v>
      </c>
      <c r="BD226" s="4117">
        <f t="shared" si="82"/>
        <v>0</v>
      </c>
    </row>
    <row r="227" spans="1:56" ht="76.5">
      <c r="A227" s="5978" t="s">
        <v>11140</v>
      </c>
      <c r="B227" s="1538" t="s">
        <v>4518</v>
      </c>
      <c r="C227" s="1509">
        <v>0</v>
      </c>
      <c r="D227" s="1510">
        <v>42996</v>
      </c>
      <c r="E227" s="3047" t="s">
        <v>6385</v>
      </c>
      <c r="F227" s="2139">
        <v>42887</v>
      </c>
      <c r="G227" s="2334">
        <v>111</v>
      </c>
      <c r="H227" s="1513" t="s">
        <v>4945</v>
      </c>
      <c r="I227" s="1514" t="s">
        <v>4946</v>
      </c>
      <c r="J227" s="1515" t="s">
        <v>4306</v>
      </c>
      <c r="K227" s="1516">
        <v>43726</v>
      </c>
      <c r="L227" s="1514" t="s">
        <v>4947</v>
      </c>
      <c r="M227" s="1515" t="s">
        <v>4948</v>
      </c>
      <c r="N227" s="1514" t="s">
        <v>4949</v>
      </c>
      <c r="O227" s="1513" t="s">
        <v>4950</v>
      </c>
      <c r="P227" s="1517"/>
      <c r="Q227" s="6094" t="s">
        <v>4878</v>
      </c>
      <c r="R227" s="1515" t="s">
        <v>1046</v>
      </c>
      <c r="S227" s="1518"/>
      <c r="T227" s="1519">
        <v>2304</v>
      </c>
      <c r="U227" s="1504">
        <v>0</v>
      </c>
      <c r="V227" s="1520">
        <f t="shared" si="78"/>
        <v>2304</v>
      </c>
      <c r="W227" s="1519">
        <v>2881</v>
      </c>
      <c r="X227" s="1504">
        <v>0</v>
      </c>
      <c r="Y227" s="1520">
        <f t="shared" si="86"/>
        <v>2881</v>
      </c>
      <c r="Z227" s="1519">
        <v>823</v>
      </c>
      <c r="AA227" s="1504">
        <v>0</v>
      </c>
      <c r="AB227" s="1520">
        <f t="shared" si="79"/>
        <v>823</v>
      </c>
      <c r="AC227" s="820"/>
      <c r="AD227" s="821"/>
      <c r="AE227" s="822"/>
      <c r="AF227" s="820"/>
      <c r="AG227" s="821"/>
      <c r="AH227" s="822"/>
      <c r="AI227" s="1503">
        <f t="shared" si="87"/>
        <v>6008</v>
      </c>
      <c r="AJ227" s="1504">
        <f t="shared" si="89"/>
        <v>0</v>
      </c>
      <c r="AK227" s="3912">
        <v>0</v>
      </c>
      <c r="AL227" s="1505">
        <f t="shared" si="83"/>
        <v>6008</v>
      </c>
      <c r="AM227" s="1508" t="s">
        <v>2977</v>
      </c>
      <c r="AN227" s="3401">
        <v>43209</v>
      </c>
      <c r="AO227" s="3402">
        <v>1205957</v>
      </c>
      <c r="AP227" s="2664" t="s">
        <v>5271</v>
      </c>
      <c r="AQ227" s="3495">
        <v>112.3</v>
      </c>
      <c r="AR227" s="1506">
        <f t="shared" si="85"/>
        <v>2331</v>
      </c>
      <c r="AS227" s="1507">
        <f t="shared" si="80"/>
        <v>2915</v>
      </c>
      <c r="AT227" s="1507">
        <f t="shared" si="90"/>
        <v>833</v>
      </c>
      <c r="AU227" s="849"/>
      <c r="AV227" s="849"/>
      <c r="AW227" s="2878">
        <f t="shared" si="81"/>
        <v>6079</v>
      </c>
      <c r="AX227" s="3146"/>
      <c r="AY227" s="2006"/>
      <c r="AZ227" s="1726"/>
      <c r="BB227" s="267"/>
      <c r="BC227" s="4117">
        <f t="shared" si="88"/>
        <v>0</v>
      </c>
      <c r="BD227" s="4117">
        <f t="shared" si="82"/>
        <v>0</v>
      </c>
    </row>
    <row r="228" spans="1:56" ht="128.25" thickBot="1">
      <c r="A228" s="6015" t="s">
        <v>11135</v>
      </c>
      <c r="B228" s="2547" t="s">
        <v>5456</v>
      </c>
      <c r="C228" s="2548">
        <v>1</v>
      </c>
      <c r="D228" s="2549" t="s">
        <v>5415</v>
      </c>
      <c r="E228" s="3046" t="s">
        <v>6385</v>
      </c>
      <c r="F228" s="3103" t="s">
        <v>4154</v>
      </c>
      <c r="G228" s="3104">
        <v>1.0111000000000001</v>
      </c>
      <c r="H228" s="2550" t="s">
        <v>5416</v>
      </c>
      <c r="I228" s="2551" t="s">
        <v>1433</v>
      </c>
      <c r="J228" s="2552" t="s">
        <v>1434</v>
      </c>
      <c r="K228" s="2553">
        <v>44153</v>
      </c>
      <c r="L228" s="2551" t="s">
        <v>4212</v>
      </c>
      <c r="M228" s="2552" t="s">
        <v>4215</v>
      </c>
      <c r="N228" s="2551" t="s">
        <v>4214</v>
      </c>
      <c r="O228" s="2550" t="s">
        <v>4213</v>
      </c>
      <c r="P228" s="2554" t="s">
        <v>5455</v>
      </c>
      <c r="Q228" s="2552" t="s">
        <v>5418</v>
      </c>
      <c r="R228" s="2555" t="s">
        <v>5417</v>
      </c>
      <c r="S228" s="2556"/>
      <c r="T228" s="2557">
        <v>208616</v>
      </c>
      <c r="U228" s="2558">
        <v>0</v>
      </c>
      <c r="V228" s="2559">
        <f t="shared" si="78"/>
        <v>208616</v>
      </c>
      <c r="W228" s="2557">
        <v>36814</v>
      </c>
      <c r="X228" s="2558">
        <v>0</v>
      </c>
      <c r="Y228" s="2559">
        <f t="shared" si="86"/>
        <v>36814</v>
      </c>
      <c r="Z228" s="2557">
        <v>0</v>
      </c>
      <c r="AA228" s="2558">
        <v>0</v>
      </c>
      <c r="AB228" s="2559">
        <f t="shared" si="79"/>
        <v>0</v>
      </c>
      <c r="AC228" s="2560"/>
      <c r="AD228" s="2561"/>
      <c r="AE228" s="2562"/>
      <c r="AF228" s="2560"/>
      <c r="AG228" s="2561"/>
      <c r="AH228" s="2562"/>
      <c r="AI228" s="2563">
        <f t="shared" si="87"/>
        <v>245430</v>
      </c>
      <c r="AJ228" s="2558">
        <f t="shared" si="89"/>
        <v>0</v>
      </c>
      <c r="AK228" s="3911">
        <v>0</v>
      </c>
      <c r="AL228" s="2564">
        <f t="shared" si="83"/>
        <v>245430</v>
      </c>
      <c r="AM228" s="3523" t="s">
        <v>1061</v>
      </c>
      <c r="AN228" s="3524">
        <v>43213</v>
      </c>
      <c r="AO228" s="3525">
        <v>1206030</v>
      </c>
      <c r="AP228" s="3526" t="s">
        <v>5457</v>
      </c>
      <c r="AQ228" s="3527">
        <v>1.0111000000000001</v>
      </c>
      <c r="AR228" s="2565">
        <f t="shared" si="85"/>
        <v>208616</v>
      </c>
      <c r="AS228" s="2566">
        <f t="shared" si="80"/>
        <v>36814</v>
      </c>
      <c r="AT228" s="2566">
        <f t="shared" si="90"/>
        <v>0</v>
      </c>
      <c r="AU228" s="2566"/>
      <c r="AV228" s="2566"/>
      <c r="AW228" s="2879">
        <f t="shared" si="81"/>
        <v>245430</v>
      </c>
      <c r="AX228" s="2896"/>
      <c r="AY228" s="1498" t="s">
        <v>5431</v>
      </c>
      <c r="AZ228" s="2118">
        <f>SUM(AW223:AW228)</f>
        <v>293595</v>
      </c>
      <c r="BA228" s="1727">
        <f>AZ228</f>
        <v>293595</v>
      </c>
      <c r="BB228" s="267"/>
      <c r="BC228" s="4117">
        <f t="shared" si="88"/>
        <v>0</v>
      </c>
      <c r="BD228" s="4117">
        <f t="shared" si="82"/>
        <v>0</v>
      </c>
    </row>
    <row r="229" spans="1:56" ht="76.5">
      <c r="A229" s="5964" t="s">
        <v>11140</v>
      </c>
      <c r="B229" s="338" t="s">
        <v>4532</v>
      </c>
      <c r="C229" s="321">
        <v>0</v>
      </c>
      <c r="D229" s="323">
        <v>43209</v>
      </c>
      <c r="E229" s="3012" t="s">
        <v>6385</v>
      </c>
      <c r="F229" s="1203">
        <v>43070</v>
      </c>
      <c r="G229" s="2404">
        <v>112.3</v>
      </c>
      <c r="H229" s="332" t="s">
        <v>5446</v>
      </c>
      <c r="I229" s="339" t="s">
        <v>5447</v>
      </c>
      <c r="J229" s="322" t="s">
        <v>4306</v>
      </c>
      <c r="K229" s="340">
        <v>43940</v>
      </c>
      <c r="L229" s="339" t="s">
        <v>5448</v>
      </c>
      <c r="M229" s="322" t="s">
        <v>5449</v>
      </c>
      <c r="N229" s="339" t="s">
        <v>5450</v>
      </c>
      <c r="O229" s="322" t="s">
        <v>5449</v>
      </c>
      <c r="P229" s="345"/>
      <c r="Q229" s="6094" t="s">
        <v>5349</v>
      </c>
      <c r="R229" s="322" t="s">
        <v>5350</v>
      </c>
      <c r="S229" s="346"/>
      <c r="T229" s="347">
        <v>2331</v>
      </c>
      <c r="U229" s="326">
        <v>0</v>
      </c>
      <c r="V229" s="348">
        <f t="shared" si="78"/>
        <v>2331</v>
      </c>
      <c r="W229" s="347">
        <v>2914</v>
      </c>
      <c r="X229" s="326">
        <v>0</v>
      </c>
      <c r="Y229" s="348">
        <f t="shared" si="86"/>
        <v>2914</v>
      </c>
      <c r="Z229" s="347">
        <v>833</v>
      </c>
      <c r="AA229" s="326">
        <v>0</v>
      </c>
      <c r="AB229" s="348">
        <f t="shared" si="79"/>
        <v>833</v>
      </c>
      <c r="AC229" s="820"/>
      <c r="AD229" s="821"/>
      <c r="AE229" s="822"/>
      <c r="AF229" s="820"/>
      <c r="AG229" s="821"/>
      <c r="AH229" s="822"/>
      <c r="AI229" s="482">
        <f t="shared" si="87"/>
        <v>6078</v>
      </c>
      <c r="AJ229" s="326">
        <f t="shared" si="89"/>
        <v>0</v>
      </c>
      <c r="AK229" s="3899">
        <v>0</v>
      </c>
      <c r="AL229" s="349">
        <f t="shared" si="83"/>
        <v>6078</v>
      </c>
      <c r="AM229" s="2002" t="s">
        <v>1061</v>
      </c>
      <c r="AN229" s="3357">
        <v>43222</v>
      </c>
      <c r="AO229" s="695">
        <v>1206262</v>
      </c>
      <c r="AP229" s="2722" t="s">
        <v>5458</v>
      </c>
      <c r="AQ229" s="3501">
        <v>112.4</v>
      </c>
      <c r="AR229" s="333">
        <f t="shared" si="85"/>
        <v>2333</v>
      </c>
      <c r="AS229" s="330">
        <f>ROUNDDOWN($AQ229/$G229*Y229,0)</f>
        <v>2916</v>
      </c>
      <c r="AT229" s="330">
        <f t="shared" si="90"/>
        <v>834</v>
      </c>
      <c r="AU229" s="849"/>
      <c r="AV229" s="849"/>
      <c r="AW229" s="2870">
        <f t="shared" si="81"/>
        <v>6083</v>
      </c>
      <c r="AX229" s="3140"/>
      <c r="BB229" s="267"/>
      <c r="BC229" s="4117">
        <f t="shared" si="88"/>
        <v>0</v>
      </c>
      <c r="BD229" s="4117">
        <f t="shared" si="82"/>
        <v>0</v>
      </c>
    </row>
    <row r="230" spans="1:56" ht="76.5">
      <c r="A230" s="2418" t="s">
        <v>11135</v>
      </c>
      <c r="B230" s="338" t="s">
        <v>3960</v>
      </c>
      <c r="C230" s="321">
        <v>0</v>
      </c>
      <c r="D230" s="323">
        <v>42927</v>
      </c>
      <c r="E230" s="3012" t="s">
        <v>6385</v>
      </c>
      <c r="F230" s="324" t="s">
        <v>4154</v>
      </c>
      <c r="G230" s="2332">
        <v>1.0111000000000001</v>
      </c>
      <c r="H230" s="332" t="s">
        <v>4736</v>
      </c>
      <c r="I230" s="339" t="s">
        <v>1433</v>
      </c>
      <c r="J230" s="322" t="s">
        <v>1434</v>
      </c>
      <c r="K230" s="340">
        <v>44388</v>
      </c>
      <c r="L230" s="339" t="s">
        <v>4737</v>
      </c>
      <c r="M230" s="322" t="s">
        <v>4738</v>
      </c>
      <c r="N230" s="339" t="s">
        <v>3539</v>
      </c>
      <c r="O230" s="332" t="s">
        <v>3540</v>
      </c>
      <c r="P230" s="345"/>
      <c r="Q230" s="322" t="s">
        <v>4739</v>
      </c>
      <c r="R230" s="322" t="s">
        <v>1046</v>
      </c>
      <c r="S230" s="346"/>
      <c r="T230" s="347">
        <v>0</v>
      </c>
      <c r="U230" s="326">
        <v>0</v>
      </c>
      <c r="V230" s="348">
        <f t="shared" si="78"/>
        <v>0</v>
      </c>
      <c r="W230" s="347">
        <v>0</v>
      </c>
      <c r="X230" s="326">
        <v>0</v>
      </c>
      <c r="Y230" s="348">
        <f t="shared" si="86"/>
        <v>0</v>
      </c>
      <c r="Z230" s="347">
        <v>90</v>
      </c>
      <c r="AA230" s="326">
        <v>0</v>
      </c>
      <c r="AB230" s="348">
        <f t="shared" si="79"/>
        <v>90</v>
      </c>
      <c r="AC230" s="820"/>
      <c r="AD230" s="821"/>
      <c r="AE230" s="822"/>
      <c r="AF230" s="820"/>
      <c r="AG230" s="821"/>
      <c r="AH230" s="822"/>
      <c r="AI230" s="482">
        <f t="shared" si="87"/>
        <v>90</v>
      </c>
      <c r="AJ230" s="326">
        <f t="shared" si="89"/>
        <v>0</v>
      </c>
      <c r="AK230" s="3899">
        <v>0</v>
      </c>
      <c r="AL230" s="349">
        <f t="shared" si="83"/>
        <v>90</v>
      </c>
      <c r="AM230" s="2002" t="s">
        <v>1061</v>
      </c>
      <c r="AN230" s="3357">
        <v>43228</v>
      </c>
      <c r="AO230" s="695">
        <v>1206382</v>
      </c>
      <c r="AP230" s="2722" t="s">
        <v>5491</v>
      </c>
      <c r="AQ230" s="3501">
        <v>1.0119899999999999</v>
      </c>
      <c r="AR230" s="333">
        <f t="shared" si="85"/>
        <v>0</v>
      </c>
      <c r="AS230" s="330">
        <f>ROUND($AQ230/$G230*Y230,0)</f>
        <v>0</v>
      </c>
      <c r="AT230" s="330">
        <f t="shared" si="90"/>
        <v>90</v>
      </c>
      <c r="AU230" s="849"/>
      <c r="AV230" s="849"/>
      <c r="AW230" s="2870">
        <f t="shared" si="81"/>
        <v>90</v>
      </c>
      <c r="AX230" s="3140"/>
      <c r="BB230" s="267"/>
      <c r="BC230" s="4117">
        <f t="shared" si="88"/>
        <v>0</v>
      </c>
      <c r="BD230" s="4117">
        <f t="shared" si="82"/>
        <v>0</v>
      </c>
    </row>
    <row r="231" spans="1:56" ht="76.5">
      <c r="A231" s="2418" t="s">
        <v>11135</v>
      </c>
      <c r="B231" s="338" t="s">
        <v>5485</v>
      </c>
      <c r="C231" s="321">
        <v>0</v>
      </c>
      <c r="D231" s="323">
        <v>42797</v>
      </c>
      <c r="E231" s="3012" t="s">
        <v>6385</v>
      </c>
      <c r="F231" s="324" t="s">
        <v>4154</v>
      </c>
      <c r="G231" s="2332">
        <v>1.0111000000000001</v>
      </c>
      <c r="H231" s="332" t="s">
        <v>8225</v>
      </c>
      <c r="I231" s="339" t="s">
        <v>1433</v>
      </c>
      <c r="J231" s="322" t="s">
        <v>1434</v>
      </c>
      <c r="K231" s="340">
        <v>44985</v>
      </c>
      <c r="L231" s="339" t="s">
        <v>4400</v>
      </c>
      <c r="M231" s="322" t="s">
        <v>1957</v>
      </c>
      <c r="N231" s="339" t="s">
        <v>4401</v>
      </c>
      <c r="O231" s="332" t="s">
        <v>4402</v>
      </c>
      <c r="P231" s="345"/>
      <c r="Q231" s="322" t="s">
        <v>4406</v>
      </c>
      <c r="R231" s="322" t="s">
        <v>4403</v>
      </c>
      <c r="S231" s="346"/>
      <c r="T231" s="347">
        <v>42082</v>
      </c>
      <c r="U231" s="326">
        <v>0</v>
      </c>
      <c r="V231" s="348">
        <f t="shared" si="78"/>
        <v>42082</v>
      </c>
      <c r="W231" s="347">
        <v>7427</v>
      </c>
      <c r="X231" s="326">
        <v>0</v>
      </c>
      <c r="Y231" s="348">
        <f t="shared" si="86"/>
        <v>7427</v>
      </c>
      <c r="Z231" s="347">
        <v>34854</v>
      </c>
      <c r="AA231" s="326">
        <v>0</v>
      </c>
      <c r="AB231" s="348">
        <f t="shared" si="79"/>
        <v>34854</v>
      </c>
      <c r="AC231" s="820"/>
      <c r="AD231" s="821"/>
      <c r="AE231" s="822"/>
      <c r="AF231" s="820"/>
      <c r="AG231" s="821"/>
      <c r="AH231" s="822"/>
      <c r="AI231" s="482">
        <f t="shared" si="87"/>
        <v>84363</v>
      </c>
      <c r="AJ231" s="326">
        <f t="shared" si="89"/>
        <v>0</v>
      </c>
      <c r="AK231" s="3899">
        <v>0</v>
      </c>
      <c r="AL231" s="349">
        <f t="shared" si="83"/>
        <v>84363</v>
      </c>
      <c r="AM231" s="2002" t="s">
        <v>1061</v>
      </c>
      <c r="AN231" s="3357">
        <v>43229</v>
      </c>
      <c r="AO231" s="3528">
        <v>1206388</v>
      </c>
      <c r="AP231" s="2987" t="s">
        <v>4933</v>
      </c>
      <c r="AQ231" s="3501">
        <v>1.0119899999999999</v>
      </c>
      <c r="AR231" s="333">
        <f t="shared" si="85"/>
        <v>42119</v>
      </c>
      <c r="AS231" s="330">
        <f>ROUND($AQ231/$G231*Y231,0)</f>
        <v>7434</v>
      </c>
      <c r="AT231" s="330">
        <f t="shared" si="90"/>
        <v>34885</v>
      </c>
      <c r="AU231" s="849"/>
      <c r="AV231" s="849"/>
      <c r="AW231" s="2870">
        <f t="shared" si="81"/>
        <v>84438</v>
      </c>
      <c r="AX231" s="3140"/>
      <c r="BB231" s="267"/>
      <c r="BC231" s="4117">
        <f t="shared" si="88"/>
        <v>0</v>
      </c>
      <c r="BD231" s="4117">
        <f t="shared" si="82"/>
        <v>0</v>
      </c>
    </row>
    <row r="232" spans="1:56" ht="63.75">
      <c r="A232" s="2418" t="s">
        <v>11135</v>
      </c>
      <c r="B232" s="338" t="s">
        <v>2927</v>
      </c>
      <c r="C232" s="321">
        <v>0</v>
      </c>
      <c r="D232" s="323">
        <v>42268</v>
      </c>
      <c r="E232" s="829" t="s">
        <v>6387</v>
      </c>
      <c r="F232" s="830" t="s">
        <v>4932</v>
      </c>
      <c r="G232" s="2332">
        <v>1</v>
      </c>
      <c r="H232" s="332" t="s">
        <v>4495</v>
      </c>
      <c r="I232" s="339" t="s">
        <v>3300</v>
      </c>
      <c r="J232" s="322" t="s">
        <v>1434</v>
      </c>
      <c r="K232" s="340">
        <v>43729</v>
      </c>
      <c r="L232" s="339" t="s">
        <v>3306</v>
      </c>
      <c r="M232" s="322" t="s">
        <v>3307</v>
      </c>
      <c r="N232" s="339" t="s">
        <v>3308</v>
      </c>
      <c r="O232" s="332" t="s">
        <v>3366</v>
      </c>
      <c r="P232" s="345"/>
      <c r="Q232" s="322" t="s">
        <v>3247</v>
      </c>
      <c r="R232" s="322" t="s">
        <v>3253</v>
      </c>
      <c r="S232" s="346"/>
      <c r="T232" s="347">
        <v>6720</v>
      </c>
      <c r="U232" s="326">
        <v>0</v>
      </c>
      <c r="V232" s="348">
        <f t="shared" si="78"/>
        <v>6720</v>
      </c>
      <c r="W232" s="347">
        <v>8400</v>
      </c>
      <c r="X232" s="326">
        <v>0</v>
      </c>
      <c r="Y232" s="348">
        <f t="shared" si="86"/>
        <v>8400</v>
      </c>
      <c r="Z232" s="347">
        <v>1680</v>
      </c>
      <c r="AA232" s="326">
        <v>0</v>
      </c>
      <c r="AB232" s="348">
        <f t="shared" si="79"/>
        <v>1680</v>
      </c>
      <c r="AC232" s="820"/>
      <c r="AD232" s="821"/>
      <c r="AE232" s="822"/>
      <c r="AF232" s="820"/>
      <c r="AG232" s="821"/>
      <c r="AH232" s="822"/>
      <c r="AI232" s="482">
        <f t="shared" si="87"/>
        <v>16800</v>
      </c>
      <c r="AJ232" s="326">
        <f t="shared" si="89"/>
        <v>0</v>
      </c>
      <c r="AK232" s="3899">
        <v>0</v>
      </c>
      <c r="AL232" s="349">
        <f t="shared" si="83"/>
        <v>16800</v>
      </c>
      <c r="AM232" s="2002" t="s">
        <v>1061</v>
      </c>
      <c r="AN232" s="3357">
        <v>43236</v>
      </c>
      <c r="AO232" s="695">
        <v>1206572</v>
      </c>
      <c r="AP232" s="2722" t="s">
        <v>5491</v>
      </c>
      <c r="AQ232" s="3501">
        <v>1.0119899999999999</v>
      </c>
      <c r="AR232" s="333">
        <f t="shared" si="85"/>
        <v>6801</v>
      </c>
      <c r="AS232" s="330">
        <f>ROUND($AQ232/$G232*Y232,0)</f>
        <v>8501</v>
      </c>
      <c r="AT232" s="330">
        <f t="shared" si="90"/>
        <v>1700</v>
      </c>
      <c r="AU232" s="849"/>
      <c r="AV232" s="849"/>
      <c r="AW232" s="2870">
        <f t="shared" si="81"/>
        <v>17002</v>
      </c>
      <c r="AX232" s="3140"/>
      <c r="BB232" s="267"/>
      <c r="BC232" s="4117">
        <f t="shared" si="88"/>
        <v>0</v>
      </c>
      <c r="BD232" s="4117">
        <f t="shared" si="82"/>
        <v>0</v>
      </c>
    </row>
    <row r="233" spans="1:56" ht="127.5">
      <c r="A233" s="2418" t="s">
        <v>11135</v>
      </c>
      <c r="B233" s="338" t="s">
        <v>4377</v>
      </c>
      <c r="C233" s="321">
        <v>0</v>
      </c>
      <c r="D233" s="323">
        <v>42783</v>
      </c>
      <c r="E233" s="3012" t="s">
        <v>6385</v>
      </c>
      <c r="F233" s="324" t="s">
        <v>4154</v>
      </c>
      <c r="G233" s="2332">
        <v>1.0111000000000001</v>
      </c>
      <c r="H233" s="332" t="s">
        <v>4378</v>
      </c>
      <c r="I233" s="339" t="s">
        <v>1433</v>
      </c>
      <c r="J233" s="322" t="s">
        <v>1434</v>
      </c>
      <c r="K233" s="340">
        <v>44244</v>
      </c>
      <c r="L233" s="339" t="s">
        <v>4379</v>
      </c>
      <c r="M233" s="322" t="s">
        <v>4380</v>
      </c>
      <c r="N233" s="339" t="s">
        <v>4381</v>
      </c>
      <c r="O233" s="332" t="s">
        <v>4382</v>
      </c>
      <c r="P233" s="345"/>
      <c r="Q233" s="322" t="s">
        <v>4390</v>
      </c>
      <c r="R233" s="322" t="s">
        <v>4391</v>
      </c>
      <c r="S233" s="346"/>
      <c r="T233" s="347">
        <v>67667</v>
      </c>
      <c r="U233" s="326">
        <v>0</v>
      </c>
      <c r="V233" s="348">
        <f t="shared" si="78"/>
        <v>67667</v>
      </c>
      <c r="W233" s="347">
        <v>11942</v>
      </c>
      <c r="X233" s="326">
        <v>0</v>
      </c>
      <c r="Y233" s="348">
        <f t="shared" si="86"/>
        <v>11942</v>
      </c>
      <c r="Z233" s="347">
        <v>0</v>
      </c>
      <c r="AA233" s="326">
        <v>0</v>
      </c>
      <c r="AB233" s="348">
        <f t="shared" si="79"/>
        <v>0</v>
      </c>
      <c r="AC233" s="820"/>
      <c r="AD233" s="821"/>
      <c r="AE233" s="822"/>
      <c r="AF233" s="820"/>
      <c r="AG233" s="821"/>
      <c r="AH233" s="822"/>
      <c r="AI233" s="482">
        <f t="shared" si="87"/>
        <v>79609</v>
      </c>
      <c r="AJ233" s="326">
        <f t="shared" si="89"/>
        <v>0</v>
      </c>
      <c r="AK233" s="3899">
        <v>0</v>
      </c>
      <c r="AL233" s="349">
        <f t="shared" si="83"/>
        <v>79609</v>
      </c>
      <c r="AM233" s="2002" t="s">
        <v>1061</v>
      </c>
      <c r="AN233" s="3357">
        <v>43237</v>
      </c>
      <c r="AO233" s="695" t="s">
        <v>5517</v>
      </c>
      <c r="AP233" s="2722" t="s">
        <v>5516</v>
      </c>
      <c r="AQ233" s="3501">
        <v>1.0119899999999999</v>
      </c>
      <c r="AR233" s="333">
        <f t="shared" si="85"/>
        <v>67727</v>
      </c>
      <c r="AS233" s="330">
        <f>ROUND($AQ233/$G233*Y233,0)</f>
        <v>11953</v>
      </c>
      <c r="AT233" s="330">
        <f t="shared" si="90"/>
        <v>0</v>
      </c>
      <c r="AU233" s="849"/>
      <c r="AV233" s="849"/>
      <c r="AW233" s="2870">
        <f t="shared" si="81"/>
        <v>79680</v>
      </c>
      <c r="AX233" s="3140"/>
      <c r="BA233" s="854"/>
      <c r="BB233" s="267"/>
      <c r="BC233" s="4117">
        <f t="shared" si="88"/>
        <v>0</v>
      </c>
      <c r="BD233" s="4117">
        <f t="shared" si="82"/>
        <v>0</v>
      </c>
    </row>
    <row r="234" spans="1:56" ht="127.5">
      <c r="A234" s="2418" t="s">
        <v>11135</v>
      </c>
      <c r="B234" s="338" t="s">
        <v>5542</v>
      </c>
      <c r="C234" s="321">
        <v>0</v>
      </c>
      <c r="D234" s="323">
        <v>43102</v>
      </c>
      <c r="E234" s="3012" t="s">
        <v>6385</v>
      </c>
      <c r="F234" s="324" t="s">
        <v>4933</v>
      </c>
      <c r="G234" s="2332">
        <v>1.0119899999999999</v>
      </c>
      <c r="H234" s="332" t="s">
        <v>5194</v>
      </c>
      <c r="I234" s="339" t="s">
        <v>1433</v>
      </c>
      <c r="J234" s="322" t="s">
        <v>1434</v>
      </c>
      <c r="K234" s="340">
        <v>45282</v>
      </c>
      <c r="L234" s="339" t="s">
        <v>5195</v>
      </c>
      <c r="M234" s="322" t="s">
        <v>4960</v>
      </c>
      <c r="N234" s="339" t="s">
        <v>5196</v>
      </c>
      <c r="O234" s="332" t="s">
        <v>5197</v>
      </c>
      <c r="P234" s="345"/>
      <c r="Q234" s="322" t="s">
        <v>5198</v>
      </c>
      <c r="R234" s="322" t="s">
        <v>5199</v>
      </c>
      <c r="S234" s="346"/>
      <c r="T234" s="347">
        <v>16386</v>
      </c>
      <c r="U234" s="326">
        <v>0</v>
      </c>
      <c r="V234" s="348">
        <f t="shared" si="78"/>
        <v>16386</v>
      </c>
      <c r="W234" s="347">
        <v>2892</v>
      </c>
      <c r="X234" s="326">
        <v>0</v>
      </c>
      <c r="Y234" s="348">
        <f t="shared" si="86"/>
        <v>2892</v>
      </c>
      <c r="Z234" s="347">
        <v>0</v>
      </c>
      <c r="AA234" s="326">
        <v>0</v>
      </c>
      <c r="AB234" s="348">
        <f t="shared" si="79"/>
        <v>0</v>
      </c>
      <c r="AC234" s="820"/>
      <c r="AD234" s="821"/>
      <c r="AE234" s="822"/>
      <c r="AF234" s="820"/>
      <c r="AG234" s="821"/>
      <c r="AH234" s="822"/>
      <c r="AI234" s="482">
        <f t="shared" si="87"/>
        <v>19278</v>
      </c>
      <c r="AJ234" s="326">
        <f t="shared" si="89"/>
        <v>0</v>
      </c>
      <c r="AK234" s="3899">
        <v>0</v>
      </c>
      <c r="AL234" s="349">
        <f t="shared" si="83"/>
        <v>19278</v>
      </c>
      <c r="AM234" s="1298" t="s">
        <v>5540</v>
      </c>
      <c r="AN234" s="3529">
        <v>43241</v>
      </c>
      <c r="AO234" s="3530" t="s">
        <v>5541</v>
      </c>
      <c r="AP234" s="3222" t="s">
        <v>7788</v>
      </c>
      <c r="AQ234" s="3501">
        <v>1.0119899999999999</v>
      </c>
      <c r="AR234" s="333">
        <v>16934</v>
      </c>
      <c r="AS234" s="330">
        <v>2988</v>
      </c>
      <c r="AT234" s="330">
        <v>0</v>
      </c>
      <c r="AU234" s="849"/>
      <c r="AV234" s="849"/>
      <c r="AW234" s="2870">
        <f t="shared" si="81"/>
        <v>19922</v>
      </c>
      <c r="AX234" s="3140"/>
      <c r="AY234" s="2006"/>
      <c r="AZ234" s="1726"/>
      <c r="BB234" s="267"/>
      <c r="BC234" s="4117">
        <f t="shared" si="88"/>
        <v>0</v>
      </c>
      <c r="BD234" s="4117">
        <f t="shared" si="82"/>
        <v>0</v>
      </c>
    </row>
    <row r="235" spans="1:56" ht="76.5">
      <c r="A235" s="5964" t="s">
        <v>11140</v>
      </c>
      <c r="B235" s="338" t="s">
        <v>4534</v>
      </c>
      <c r="C235" s="321">
        <v>0</v>
      </c>
      <c r="D235" s="323">
        <v>43236</v>
      </c>
      <c r="E235" s="3012" t="s">
        <v>6385</v>
      </c>
      <c r="F235" s="1203">
        <v>43160</v>
      </c>
      <c r="G235" s="2404">
        <v>112.4</v>
      </c>
      <c r="H235" s="332" t="s">
        <v>5504</v>
      </c>
      <c r="I235" s="339" t="s">
        <v>5505</v>
      </c>
      <c r="J235" s="322" t="s">
        <v>4306</v>
      </c>
      <c r="K235" s="340">
        <v>43967</v>
      </c>
      <c r="L235" s="339" t="s">
        <v>5506</v>
      </c>
      <c r="M235" s="322" t="s">
        <v>5507</v>
      </c>
      <c r="N235" s="339" t="s">
        <v>5508</v>
      </c>
      <c r="O235" s="332" t="s">
        <v>5509</v>
      </c>
      <c r="P235" s="345"/>
      <c r="Q235" s="6094" t="s">
        <v>5349</v>
      </c>
      <c r="R235" s="322" t="s">
        <v>5350</v>
      </c>
      <c r="S235" s="346"/>
      <c r="T235" s="347">
        <v>2334</v>
      </c>
      <c r="U235" s="326">
        <v>0</v>
      </c>
      <c r="V235" s="348">
        <f t="shared" si="78"/>
        <v>2334</v>
      </c>
      <c r="W235" s="347">
        <v>2917</v>
      </c>
      <c r="X235" s="326">
        <v>0</v>
      </c>
      <c r="Y235" s="348">
        <f t="shared" si="86"/>
        <v>2917</v>
      </c>
      <c r="Z235" s="347">
        <v>833</v>
      </c>
      <c r="AA235" s="326">
        <v>0</v>
      </c>
      <c r="AB235" s="348">
        <f t="shared" si="79"/>
        <v>833</v>
      </c>
      <c r="AC235" s="820"/>
      <c r="AD235" s="821"/>
      <c r="AE235" s="822"/>
      <c r="AF235" s="820"/>
      <c r="AG235" s="821"/>
      <c r="AH235" s="822"/>
      <c r="AI235" s="482">
        <f t="shared" si="87"/>
        <v>6084</v>
      </c>
      <c r="AJ235" s="326">
        <f t="shared" si="89"/>
        <v>0</v>
      </c>
      <c r="AK235" s="3899">
        <v>0</v>
      </c>
      <c r="AL235" s="349">
        <f t="shared" si="83"/>
        <v>6084</v>
      </c>
      <c r="AM235" s="2002" t="s">
        <v>1061</v>
      </c>
      <c r="AN235" s="3357">
        <v>43244</v>
      </c>
      <c r="AO235" s="695">
        <v>1206757</v>
      </c>
      <c r="AP235" s="2722" t="s">
        <v>5458</v>
      </c>
      <c r="AQ235" s="3501">
        <v>112.4</v>
      </c>
      <c r="AR235" s="333">
        <f>ROUND($AQ235/$G235*V235,0)</f>
        <v>2334</v>
      </c>
      <c r="AS235" s="330">
        <f t="shared" ref="AS235:AS252" si="91">ROUND($AQ235/$G235*Y235,0)</f>
        <v>2917</v>
      </c>
      <c r="AT235" s="330">
        <f t="shared" ref="AT235:AT258" si="92">ROUND($AQ235/$G235*AB235,0)</f>
        <v>833</v>
      </c>
      <c r="AU235" s="849"/>
      <c r="AV235" s="849"/>
      <c r="AW235" s="2870">
        <f t="shared" si="81"/>
        <v>6084</v>
      </c>
      <c r="AX235" s="3140"/>
      <c r="BB235" s="267"/>
      <c r="BC235" s="4117">
        <f t="shared" si="88"/>
        <v>0</v>
      </c>
      <c r="BD235" s="4117">
        <f t="shared" si="82"/>
        <v>0</v>
      </c>
    </row>
    <row r="236" spans="1:56" ht="51">
      <c r="A236" s="2418" t="s">
        <v>11135</v>
      </c>
      <c r="B236" s="338" t="s">
        <v>4535</v>
      </c>
      <c r="C236" s="321">
        <v>0</v>
      </c>
      <c r="D236" s="323">
        <v>43236</v>
      </c>
      <c r="E236" s="3012" t="s">
        <v>6385</v>
      </c>
      <c r="F236" s="324" t="s">
        <v>4933</v>
      </c>
      <c r="G236" s="2332">
        <v>1.0119899999999999</v>
      </c>
      <c r="H236" s="332" t="s">
        <v>5510</v>
      </c>
      <c r="I236" s="339" t="s">
        <v>1433</v>
      </c>
      <c r="J236" s="322" t="s">
        <v>1434</v>
      </c>
      <c r="K236" s="340" t="s">
        <v>5515</v>
      </c>
      <c r="L236" s="339" t="s">
        <v>4384</v>
      </c>
      <c r="M236" s="322" t="s">
        <v>5500</v>
      </c>
      <c r="N236" s="339" t="s">
        <v>5511</v>
      </c>
      <c r="O236" s="332" t="s">
        <v>5512</v>
      </c>
      <c r="P236" s="345"/>
      <c r="Q236" s="322" t="s">
        <v>5513</v>
      </c>
      <c r="R236" s="322" t="s">
        <v>5514</v>
      </c>
      <c r="S236" s="346"/>
      <c r="T236" s="347">
        <v>920</v>
      </c>
      <c r="U236" s="326">
        <v>0</v>
      </c>
      <c r="V236" s="348">
        <f t="shared" si="78"/>
        <v>920</v>
      </c>
      <c r="W236" s="347">
        <v>163</v>
      </c>
      <c r="X236" s="326">
        <v>0</v>
      </c>
      <c r="Y236" s="348">
        <f t="shared" si="86"/>
        <v>163</v>
      </c>
      <c r="Z236" s="347">
        <v>71</v>
      </c>
      <c r="AA236" s="326">
        <v>0</v>
      </c>
      <c r="AB236" s="348">
        <f t="shared" si="79"/>
        <v>71</v>
      </c>
      <c r="AC236" s="820"/>
      <c r="AD236" s="821"/>
      <c r="AE236" s="822"/>
      <c r="AF236" s="820"/>
      <c r="AG236" s="821"/>
      <c r="AH236" s="822"/>
      <c r="AI236" s="482">
        <f t="shared" si="87"/>
        <v>1154</v>
      </c>
      <c r="AJ236" s="326">
        <f t="shared" si="89"/>
        <v>0</v>
      </c>
      <c r="AK236" s="3899">
        <v>0</v>
      </c>
      <c r="AL236" s="349">
        <f t="shared" si="83"/>
        <v>1154</v>
      </c>
      <c r="AM236" s="2002" t="s">
        <v>1061</v>
      </c>
      <c r="AN236" s="3357">
        <v>43248</v>
      </c>
      <c r="AO236" s="695">
        <v>1206827</v>
      </c>
      <c r="AP236" s="2722" t="s">
        <v>5516</v>
      </c>
      <c r="AQ236" s="3501">
        <v>1.0119899999999999</v>
      </c>
      <c r="AR236" s="333">
        <f>ROUND($AQ236/$G236*V236,0)</f>
        <v>920</v>
      </c>
      <c r="AS236" s="330">
        <f t="shared" si="91"/>
        <v>163</v>
      </c>
      <c r="AT236" s="330">
        <f t="shared" si="92"/>
        <v>71</v>
      </c>
      <c r="AU236" s="849"/>
      <c r="AV236" s="849"/>
      <c r="AW236" s="2870">
        <f t="shared" si="81"/>
        <v>1154</v>
      </c>
      <c r="AX236" s="3140"/>
      <c r="BB236" s="267"/>
      <c r="BC236" s="4117">
        <f t="shared" si="88"/>
        <v>0</v>
      </c>
      <c r="BD236" s="4117">
        <f t="shared" si="82"/>
        <v>0</v>
      </c>
    </row>
    <row r="237" spans="1:56" ht="63.75">
      <c r="A237" s="2418" t="s">
        <v>11135</v>
      </c>
      <c r="B237" s="338" t="s">
        <v>2944</v>
      </c>
      <c r="C237" s="695">
        <v>1</v>
      </c>
      <c r="D237" s="323" t="s">
        <v>4430</v>
      </c>
      <c r="E237" s="3012" t="s">
        <v>6385</v>
      </c>
      <c r="F237" s="324" t="s">
        <v>6405</v>
      </c>
      <c r="G237" s="2332">
        <v>1.0111000000000001</v>
      </c>
      <c r="H237" s="332" t="s">
        <v>4429</v>
      </c>
      <c r="I237" s="339" t="s">
        <v>1433</v>
      </c>
      <c r="J237" s="322" t="s">
        <v>1434</v>
      </c>
      <c r="K237" s="340">
        <v>43859</v>
      </c>
      <c r="L237" s="339" t="s">
        <v>3649</v>
      </c>
      <c r="M237" s="322" t="s">
        <v>4432</v>
      </c>
      <c r="N237" s="339" t="s">
        <v>3650</v>
      </c>
      <c r="O237" s="332" t="s">
        <v>3651</v>
      </c>
      <c r="P237" s="345" t="s">
        <v>4428</v>
      </c>
      <c r="Q237" s="322" t="s">
        <v>4431</v>
      </c>
      <c r="R237" s="322" t="s">
        <v>3652</v>
      </c>
      <c r="S237" s="346"/>
      <c r="T237" s="347">
        <v>4853</v>
      </c>
      <c r="U237" s="326">
        <v>0</v>
      </c>
      <c r="V237" s="348">
        <f t="shared" si="78"/>
        <v>4853</v>
      </c>
      <c r="W237" s="347">
        <v>6067</v>
      </c>
      <c r="X237" s="326">
        <v>0</v>
      </c>
      <c r="Y237" s="348">
        <f t="shared" si="86"/>
        <v>6067</v>
      </c>
      <c r="Z237" s="347">
        <v>1213</v>
      </c>
      <c r="AA237" s="326">
        <v>0</v>
      </c>
      <c r="AB237" s="348">
        <f t="shared" si="79"/>
        <v>1213</v>
      </c>
      <c r="AC237" s="820"/>
      <c r="AD237" s="821"/>
      <c r="AE237" s="822"/>
      <c r="AF237" s="820"/>
      <c r="AG237" s="821"/>
      <c r="AH237" s="822"/>
      <c r="AI237" s="482">
        <f t="shared" si="87"/>
        <v>12133</v>
      </c>
      <c r="AJ237" s="326">
        <f t="shared" si="89"/>
        <v>0</v>
      </c>
      <c r="AK237" s="3899">
        <v>0</v>
      </c>
      <c r="AL237" s="349">
        <f t="shared" si="83"/>
        <v>12133</v>
      </c>
      <c r="AM237" s="2002" t="s">
        <v>1061</v>
      </c>
      <c r="AN237" s="3357">
        <v>43249</v>
      </c>
      <c r="AO237" s="695">
        <v>1206839</v>
      </c>
      <c r="AP237" s="2722" t="s">
        <v>4929</v>
      </c>
      <c r="AQ237" s="3501">
        <v>1.0119899999999999</v>
      </c>
      <c r="AR237" s="333">
        <f>ROUND($AQ237/$G237*V237,0)</f>
        <v>4857</v>
      </c>
      <c r="AS237" s="330">
        <f t="shared" si="91"/>
        <v>6072</v>
      </c>
      <c r="AT237" s="330">
        <f t="shared" si="92"/>
        <v>1214</v>
      </c>
      <c r="AU237" s="849"/>
      <c r="AV237" s="849"/>
      <c r="AW237" s="2873">
        <f t="shared" si="81"/>
        <v>12143</v>
      </c>
      <c r="AX237" s="3140"/>
      <c r="BB237" s="267"/>
      <c r="BC237" s="4117">
        <f t="shared" si="88"/>
        <v>0</v>
      </c>
      <c r="BD237" s="4117">
        <f t="shared" si="82"/>
        <v>0</v>
      </c>
    </row>
    <row r="238" spans="1:56" ht="115.5" thickBot="1">
      <c r="A238" s="6016" t="s">
        <v>11135</v>
      </c>
      <c r="B238" s="2584" t="s">
        <v>4540</v>
      </c>
      <c r="C238" s="2585">
        <v>0</v>
      </c>
      <c r="D238" s="2586">
        <v>43245</v>
      </c>
      <c r="E238" s="2992" t="s">
        <v>6385</v>
      </c>
      <c r="F238" s="3105" t="s">
        <v>4933</v>
      </c>
      <c r="G238" s="3106">
        <v>1.0119899999999999</v>
      </c>
      <c r="H238" s="2587" t="s">
        <v>5568</v>
      </c>
      <c r="I238" s="2588" t="s">
        <v>1330</v>
      </c>
      <c r="J238" s="2589" t="s">
        <v>4306</v>
      </c>
      <c r="K238" s="2590">
        <v>43722</v>
      </c>
      <c r="L238" s="2588" t="s">
        <v>5569</v>
      </c>
      <c r="M238" s="2589" t="s">
        <v>5570</v>
      </c>
      <c r="N238" s="2588" t="s">
        <v>5572</v>
      </c>
      <c r="O238" s="2587" t="s">
        <v>5571</v>
      </c>
      <c r="P238" s="2591" t="s">
        <v>5573</v>
      </c>
      <c r="Q238" s="2589" t="s">
        <v>5574</v>
      </c>
      <c r="R238" s="2589" t="s">
        <v>5575</v>
      </c>
      <c r="S238" s="2592" t="s">
        <v>5576</v>
      </c>
      <c r="T238" s="2593">
        <v>0</v>
      </c>
      <c r="U238" s="2594">
        <v>0</v>
      </c>
      <c r="V238" s="2595">
        <f t="shared" si="78"/>
        <v>0</v>
      </c>
      <c r="W238" s="2593">
        <v>0</v>
      </c>
      <c r="X238" s="2594">
        <v>0</v>
      </c>
      <c r="Y238" s="2595">
        <f t="shared" si="86"/>
        <v>0</v>
      </c>
      <c r="Z238" s="2593">
        <v>3684</v>
      </c>
      <c r="AA238" s="2594">
        <v>0</v>
      </c>
      <c r="AB238" s="2595">
        <f t="shared" si="79"/>
        <v>3684</v>
      </c>
      <c r="AC238" s="2596"/>
      <c r="AD238" s="2597"/>
      <c r="AE238" s="2598"/>
      <c r="AF238" s="2596"/>
      <c r="AG238" s="2597"/>
      <c r="AH238" s="2598"/>
      <c r="AI238" s="2599">
        <f t="shared" si="87"/>
        <v>3684</v>
      </c>
      <c r="AJ238" s="2594">
        <f t="shared" si="89"/>
        <v>0</v>
      </c>
      <c r="AK238" s="3903">
        <v>0</v>
      </c>
      <c r="AL238" s="2600">
        <f t="shared" si="83"/>
        <v>3684</v>
      </c>
      <c r="AM238" s="3531" t="s">
        <v>1061</v>
      </c>
      <c r="AN238" s="3532" t="s">
        <v>5587</v>
      </c>
      <c r="AO238" s="3533">
        <v>1206840</v>
      </c>
      <c r="AP238" s="3534" t="s">
        <v>4929</v>
      </c>
      <c r="AQ238" s="3535">
        <v>1.0119899999999999</v>
      </c>
      <c r="AR238" s="2601">
        <f>ROUND($AQ238/$G238*V238,0)</f>
        <v>0</v>
      </c>
      <c r="AS238" s="2602">
        <f t="shared" si="91"/>
        <v>0</v>
      </c>
      <c r="AT238" s="2602">
        <f t="shared" si="92"/>
        <v>3684</v>
      </c>
      <c r="AU238" s="2603"/>
      <c r="AV238" s="2603"/>
      <c r="AW238" s="2869">
        <f t="shared" si="81"/>
        <v>3684</v>
      </c>
      <c r="AX238" s="2890"/>
      <c r="AY238" s="764" t="s">
        <v>5467</v>
      </c>
      <c r="AZ238" s="1662">
        <f>SUM(AW229:AW238)</f>
        <v>230280</v>
      </c>
      <c r="BA238" s="1727">
        <f>AZ238</f>
        <v>230280</v>
      </c>
      <c r="BB238" s="267"/>
      <c r="BC238" s="4117">
        <f t="shared" si="88"/>
        <v>0</v>
      </c>
      <c r="BD238" s="4117">
        <f t="shared" si="82"/>
        <v>0</v>
      </c>
    </row>
    <row r="239" spans="1:56" ht="76.5">
      <c r="A239" s="5978" t="s">
        <v>11140</v>
      </c>
      <c r="B239" s="1538" t="s">
        <v>5186</v>
      </c>
      <c r="C239" s="1509">
        <v>0</v>
      </c>
      <c r="D239" s="1510">
        <v>42969</v>
      </c>
      <c r="E239" s="3049" t="s">
        <v>6385</v>
      </c>
      <c r="F239" s="2139">
        <v>42979</v>
      </c>
      <c r="G239" s="2334">
        <v>111.5</v>
      </c>
      <c r="H239" s="1513" t="s">
        <v>4839</v>
      </c>
      <c r="I239" s="1514" t="s">
        <v>4840</v>
      </c>
      <c r="J239" s="1515" t="s">
        <v>4306</v>
      </c>
      <c r="K239" s="1516">
        <v>43699</v>
      </c>
      <c r="L239" s="1514" t="s">
        <v>4841</v>
      </c>
      <c r="M239" s="1515" t="s">
        <v>4842</v>
      </c>
      <c r="N239" s="1514" t="s">
        <v>4843</v>
      </c>
      <c r="O239" s="1513" t="s">
        <v>4844</v>
      </c>
      <c r="P239" s="1517"/>
      <c r="Q239" s="6094" t="s">
        <v>4332</v>
      </c>
      <c r="R239" s="1515" t="s">
        <v>1046</v>
      </c>
      <c r="S239" s="1518"/>
      <c r="T239" s="1519">
        <v>461</v>
      </c>
      <c r="U239" s="1504">
        <v>0</v>
      </c>
      <c r="V239" s="1520">
        <f t="shared" si="78"/>
        <v>461</v>
      </c>
      <c r="W239" s="1519">
        <v>576</v>
      </c>
      <c r="X239" s="1504">
        <v>0</v>
      </c>
      <c r="Y239" s="1520">
        <f t="shared" si="86"/>
        <v>576</v>
      </c>
      <c r="Z239" s="1519">
        <v>165</v>
      </c>
      <c r="AA239" s="1504">
        <v>0</v>
      </c>
      <c r="AB239" s="1520">
        <f t="shared" si="79"/>
        <v>165</v>
      </c>
      <c r="AC239" s="820"/>
      <c r="AD239" s="821"/>
      <c r="AE239" s="822"/>
      <c r="AF239" s="820"/>
      <c r="AG239" s="821"/>
      <c r="AH239" s="822"/>
      <c r="AI239" s="1503">
        <f t="shared" si="87"/>
        <v>1202</v>
      </c>
      <c r="AJ239" s="1504">
        <f t="shared" si="89"/>
        <v>0</v>
      </c>
      <c r="AK239" s="3912">
        <v>0</v>
      </c>
      <c r="AL239" s="1505">
        <f t="shared" si="83"/>
        <v>1202</v>
      </c>
      <c r="AM239" s="1508" t="s">
        <v>1061</v>
      </c>
      <c r="AN239" s="3401">
        <v>43265</v>
      </c>
      <c r="AO239" s="3402">
        <v>1207193</v>
      </c>
      <c r="AP239" s="2664" t="s">
        <v>5592</v>
      </c>
      <c r="AQ239" s="3495">
        <v>112.4</v>
      </c>
      <c r="AR239" s="1506">
        <f>ROUND($AQ239/$G239*V239,0)</f>
        <v>465</v>
      </c>
      <c r="AS239" s="1507">
        <f t="shared" si="91"/>
        <v>581</v>
      </c>
      <c r="AT239" s="1507">
        <f t="shared" si="92"/>
        <v>166</v>
      </c>
      <c r="AU239" s="849"/>
      <c r="AV239" s="849"/>
      <c r="AW239" s="2878">
        <f t="shared" si="81"/>
        <v>1212</v>
      </c>
      <c r="AX239" s="3146"/>
      <c r="BB239" s="267"/>
      <c r="BC239" s="4117">
        <f t="shared" si="88"/>
        <v>0</v>
      </c>
      <c r="BD239" s="4117">
        <f t="shared" si="82"/>
        <v>0</v>
      </c>
    </row>
    <row r="240" spans="1:56" ht="63.75">
      <c r="A240" s="6017" t="s">
        <v>11135</v>
      </c>
      <c r="B240" s="2298" t="s">
        <v>5666</v>
      </c>
      <c r="C240" s="2299" t="s">
        <v>5668</v>
      </c>
      <c r="D240" s="2300" t="s">
        <v>5667</v>
      </c>
      <c r="E240" s="3049" t="s">
        <v>6385</v>
      </c>
      <c r="F240" s="3107" t="s">
        <v>6406</v>
      </c>
      <c r="G240" s="3097">
        <v>1.0119899999999999</v>
      </c>
      <c r="H240" s="2306" t="s">
        <v>5553</v>
      </c>
      <c r="I240" s="2303" t="s">
        <v>1433</v>
      </c>
      <c r="J240" s="2304" t="s">
        <v>1434</v>
      </c>
      <c r="K240" s="2305">
        <v>44219</v>
      </c>
      <c r="L240" s="2303" t="s">
        <v>4292</v>
      </c>
      <c r="M240" s="2304" t="s">
        <v>4293</v>
      </c>
      <c r="N240" s="2303" t="s">
        <v>4294</v>
      </c>
      <c r="O240" s="2306" t="s">
        <v>4295</v>
      </c>
      <c r="P240" s="2321" t="s">
        <v>5665</v>
      </c>
      <c r="Q240" s="2304" t="s">
        <v>5554</v>
      </c>
      <c r="R240" s="2304" t="s">
        <v>4291</v>
      </c>
      <c r="S240" s="2607" t="s">
        <v>5699</v>
      </c>
      <c r="T240" s="2308">
        <v>50114</v>
      </c>
      <c r="U240" s="2309">
        <v>0</v>
      </c>
      <c r="V240" s="2310">
        <f t="shared" si="78"/>
        <v>50114</v>
      </c>
      <c r="W240" s="2308">
        <v>8844</v>
      </c>
      <c r="X240" s="2309">
        <v>0</v>
      </c>
      <c r="Y240" s="2310">
        <f t="shared" si="86"/>
        <v>8844</v>
      </c>
      <c r="Z240" s="2308">
        <v>36303</v>
      </c>
      <c r="AA240" s="2309">
        <v>0</v>
      </c>
      <c r="AB240" s="2310">
        <f t="shared" si="79"/>
        <v>36303</v>
      </c>
      <c r="AC240" s="823"/>
      <c r="AD240" s="824"/>
      <c r="AE240" s="825"/>
      <c r="AF240" s="823"/>
      <c r="AG240" s="824"/>
      <c r="AH240" s="825"/>
      <c r="AI240" s="2311">
        <f t="shared" si="87"/>
        <v>95261</v>
      </c>
      <c r="AJ240" s="2309">
        <f t="shared" si="89"/>
        <v>0</v>
      </c>
      <c r="AK240" s="3914">
        <v>0</v>
      </c>
      <c r="AL240" s="2312">
        <f t="shared" si="83"/>
        <v>95261</v>
      </c>
      <c r="AM240" s="3491" t="s">
        <v>7296</v>
      </c>
      <c r="AN240" s="3492">
        <v>43265</v>
      </c>
      <c r="AO240" s="2492">
        <v>1207194</v>
      </c>
      <c r="AP240" s="2905" t="s">
        <v>4933</v>
      </c>
      <c r="AQ240" s="3508">
        <v>1.0119899999999999</v>
      </c>
      <c r="AR240" s="2313">
        <f>ROUND($AQ240/$G240*V240,0)+360</f>
        <v>50474</v>
      </c>
      <c r="AS240" s="2314">
        <f t="shared" si="91"/>
        <v>8844</v>
      </c>
      <c r="AT240" s="2314">
        <f t="shared" si="92"/>
        <v>36303</v>
      </c>
      <c r="AU240" s="848"/>
      <c r="AV240" s="848"/>
      <c r="AW240" s="2883">
        <f t="shared" si="81"/>
        <v>95621</v>
      </c>
      <c r="AX240" s="2900" t="s">
        <v>5669</v>
      </c>
      <c r="BB240" s="267"/>
      <c r="BC240" s="4117">
        <f t="shared" si="88"/>
        <v>0</v>
      </c>
      <c r="BD240" s="4117">
        <f t="shared" si="82"/>
        <v>0</v>
      </c>
    </row>
    <row r="241" spans="1:61" ht="63.75">
      <c r="A241" s="6017" t="s">
        <v>11135</v>
      </c>
      <c r="B241" s="2298" t="s">
        <v>5698</v>
      </c>
      <c r="C241" s="2299" t="s">
        <v>5668</v>
      </c>
      <c r="D241" s="2300" t="s">
        <v>5667</v>
      </c>
      <c r="E241" s="3049" t="s">
        <v>6385</v>
      </c>
      <c r="F241" s="3107" t="s">
        <v>6406</v>
      </c>
      <c r="G241" s="3097">
        <v>1.0119899999999999</v>
      </c>
      <c r="H241" s="2306" t="s">
        <v>5553</v>
      </c>
      <c r="I241" s="2303" t="s">
        <v>1433</v>
      </c>
      <c r="J241" s="2304" t="s">
        <v>1434</v>
      </c>
      <c r="K241" s="2305">
        <v>44219</v>
      </c>
      <c r="L241" s="2303" t="s">
        <v>4292</v>
      </c>
      <c r="M241" s="2304" t="s">
        <v>4293</v>
      </c>
      <c r="N241" s="2303" t="s">
        <v>4294</v>
      </c>
      <c r="O241" s="2306" t="s">
        <v>4295</v>
      </c>
      <c r="P241" s="2321" t="s">
        <v>5665</v>
      </c>
      <c r="Q241" s="2304" t="s">
        <v>5554</v>
      </c>
      <c r="R241" s="2304" t="s">
        <v>4291</v>
      </c>
      <c r="S241" s="2607" t="s">
        <v>5700</v>
      </c>
      <c r="T241" s="2605">
        <v>-360</v>
      </c>
      <c r="U241" s="2309">
        <v>0</v>
      </c>
      <c r="V241" s="2606">
        <f t="shared" si="78"/>
        <v>-360</v>
      </c>
      <c r="W241" s="2308">
        <v>0</v>
      </c>
      <c r="X241" s="2309">
        <v>0</v>
      </c>
      <c r="Y241" s="2310">
        <f t="shared" si="86"/>
        <v>0</v>
      </c>
      <c r="Z241" s="2308">
        <v>0</v>
      </c>
      <c r="AA241" s="2309">
        <v>0</v>
      </c>
      <c r="AB241" s="2310">
        <f t="shared" si="79"/>
        <v>0</v>
      </c>
      <c r="AC241" s="823"/>
      <c r="AD241" s="824"/>
      <c r="AE241" s="825"/>
      <c r="AF241" s="823"/>
      <c r="AG241" s="824"/>
      <c r="AH241" s="825"/>
      <c r="AI241" s="2608">
        <f t="shared" si="87"/>
        <v>-360</v>
      </c>
      <c r="AJ241" s="2309">
        <f t="shared" si="89"/>
        <v>0</v>
      </c>
      <c r="AK241" s="3914">
        <v>0</v>
      </c>
      <c r="AL241" s="2609">
        <f t="shared" si="83"/>
        <v>-360</v>
      </c>
      <c r="AM241" s="3536" t="s">
        <v>5701</v>
      </c>
      <c r="AN241" s="3537">
        <v>43278</v>
      </c>
      <c r="AO241" s="3538" t="s">
        <v>5739</v>
      </c>
      <c r="AP241" s="3539" t="s">
        <v>4933</v>
      </c>
      <c r="AQ241" s="3540">
        <v>1.0119899999999999</v>
      </c>
      <c r="AR241" s="2313">
        <v>-360</v>
      </c>
      <c r="AS241" s="2314">
        <f t="shared" si="91"/>
        <v>0</v>
      </c>
      <c r="AT241" s="2314">
        <f t="shared" si="92"/>
        <v>0</v>
      </c>
      <c r="AU241" s="848"/>
      <c r="AV241" s="848"/>
      <c r="AW241" s="2883">
        <f t="shared" si="81"/>
        <v>-360</v>
      </c>
      <c r="AX241" s="2900" t="s">
        <v>7297</v>
      </c>
      <c r="BB241" s="267"/>
      <c r="BC241" s="4117">
        <f t="shared" si="88"/>
        <v>0</v>
      </c>
      <c r="BD241" s="4117">
        <f t="shared" si="82"/>
        <v>0</v>
      </c>
      <c r="BE241" s="4111">
        <f>AW241</f>
        <v>-360</v>
      </c>
    </row>
    <row r="242" spans="1:61" ht="76.5">
      <c r="A242" s="5978" t="s">
        <v>11140</v>
      </c>
      <c r="B242" s="1538" t="s">
        <v>4537</v>
      </c>
      <c r="C242" s="1509">
        <v>0</v>
      </c>
      <c r="D242" s="1510">
        <v>43242</v>
      </c>
      <c r="E242" s="3049" t="s">
        <v>6385</v>
      </c>
      <c r="F242" s="2139">
        <v>43160</v>
      </c>
      <c r="G242" s="2334">
        <v>112.4</v>
      </c>
      <c r="H242" s="1513" t="s">
        <v>5526</v>
      </c>
      <c r="I242" s="1514" t="s">
        <v>5531</v>
      </c>
      <c r="J242" s="1515" t="s">
        <v>4306</v>
      </c>
      <c r="K242" s="1516">
        <v>43973</v>
      </c>
      <c r="L242" s="1514" t="s">
        <v>5532</v>
      </c>
      <c r="M242" s="1515" t="s">
        <v>5533</v>
      </c>
      <c r="N242" s="1514" t="s">
        <v>5534</v>
      </c>
      <c r="O242" s="1513" t="s">
        <v>5535</v>
      </c>
      <c r="P242" s="1517"/>
      <c r="Q242" s="6094" t="s">
        <v>5349</v>
      </c>
      <c r="R242" s="1515" t="s">
        <v>5350</v>
      </c>
      <c r="S242" s="1518"/>
      <c r="T242" s="1519">
        <v>2334</v>
      </c>
      <c r="U242" s="1504">
        <v>0</v>
      </c>
      <c r="V242" s="1520">
        <f t="shared" si="78"/>
        <v>2334</v>
      </c>
      <c r="W242" s="1519">
        <v>2917</v>
      </c>
      <c r="X242" s="1504">
        <v>0</v>
      </c>
      <c r="Y242" s="1520">
        <f t="shared" si="86"/>
        <v>2917</v>
      </c>
      <c r="Z242" s="1519">
        <v>833</v>
      </c>
      <c r="AA242" s="1504">
        <v>0</v>
      </c>
      <c r="AB242" s="1520">
        <f t="shared" si="79"/>
        <v>833</v>
      </c>
      <c r="AC242" s="820"/>
      <c r="AD242" s="821"/>
      <c r="AE242" s="822"/>
      <c r="AF242" s="820"/>
      <c r="AG242" s="821"/>
      <c r="AH242" s="822"/>
      <c r="AI242" s="1503">
        <f t="shared" si="87"/>
        <v>6084</v>
      </c>
      <c r="AJ242" s="1504">
        <f t="shared" si="89"/>
        <v>0</v>
      </c>
      <c r="AK242" s="3912">
        <v>0</v>
      </c>
      <c r="AL242" s="1505">
        <f t="shared" si="83"/>
        <v>6084</v>
      </c>
      <c r="AM242" s="1508" t="s">
        <v>1061</v>
      </c>
      <c r="AN242" s="3401">
        <v>43266</v>
      </c>
      <c r="AO242" s="3402">
        <v>1207224</v>
      </c>
      <c r="AP242" s="2664" t="s">
        <v>5592</v>
      </c>
      <c r="AQ242" s="3495">
        <v>112.4</v>
      </c>
      <c r="AR242" s="1506">
        <f>ROUND($AQ242/$G242*V242,0)</f>
        <v>2334</v>
      </c>
      <c r="AS242" s="1507">
        <f t="shared" si="91"/>
        <v>2917</v>
      </c>
      <c r="AT242" s="1507">
        <f t="shared" si="92"/>
        <v>833</v>
      </c>
      <c r="AU242" s="849"/>
      <c r="AV242" s="849"/>
      <c r="AW242" s="2878">
        <f t="shared" si="81"/>
        <v>6084</v>
      </c>
      <c r="AX242" s="3146"/>
      <c r="BB242" s="267"/>
      <c r="BC242" s="4117">
        <f t="shared" si="88"/>
        <v>0</v>
      </c>
      <c r="BD242" s="4117">
        <f t="shared" si="82"/>
        <v>0</v>
      </c>
    </row>
    <row r="243" spans="1:61" ht="76.5">
      <c r="A243" s="5978" t="s">
        <v>11140</v>
      </c>
      <c r="B243" s="1538" t="s">
        <v>5675</v>
      </c>
      <c r="C243" s="1509">
        <v>0</v>
      </c>
      <c r="D243" s="1510">
        <v>42949</v>
      </c>
      <c r="E243" s="3049" t="s">
        <v>6385</v>
      </c>
      <c r="F243" s="2139">
        <v>42887</v>
      </c>
      <c r="G243" s="2334">
        <v>111</v>
      </c>
      <c r="H243" s="1513" t="s">
        <v>4786</v>
      </c>
      <c r="I243" s="1514" t="s">
        <v>4808</v>
      </c>
      <c r="J243" s="1515" t="s">
        <v>4306</v>
      </c>
      <c r="K243" s="1516">
        <v>43679</v>
      </c>
      <c r="L243" s="1514" t="s">
        <v>4790</v>
      </c>
      <c r="M243" s="1515" t="s">
        <v>4791</v>
      </c>
      <c r="N243" s="1514" t="s">
        <v>4792</v>
      </c>
      <c r="O243" s="1513" t="s">
        <v>4793</v>
      </c>
      <c r="P243" s="1517"/>
      <c r="Q243" s="6094" t="s">
        <v>4332</v>
      </c>
      <c r="R243" s="1515" t="s">
        <v>1046</v>
      </c>
      <c r="S243" s="1518"/>
      <c r="T243" s="1519">
        <v>2304</v>
      </c>
      <c r="U243" s="1504">
        <v>0</v>
      </c>
      <c r="V243" s="1520">
        <f t="shared" si="78"/>
        <v>2304</v>
      </c>
      <c r="W243" s="1519">
        <v>2881</v>
      </c>
      <c r="X243" s="1504">
        <v>0</v>
      </c>
      <c r="Y243" s="1520">
        <f t="shared" si="86"/>
        <v>2881</v>
      </c>
      <c r="Z243" s="1519">
        <v>823</v>
      </c>
      <c r="AA243" s="1504">
        <v>0</v>
      </c>
      <c r="AB243" s="1520">
        <f t="shared" si="79"/>
        <v>823</v>
      </c>
      <c r="AC243" s="820"/>
      <c r="AD243" s="821"/>
      <c r="AE243" s="822"/>
      <c r="AF243" s="820"/>
      <c r="AG243" s="821"/>
      <c r="AH243" s="822"/>
      <c r="AI243" s="1503">
        <f t="shared" si="87"/>
        <v>6008</v>
      </c>
      <c r="AJ243" s="1504">
        <f t="shared" si="89"/>
        <v>0</v>
      </c>
      <c r="AK243" s="3912">
        <v>0</v>
      </c>
      <c r="AL243" s="1505">
        <f t="shared" si="83"/>
        <v>6008</v>
      </c>
      <c r="AM243" s="1508" t="s">
        <v>1061</v>
      </c>
      <c r="AN243" s="3401">
        <v>43269</v>
      </c>
      <c r="AO243" s="3402">
        <v>1207262</v>
      </c>
      <c r="AP243" s="2664" t="s">
        <v>5592</v>
      </c>
      <c r="AQ243" s="3495">
        <v>112.4</v>
      </c>
      <c r="AR243" s="1506">
        <f>ROUND($AQ243/$G243*V243,0)+1</f>
        <v>2334</v>
      </c>
      <c r="AS243" s="1507">
        <f t="shared" si="91"/>
        <v>2917</v>
      </c>
      <c r="AT243" s="1507">
        <f t="shared" si="92"/>
        <v>833</v>
      </c>
      <c r="AU243" s="849"/>
      <c r="AV243" s="849"/>
      <c r="AW243" s="2878">
        <f t="shared" si="81"/>
        <v>6084</v>
      </c>
      <c r="AX243" s="3146"/>
      <c r="BB243" s="267"/>
      <c r="BC243" s="4117">
        <f t="shared" si="88"/>
        <v>0</v>
      </c>
      <c r="BD243" s="4117">
        <f t="shared" si="82"/>
        <v>0</v>
      </c>
    </row>
    <row r="244" spans="1:61" ht="127.5">
      <c r="A244" s="5981" t="s">
        <v>11135</v>
      </c>
      <c r="B244" s="1538" t="s">
        <v>4542</v>
      </c>
      <c r="C244" s="1509">
        <v>0</v>
      </c>
      <c r="D244" s="1510">
        <v>43262</v>
      </c>
      <c r="E244" s="3049" t="s">
        <v>6385</v>
      </c>
      <c r="F244" s="1511" t="s">
        <v>4933</v>
      </c>
      <c r="G244" s="2498">
        <v>1.0119899999999999</v>
      </c>
      <c r="H244" s="1513" t="s">
        <v>5657</v>
      </c>
      <c r="I244" s="1514" t="s">
        <v>1433</v>
      </c>
      <c r="J244" s="1515" t="s">
        <v>1434</v>
      </c>
      <c r="K244" s="1516">
        <v>45454</v>
      </c>
      <c r="L244" s="1514" t="s">
        <v>3991</v>
      </c>
      <c r="M244" s="1515" t="s">
        <v>5363</v>
      </c>
      <c r="N244" s="1514" t="s">
        <v>5659</v>
      </c>
      <c r="O244" s="1513" t="s">
        <v>5658</v>
      </c>
      <c r="P244" s="1517"/>
      <c r="Q244" s="1515" t="s">
        <v>5661</v>
      </c>
      <c r="R244" s="1515" t="s">
        <v>5662</v>
      </c>
      <c r="S244" s="1518" t="s">
        <v>5660</v>
      </c>
      <c r="T244" s="1519">
        <v>25515</v>
      </c>
      <c r="U244" s="1504">
        <v>0</v>
      </c>
      <c r="V244" s="1520">
        <f t="shared" si="78"/>
        <v>25515</v>
      </c>
      <c r="W244" s="1519">
        <v>14875</v>
      </c>
      <c r="X244" s="1504">
        <v>0</v>
      </c>
      <c r="Y244" s="1520">
        <f t="shared" si="86"/>
        <v>14875</v>
      </c>
      <c r="Z244" s="1519">
        <v>16032</v>
      </c>
      <c r="AA244" s="1504">
        <v>0</v>
      </c>
      <c r="AB244" s="1520">
        <f t="shared" si="79"/>
        <v>16032</v>
      </c>
      <c r="AC244" s="820"/>
      <c r="AD244" s="821"/>
      <c r="AE244" s="822"/>
      <c r="AF244" s="820"/>
      <c r="AG244" s="821"/>
      <c r="AH244" s="822"/>
      <c r="AI244" s="1503">
        <f t="shared" si="87"/>
        <v>56422</v>
      </c>
      <c r="AJ244" s="1504">
        <f t="shared" si="89"/>
        <v>0</v>
      </c>
      <c r="AK244" s="3912">
        <v>0</v>
      </c>
      <c r="AL244" s="1505">
        <f t="shared" si="83"/>
        <v>56422</v>
      </c>
      <c r="AM244" s="1508" t="s">
        <v>1061</v>
      </c>
      <c r="AN244" s="3401">
        <v>43279</v>
      </c>
      <c r="AO244" s="3402">
        <v>1207538</v>
      </c>
      <c r="AP244" s="2905" t="s">
        <v>4933</v>
      </c>
      <c r="AQ244" s="3508">
        <v>1.0119899999999999</v>
      </c>
      <c r="AR244" s="1506">
        <f>ROUND($AQ244/$G244*V244,0)</f>
        <v>25515</v>
      </c>
      <c r="AS244" s="1507">
        <f t="shared" si="91"/>
        <v>14875</v>
      </c>
      <c r="AT244" s="1507">
        <f t="shared" si="92"/>
        <v>16032</v>
      </c>
      <c r="AU244" s="849"/>
      <c r="AV244" s="849"/>
      <c r="AW244" s="2878">
        <f t="shared" si="81"/>
        <v>56422</v>
      </c>
      <c r="AX244" s="3146"/>
      <c r="BB244" s="267"/>
      <c r="BC244" s="4117">
        <f t="shared" si="88"/>
        <v>0</v>
      </c>
      <c r="BD244" s="4117">
        <f t="shared" si="82"/>
        <v>0</v>
      </c>
    </row>
    <row r="245" spans="1:61" ht="38.25">
      <c r="A245" s="5981" t="s">
        <v>11135</v>
      </c>
      <c r="B245" s="1538" t="s">
        <v>4539</v>
      </c>
      <c r="C245" s="1509">
        <v>0</v>
      </c>
      <c r="D245" s="1510">
        <v>43245</v>
      </c>
      <c r="E245" s="3049" t="s">
        <v>6385</v>
      </c>
      <c r="F245" s="1511" t="s">
        <v>4933</v>
      </c>
      <c r="G245" s="2498">
        <v>1.0119899999999999</v>
      </c>
      <c r="H245" s="1513" t="s">
        <v>5563</v>
      </c>
      <c r="I245" s="1514" t="s">
        <v>1433</v>
      </c>
      <c r="J245" s="1515" t="s">
        <v>1434</v>
      </c>
      <c r="K245" s="1516">
        <v>45437</v>
      </c>
      <c r="L245" s="1514" t="s">
        <v>5564</v>
      </c>
      <c r="M245" s="1515" t="s">
        <v>4394</v>
      </c>
      <c r="N245" s="1514" t="s">
        <v>5565</v>
      </c>
      <c r="O245" s="1513" t="s">
        <v>5566</v>
      </c>
      <c r="P245" s="1517"/>
      <c r="Q245" s="1515" t="s">
        <v>5483</v>
      </c>
      <c r="R245" s="1515" t="s">
        <v>5567</v>
      </c>
      <c r="S245" s="1518"/>
      <c r="T245" s="1519">
        <v>6800</v>
      </c>
      <c r="U245" s="1504">
        <v>0</v>
      </c>
      <c r="V245" s="1520">
        <f t="shared" si="78"/>
        <v>6800</v>
      </c>
      <c r="W245" s="1519">
        <v>8501</v>
      </c>
      <c r="X245" s="1504">
        <v>0</v>
      </c>
      <c r="Y245" s="1520">
        <f t="shared" si="86"/>
        <v>8501</v>
      </c>
      <c r="Z245" s="1519">
        <v>1700</v>
      </c>
      <c r="AA245" s="1504">
        <v>0</v>
      </c>
      <c r="AB245" s="1520">
        <f t="shared" si="79"/>
        <v>1700</v>
      </c>
      <c r="AC245" s="820"/>
      <c r="AD245" s="821"/>
      <c r="AE245" s="822"/>
      <c r="AF245" s="820"/>
      <c r="AG245" s="821"/>
      <c r="AH245" s="822"/>
      <c r="AI245" s="1503">
        <f t="shared" si="87"/>
        <v>17001</v>
      </c>
      <c r="AJ245" s="1504">
        <f t="shared" si="89"/>
        <v>0</v>
      </c>
      <c r="AK245" s="3912">
        <v>0</v>
      </c>
      <c r="AL245" s="1505">
        <f t="shared" si="83"/>
        <v>17001</v>
      </c>
      <c r="AM245" s="1508" t="s">
        <v>1061</v>
      </c>
      <c r="AN245" s="3401">
        <v>43279</v>
      </c>
      <c r="AO245" s="3402">
        <v>1207559</v>
      </c>
      <c r="AP245" s="2905" t="s">
        <v>4933</v>
      </c>
      <c r="AQ245" s="3508">
        <v>1.0119899999999999</v>
      </c>
      <c r="AR245" s="1506">
        <f>ROUND($AQ245/$G245*V245,0)</f>
        <v>6800</v>
      </c>
      <c r="AS245" s="1507">
        <f t="shared" si="91"/>
        <v>8501</v>
      </c>
      <c r="AT245" s="1507">
        <f t="shared" si="92"/>
        <v>1700</v>
      </c>
      <c r="AU245" s="849"/>
      <c r="AV245" s="849"/>
      <c r="AW245" s="2878">
        <f t="shared" si="81"/>
        <v>17001</v>
      </c>
      <c r="AX245" s="3146"/>
      <c r="AY245" s="2006"/>
      <c r="AZ245" s="1726"/>
      <c r="BB245" s="267"/>
      <c r="BC245" s="4117">
        <f t="shared" si="88"/>
        <v>0</v>
      </c>
      <c r="BD245" s="4117">
        <f t="shared" si="82"/>
        <v>0</v>
      </c>
    </row>
    <row r="246" spans="1:61" ht="51">
      <c r="A246" s="6018" t="s">
        <v>11135</v>
      </c>
      <c r="B246" s="2625" t="s">
        <v>4541</v>
      </c>
      <c r="C246" s="2626">
        <v>0</v>
      </c>
      <c r="D246" s="2627">
        <v>43257</v>
      </c>
      <c r="E246" s="3049" t="s">
        <v>6385</v>
      </c>
      <c r="F246" s="3108" t="s">
        <v>4933</v>
      </c>
      <c r="G246" s="3109">
        <v>1.0119899999999999</v>
      </c>
      <c r="H246" s="2628" t="s">
        <v>5641</v>
      </c>
      <c r="I246" s="2629" t="s">
        <v>1433</v>
      </c>
      <c r="J246" s="2630" t="s">
        <v>1434</v>
      </c>
      <c r="K246" s="2631">
        <v>45449</v>
      </c>
      <c r="L246" s="2629" t="s">
        <v>83</v>
      </c>
      <c r="M246" s="2630" t="s">
        <v>5311</v>
      </c>
      <c r="N246" s="2629" t="s">
        <v>5643</v>
      </c>
      <c r="O246" s="2628" t="s">
        <v>5642</v>
      </c>
      <c r="P246" s="2632"/>
      <c r="Q246" s="2630" t="s">
        <v>5645</v>
      </c>
      <c r="R246" s="2630" t="s">
        <v>5644</v>
      </c>
      <c r="S246" s="2633"/>
      <c r="T246" s="2634">
        <v>4982</v>
      </c>
      <c r="U246" s="2635">
        <v>0</v>
      </c>
      <c r="V246" s="2636">
        <f t="shared" si="78"/>
        <v>4982</v>
      </c>
      <c r="W246" s="2634">
        <v>879</v>
      </c>
      <c r="X246" s="2635">
        <v>0</v>
      </c>
      <c r="Y246" s="2636">
        <f t="shared" si="86"/>
        <v>879</v>
      </c>
      <c r="Z246" s="2634">
        <v>0</v>
      </c>
      <c r="AA246" s="2635">
        <v>0</v>
      </c>
      <c r="AB246" s="2636">
        <f t="shared" si="79"/>
        <v>0</v>
      </c>
      <c r="AC246" s="2637"/>
      <c r="AD246" s="2638"/>
      <c r="AE246" s="2639"/>
      <c r="AF246" s="2637"/>
      <c r="AG246" s="2638"/>
      <c r="AH246" s="2639"/>
      <c r="AI246" s="2640">
        <f t="shared" si="87"/>
        <v>5861</v>
      </c>
      <c r="AJ246" s="2635">
        <f t="shared" si="89"/>
        <v>0</v>
      </c>
      <c r="AK246" s="3915">
        <v>0</v>
      </c>
      <c r="AL246" s="2641">
        <f t="shared" si="83"/>
        <v>5861</v>
      </c>
      <c r="AM246" s="3541" t="s">
        <v>1061</v>
      </c>
      <c r="AN246" s="3542">
        <v>43279</v>
      </c>
      <c r="AO246" s="3543">
        <v>1207565</v>
      </c>
      <c r="AP246" s="3544" t="s">
        <v>4933</v>
      </c>
      <c r="AQ246" s="3545">
        <v>1.0119899999999999</v>
      </c>
      <c r="AR246" s="2642">
        <f>ROUND($AQ246/$G246*V246,0)</f>
        <v>4982</v>
      </c>
      <c r="AS246" s="2643">
        <f t="shared" si="91"/>
        <v>879</v>
      </c>
      <c r="AT246" s="2643">
        <f t="shared" si="92"/>
        <v>0</v>
      </c>
      <c r="AU246" s="2644"/>
      <c r="AV246" s="2644"/>
      <c r="AW246" s="2882">
        <f t="shared" si="81"/>
        <v>5861</v>
      </c>
      <c r="AX246" s="3149"/>
      <c r="BB246" s="267"/>
      <c r="BC246" s="4117">
        <f t="shared" si="88"/>
        <v>0</v>
      </c>
      <c r="BD246" s="4117">
        <f t="shared" si="82"/>
        <v>0</v>
      </c>
    </row>
    <row r="247" spans="1:61" s="307" customFormat="1" ht="64.5" thickBot="1">
      <c r="A247" s="6019" t="s">
        <v>11140</v>
      </c>
      <c r="B247" s="3723" t="s">
        <v>4863</v>
      </c>
      <c r="C247" s="4281" t="s">
        <v>1432</v>
      </c>
      <c r="D247" s="4283">
        <v>41464</v>
      </c>
      <c r="E247" s="4283" t="s">
        <v>6388</v>
      </c>
      <c r="F247" s="4284">
        <v>42887</v>
      </c>
      <c r="G247" s="4474">
        <v>111</v>
      </c>
      <c r="H247" s="4467" t="s">
        <v>1551</v>
      </c>
      <c r="I247" s="3728" t="s">
        <v>1433</v>
      </c>
      <c r="J247" s="4287" t="s">
        <v>1434</v>
      </c>
      <c r="K247" s="4468" t="s">
        <v>5288</v>
      </c>
      <c r="L247" s="3728" t="s">
        <v>1816</v>
      </c>
      <c r="M247" s="4287" t="s">
        <v>1799</v>
      </c>
      <c r="N247" s="3728" t="s">
        <v>1552</v>
      </c>
      <c r="O247" s="4467" t="s">
        <v>1688</v>
      </c>
      <c r="P247" s="4475" t="s">
        <v>4856</v>
      </c>
      <c r="Q247" s="4287" t="s">
        <v>1687</v>
      </c>
      <c r="R247" s="4287" t="s">
        <v>1553</v>
      </c>
      <c r="S247" s="4476" t="s">
        <v>4859</v>
      </c>
      <c r="T247" s="3733">
        <v>2108</v>
      </c>
      <c r="U247" s="4292">
        <v>0</v>
      </c>
      <c r="V247" s="4470">
        <f t="shared" si="78"/>
        <v>2108</v>
      </c>
      <c r="W247" s="3733">
        <v>2634</v>
      </c>
      <c r="X247" s="4292">
        <v>0</v>
      </c>
      <c r="Y247" s="4470">
        <f t="shared" si="86"/>
        <v>2634</v>
      </c>
      <c r="Z247" s="3733">
        <v>527</v>
      </c>
      <c r="AA247" s="4292">
        <v>0</v>
      </c>
      <c r="AB247" s="4470">
        <f t="shared" si="79"/>
        <v>527</v>
      </c>
      <c r="AC247" s="3736">
        <v>0</v>
      </c>
      <c r="AD247" s="4451">
        <v>0</v>
      </c>
      <c r="AE247" s="4452">
        <f>AC247-AD247</f>
        <v>0</v>
      </c>
      <c r="AF247" s="3736">
        <v>0</v>
      </c>
      <c r="AG247" s="4451">
        <v>0</v>
      </c>
      <c r="AH247" s="4452">
        <f>AF247-AG247</f>
        <v>0</v>
      </c>
      <c r="AI247" s="3739">
        <f t="shared" ref="AI247:AI278" si="93">T247+W247+Z247+AC247+AF247</f>
        <v>5269</v>
      </c>
      <c r="AJ247" s="4292">
        <f t="shared" si="89"/>
        <v>0</v>
      </c>
      <c r="AK247" s="4477">
        <v>0</v>
      </c>
      <c r="AL247" s="4471">
        <f t="shared" si="83"/>
        <v>5269</v>
      </c>
      <c r="AM247" s="4478" t="s">
        <v>2977</v>
      </c>
      <c r="AN247" s="4296">
        <v>43280</v>
      </c>
      <c r="AO247" s="4297">
        <v>1207576</v>
      </c>
      <c r="AP247" s="4298" t="s">
        <v>5592</v>
      </c>
      <c r="AQ247" s="4479">
        <v>112.4</v>
      </c>
      <c r="AR247" s="3744">
        <f>ROUNDDOWN($AQ247/$G247*V247,0)</f>
        <v>2134</v>
      </c>
      <c r="AS247" s="4300">
        <f t="shared" si="91"/>
        <v>2667</v>
      </c>
      <c r="AT247" s="4300">
        <f t="shared" si="92"/>
        <v>534</v>
      </c>
      <c r="AU247" s="4453">
        <f>ROUND($AQ247/$G247*AE247,0)</f>
        <v>0</v>
      </c>
      <c r="AV247" s="4453">
        <f>ROUND($AQ247/$G247*AH247,0)</f>
        <v>0</v>
      </c>
      <c r="AW247" s="4473">
        <f t="shared" si="81"/>
        <v>5335</v>
      </c>
      <c r="AX247" s="3747" t="s">
        <v>1728</v>
      </c>
      <c r="AY247" s="4480" t="s">
        <v>5670</v>
      </c>
      <c r="AZ247" s="4109">
        <f>SUM(AW239:AW247)</f>
        <v>193260</v>
      </c>
      <c r="BA247" s="4028">
        <f>AZ247</f>
        <v>193260</v>
      </c>
      <c r="BC247" s="4118">
        <f t="shared" si="88"/>
        <v>0</v>
      </c>
      <c r="BD247" s="4118">
        <f t="shared" si="82"/>
        <v>0</v>
      </c>
      <c r="BE247" s="4112"/>
      <c r="BF247" s="4523">
        <f>SUM(BA169:BA247)</f>
        <v>1650629</v>
      </c>
      <c r="BG247" s="4518">
        <f>SUM(BC169:BC247)</f>
        <v>172513</v>
      </c>
      <c r="BH247" s="4518">
        <f>SUM(BD169:BD247)</f>
        <v>15811</v>
      </c>
      <c r="BI247" s="4527">
        <f>SUM(BE169:BE247)</f>
        <v>-5417</v>
      </c>
    </row>
    <row r="248" spans="1:61" ht="76.5">
      <c r="A248" s="5967" t="s">
        <v>11140</v>
      </c>
      <c r="B248" s="827" t="s">
        <v>5747</v>
      </c>
      <c r="C248" s="828">
        <v>0</v>
      </c>
      <c r="D248" s="829">
        <v>42922</v>
      </c>
      <c r="E248" s="829" t="s">
        <v>6385</v>
      </c>
      <c r="F248" s="1865" t="s">
        <v>5026</v>
      </c>
      <c r="G248" s="2359">
        <v>111</v>
      </c>
      <c r="H248" s="832" t="s">
        <v>4722</v>
      </c>
      <c r="I248" s="833" t="s">
        <v>4723</v>
      </c>
      <c r="J248" s="834" t="s">
        <v>4306</v>
      </c>
      <c r="K248" s="835">
        <v>43652</v>
      </c>
      <c r="L248" s="833" t="s">
        <v>4724</v>
      </c>
      <c r="M248" s="834" t="s">
        <v>4725</v>
      </c>
      <c r="N248" s="833" t="s">
        <v>4726</v>
      </c>
      <c r="O248" s="832" t="s">
        <v>4727</v>
      </c>
      <c r="P248" s="836"/>
      <c r="Q248" s="6096" t="s">
        <v>4332</v>
      </c>
      <c r="R248" s="834" t="s">
        <v>1046</v>
      </c>
      <c r="S248" s="2500" t="s">
        <v>5029</v>
      </c>
      <c r="T248" s="838">
        <v>385</v>
      </c>
      <c r="U248" s="839">
        <v>0</v>
      </c>
      <c r="V248" s="840">
        <f t="shared" si="78"/>
        <v>385</v>
      </c>
      <c r="W248" s="838">
        <v>480</v>
      </c>
      <c r="X248" s="839">
        <v>0</v>
      </c>
      <c r="Y248" s="840">
        <f t="shared" si="86"/>
        <v>480</v>
      </c>
      <c r="Z248" s="838">
        <v>137</v>
      </c>
      <c r="AA248" s="839">
        <v>0</v>
      </c>
      <c r="AB248" s="840">
        <f t="shared" si="79"/>
        <v>137</v>
      </c>
      <c r="AC248" s="823"/>
      <c r="AD248" s="824"/>
      <c r="AE248" s="825"/>
      <c r="AF248" s="823"/>
      <c r="AG248" s="824"/>
      <c r="AH248" s="825"/>
      <c r="AI248" s="841">
        <f t="shared" si="93"/>
        <v>1002</v>
      </c>
      <c r="AJ248" s="839">
        <f t="shared" ref="AJ248:AJ269" si="94">U248+X248+AA248+AD248+AG248</f>
        <v>0</v>
      </c>
      <c r="AK248" s="3906">
        <v>0</v>
      </c>
      <c r="AL248" s="869">
        <f t="shared" si="83"/>
        <v>1002</v>
      </c>
      <c r="AM248" s="3369" t="s">
        <v>1061</v>
      </c>
      <c r="AN248" s="3360">
        <v>43286</v>
      </c>
      <c r="AO248" s="3361">
        <v>1207707</v>
      </c>
      <c r="AP248" s="3362" t="s">
        <v>5592</v>
      </c>
      <c r="AQ248" s="3500">
        <v>112.4</v>
      </c>
      <c r="AR248" s="846">
        <f>ROUND($AQ248/$G248*V248,0)</f>
        <v>390</v>
      </c>
      <c r="AS248" s="847">
        <f t="shared" si="91"/>
        <v>486</v>
      </c>
      <c r="AT248" s="847">
        <f t="shared" si="92"/>
        <v>139</v>
      </c>
      <c r="AU248" s="848"/>
      <c r="AV248" s="848"/>
      <c r="AW248" s="2872">
        <f t="shared" si="81"/>
        <v>1015</v>
      </c>
      <c r="AX248" s="2891"/>
      <c r="AY248" s="2006"/>
      <c r="AZ248" s="1726"/>
      <c r="BB248" s="267"/>
      <c r="BC248" s="4117">
        <f t="shared" si="88"/>
        <v>0</v>
      </c>
      <c r="BD248" s="4117">
        <f t="shared" si="82"/>
        <v>0</v>
      </c>
    </row>
    <row r="249" spans="1:61" ht="76.5">
      <c r="A249" s="2418" t="s">
        <v>11135</v>
      </c>
      <c r="B249" s="338" t="s">
        <v>5391</v>
      </c>
      <c r="C249" s="321">
        <v>1</v>
      </c>
      <c r="D249" s="323">
        <v>43178</v>
      </c>
      <c r="E249" s="3051" t="s">
        <v>6385</v>
      </c>
      <c r="F249" s="324" t="s">
        <v>4933</v>
      </c>
      <c r="G249" s="2621">
        <v>1.0119899999999999</v>
      </c>
      <c r="H249" s="332" t="s">
        <v>5385</v>
      </c>
      <c r="I249" s="339" t="s">
        <v>1330</v>
      </c>
      <c r="J249" s="322" t="s">
        <v>4306</v>
      </c>
      <c r="K249" s="340">
        <v>43909</v>
      </c>
      <c r="L249" s="339" t="s">
        <v>5386</v>
      </c>
      <c r="M249" s="322" t="s">
        <v>5392</v>
      </c>
      <c r="N249" s="339" t="s">
        <v>5387</v>
      </c>
      <c r="O249" s="332" t="s">
        <v>5388</v>
      </c>
      <c r="P249" s="345"/>
      <c r="Q249" s="322" t="s">
        <v>5389</v>
      </c>
      <c r="R249" s="322" t="s">
        <v>5390</v>
      </c>
      <c r="S249" s="346"/>
      <c r="T249" s="347">
        <v>742</v>
      </c>
      <c r="U249" s="326">
        <v>0</v>
      </c>
      <c r="V249" s="348">
        <f t="shared" si="78"/>
        <v>742</v>
      </c>
      <c r="W249" s="347">
        <v>132</v>
      </c>
      <c r="X249" s="326">
        <v>0</v>
      </c>
      <c r="Y249" s="348">
        <f t="shared" si="86"/>
        <v>132</v>
      </c>
      <c r="Z249" s="347">
        <v>0</v>
      </c>
      <c r="AA249" s="326">
        <v>0</v>
      </c>
      <c r="AB249" s="348">
        <f t="shared" si="79"/>
        <v>0</v>
      </c>
      <c r="AC249" s="820"/>
      <c r="AD249" s="821"/>
      <c r="AE249" s="822"/>
      <c r="AF249" s="820"/>
      <c r="AG249" s="821"/>
      <c r="AH249" s="822"/>
      <c r="AI249" s="482">
        <f t="shared" si="93"/>
        <v>874</v>
      </c>
      <c r="AJ249" s="326">
        <f t="shared" si="94"/>
        <v>0</v>
      </c>
      <c r="AK249" s="3917">
        <v>0</v>
      </c>
      <c r="AL249" s="349">
        <f t="shared" si="83"/>
        <v>874</v>
      </c>
      <c r="AM249" s="2002" t="s">
        <v>1061</v>
      </c>
      <c r="AN249" s="3357">
        <v>43299</v>
      </c>
      <c r="AO249" s="695">
        <v>1208029</v>
      </c>
      <c r="AP249" s="2722" t="s">
        <v>5757</v>
      </c>
      <c r="AQ249" s="2723">
        <v>1.0247219999999999</v>
      </c>
      <c r="AR249" s="333">
        <f>ROUND($AQ249/$G249*V249,0)</f>
        <v>751</v>
      </c>
      <c r="AS249" s="330">
        <f t="shared" si="91"/>
        <v>134</v>
      </c>
      <c r="AT249" s="330">
        <f t="shared" si="92"/>
        <v>0</v>
      </c>
      <c r="AU249" s="849"/>
      <c r="AV249" s="849"/>
      <c r="AW249" s="2870">
        <f t="shared" si="81"/>
        <v>885</v>
      </c>
      <c r="AX249" s="2891"/>
      <c r="BB249" s="267"/>
      <c r="BC249" s="4117">
        <f t="shared" si="88"/>
        <v>0</v>
      </c>
      <c r="BD249" s="4117">
        <f t="shared" si="82"/>
        <v>0</v>
      </c>
    </row>
    <row r="250" spans="1:61" ht="90" thickBot="1">
      <c r="A250" s="6020" t="s">
        <v>11140</v>
      </c>
      <c r="B250" s="2646" t="s">
        <v>5663</v>
      </c>
      <c r="C250" s="2647">
        <v>0</v>
      </c>
      <c r="D250" s="2648">
        <v>42891</v>
      </c>
      <c r="E250" s="3052" t="s">
        <v>6385</v>
      </c>
      <c r="F250" s="2649">
        <v>42795</v>
      </c>
      <c r="G250" s="2650">
        <v>110.5</v>
      </c>
      <c r="H250" s="2610" t="s">
        <v>4623</v>
      </c>
      <c r="I250" s="2651" t="s">
        <v>4624</v>
      </c>
      <c r="J250" s="2652" t="s">
        <v>4306</v>
      </c>
      <c r="K250" s="2653">
        <v>43621</v>
      </c>
      <c r="L250" s="2651" t="s">
        <v>4625</v>
      </c>
      <c r="M250" s="2652" t="s">
        <v>4626</v>
      </c>
      <c r="N250" s="2651" t="s">
        <v>4627</v>
      </c>
      <c r="O250" s="2610" t="s">
        <v>4628</v>
      </c>
      <c r="P250" s="2654"/>
      <c r="Q250" s="6098" t="s">
        <v>4629</v>
      </c>
      <c r="R250" s="2652" t="s">
        <v>1046</v>
      </c>
      <c r="S250" s="2655"/>
      <c r="T250" s="2656">
        <v>2294</v>
      </c>
      <c r="U250" s="2657">
        <v>0</v>
      </c>
      <c r="V250" s="2658">
        <f t="shared" si="78"/>
        <v>2294</v>
      </c>
      <c r="W250" s="2656">
        <v>2868</v>
      </c>
      <c r="X250" s="2657">
        <v>0</v>
      </c>
      <c r="Y250" s="2658">
        <f t="shared" si="86"/>
        <v>2868</v>
      </c>
      <c r="Z250" s="2656">
        <v>819</v>
      </c>
      <c r="AA250" s="2657">
        <v>0</v>
      </c>
      <c r="AB250" s="2658">
        <f t="shared" si="79"/>
        <v>819</v>
      </c>
      <c r="AC250" s="2611"/>
      <c r="AD250" s="2612"/>
      <c r="AE250" s="2613"/>
      <c r="AF250" s="2611"/>
      <c r="AG250" s="2612"/>
      <c r="AH250" s="2613"/>
      <c r="AI250" s="2659">
        <f t="shared" si="93"/>
        <v>5981</v>
      </c>
      <c r="AJ250" s="2657">
        <f t="shared" si="94"/>
        <v>0</v>
      </c>
      <c r="AK250" s="3918">
        <v>0</v>
      </c>
      <c r="AL250" s="2660">
        <f t="shared" si="83"/>
        <v>5981</v>
      </c>
      <c r="AM250" s="3546" t="s">
        <v>1061</v>
      </c>
      <c r="AN250" s="3547">
        <v>43311</v>
      </c>
      <c r="AO250" s="3548">
        <v>1208662</v>
      </c>
      <c r="AP250" s="3549" t="s">
        <v>5458</v>
      </c>
      <c r="AQ250" s="3550">
        <v>112.4</v>
      </c>
      <c r="AR250" s="2661">
        <f>ROUNDUP($AQ250/$G250*V250,0)</f>
        <v>2334</v>
      </c>
      <c r="AS250" s="2662">
        <f t="shared" si="91"/>
        <v>2917</v>
      </c>
      <c r="AT250" s="2662">
        <f t="shared" si="92"/>
        <v>833</v>
      </c>
      <c r="AU250" s="2614"/>
      <c r="AV250" s="2614"/>
      <c r="AW250" s="2869">
        <f t="shared" si="81"/>
        <v>6084</v>
      </c>
      <c r="AX250" s="2901"/>
      <c r="AY250" s="764" t="s">
        <v>5746</v>
      </c>
      <c r="AZ250" s="1662">
        <f>SUM(AW248:AW250)</f>
        <v>7984</v>
      </c>
      <c r="BA250" s="1727">
        <f>AZ250</f>
        <v>7984</v>
      </c>
      <c r="BB250" s="267"/>
      <c r="BC250" s="4117">
        <f t="shared" si="88"/>
        <v>0</v>
      </c>
      <c r="BD250" s="4117">
        <f t="shared" si="82"/>
        <v>0</v>
      </c>
    </row>
    <row r="251" spans="1:61" ht="76.5">
      <c r="A251" s="6006" t="s">
        <v>11140</v>
      </c>
      <c r="B251" s="2298" t="s">
        <v>3952</v>
      </c>
      <c r="C251" s="2299">
        <v>0</v>
      </c>
      <c r="D251" s="2300">
        <v>42885</v>
      </c>
      <c r="E251" s="2300" t="s">
        <v>6385</v>
      </c>
      <c r="F251" s="2301">
        <v>42795</v>
      </c>
      <c r="G251" s="2645">
        <v>110.5</v>
      </c>
      <c r="H251" s="2306" t="s">
        <v>4612</v>
      </c>
      <c r="I251" s="2303" t="s">
        <v>4613</v>
      </c>
      <c r="J251" s="2304" t="s">
        <v>4306</v>
      </c>
      <c r="K251" s="2305">
        <v>43615</v>
      </c>
      <c r="L251" s="2303" t="s">
        <v>4614</v>
      </c>
      <c r="M251" s="2304" t="s">
        <v>4615</v>
      </c>
      <c r="N251" s="2303" t="s">
        <v>4616</v>
      </c>
      <c r="O251" s="2306" t="s">
        <v>4617</v>
      </c>
      <c r="P251" s="2321"/>
      <c r="Q251" s="6096" t="s">
        <v>4332</v>
      </c>
      <c r="R251" s="2304" t="s">
        <v>1046</v>
      </c>
      <c r="S251" s="2307"/>
      <c r="T251" s="2308">
        <v>2294</v>
      </c>
      <c r="U251" s="2309">
        <v>0</v>
      </c>
      <c r="V251" s="2310">
        <f t="shared" si="78"/>
        <v>2294</v>
      </c>
      <c r="W251" s="2308">
        <v>2868</v>
      </c>
      <c r="X251" s="2309">
        <v>0</v>
      </c>
      <c r="Y251" s="2310">
        <f t="shared" si="86"/>
        <v>2868</v>
      </c>
      <c r="Z251" s="2308">
        <v>819</v>
      </c>
      <c r="AA251" s="2309">
        <v>0</v>
      </c>
      <c r="AB251" s="2310">
        <f t="shared" si="79"/>
        <v>819</v>
      </c>
      <c r="AC251" s="823"/>
      <c r="AD251" s="824"/>
      <c r="AE251" s="825"/>
      <c r="AF251" s="823"/>
      <c r="AG251" s="824"/>
      <c r="AH251" s="825"/>
      <c r="AI251" s="2311">
        <f t="shared" si="93"/>
        <v>5981</v>
      </c>
      <c r="AJ251" s="2309">
        <f t="shared" si="94"/>
        <v>0</v>
      </c>
      <c r="AK251" s="3914">
        <v>0</v>
      </c>
      <c r="AL251" s="2312">
        <f t="shared" si="83"/>
        <v>5981</v>
      </c>
      <c r="AM251" s="3491" t="s">
        <v>1061</v>
      </c>
      <c r="AN251" s="3492">
        <v>43334</v>
      </c>
      <c r="AO251" s="2492">
        <v>1210425</v>
      </c>
      <c r="AP251" s="2905" t="s">
        <v>5823</v>
      </c>
      <c r="AQ251" s="2906">
        <v>112.9</v>
      </c>
      <c r="AR251" s="2313">
        <f t="shared" ref="AR251:AR296" si="95">ROUND($AQ251/$G251*V251,0)</f>
        <v>2344</v>
      </c>
      <c r="AS251" s="2314">
        <f t="shared" si="91"/>
        <v>2930</v>
      </c>
      <c r="AT251" s="2314">
        <f t="shared" si="92"/>
        <v>837</v>
      </c>
      <c r="AU251" s="848"/>
      <c r="AV251" s="848"/>
      <c r="AW251" s="2883">
        <f t="shared" si="81"/>
        <v>6111</v>
      </c>
      <c r="AX251" s="2902"/>
      <c r="BB251" s="267"/>
      <c r="BC251" s="4117">
        <f t="shared" si="88"/>
        <v>0</v>
      </c>
      <c r="BD251" s="4117">
        <f t="shared" si="82"/>
        <v>0</v>
      </c>
    </row>
    <row r="252" spans="1:61" ht="63.75">
      <c r="A252" s="5978" t="s">
        <v>11140</v>
      </c>
      <c r="B252" s="1538" t="s">
        <v>5825</v>
      </c>
      <c r="C252" s="1509">
        <v>0</v>
      </c>
      <c r="D252" s="1510">
        <v>43256</v>
      </c>
      <c r="E252" s="3053" t="s">
        <v>6385</v>
      </c>
      <c r="F252" s="2139">
        <v>43252</v>
      </c>
      <c r="G252" s="2805">
        <v>112.9</v>
      </c>
      <c r="H252" s="1513" t="s">
        <v>5634</v>
      </c>
      <c r="I252" s="1514" t="s">
        <v>1433</v>
      </c>
      <c r="J252" s="1515" t="s">
        <v>1434</v>
      </c>
      <c r="K252" s="1516">
        <v>45442</v>
      </c>
      <c r="L252" s="1514" t="s">
        <v>5635</v>
      </c>
      <c r="M252" s="1515" t="s">
        <v>5636</v>
      </c>
      <c r="N252" s="1514" t="s">
        <v>5637</v>
      </c>
      <c r="O252" s="1513" t="s">
        <v>5638</v>
      </c>
      <c r="P252" s="2335" t="s">
        <v>5826</v>
      </c>
      <c r="Q252" s="1515" t="s">
        <v>5639</v>
      </c>
      <c r="R252" s="1515" t="s">
        <v>5640</v>
      </c>
      <c r="S252" s="1518"/>
      <c r="T252" s="1519">
        <v>1597</v>
      </c>
      <c r="U252" s="1504">
        <v>0</v>
      </c>
      <c r="V252" s="1520">
        <f t="shared" si="78"/>
        <v>1597</v>
      </c>
      <c r="W252" s="1519">
        <v>282</v>
      </c>
      <c r="X252" s="1504">
        <v>0</v>
      </c>
      <c r="Y252" s="1520">
        <f t="shared" si="86"/>
        <v>282</v>
      </c>
      <c r="Z252" s="1519">
        <v>121</v>
      </c>
      <c r="AA252" s="1504">
        <v>0</v>
      </c>
      <c r="AB252" s="1520">
        <f t="shared" si="79"/>
        <v>121</v>
      </c>
      <c r="AC252" s="820"/>
      <c r="AD252" s="821"/>
      <c r="AE252" s="822"/>
      <c r="AF252" s="820"/>
      <c r="AG252" s="821"/>
      <c r="AH252" s="822"/>
      <c r="AI252" s="1503">
        <f t="shared" si="93"/>
        <v>2000</v>
      </c>
      <c r="AJ252" s="1504">
        <f t="shared" si="94"/>
        <v>0</v>
      </c>
      <c r="AK252" s="3919">
        <v>0</v>
      </c>
      <c r="AL252" s="1505">
        <f t="shared" si="83"/>
        <v>2000</v>
      </c>
      <c r="AM252" s="1508" t="s">
        <v>1061</v>
      </c>
      <c r="AN252" s="3401">
        <v>43336</v>
      </c>
      <c r="AO252" s="3402">
        <v>1210517</v>
      </c>
      <c r="AP252" s="2664">
        <v>43252</v>
      </c>
      <c r="AQ252" s="2665">
        <v>112.9</v>
      </c>
      <c r="AR252" s="1506">
        <f t="shared" si="95"/>
        <v>1597</v>
      </c>
      <c r="AS252" s="1507">
        <f t="shared" si="91"/>
        <v>282</v>
      </c>
      <c r="AT252" s="1507">
        <f t="shared" si="92"/>
        <v>121</v>
      </c>
      <c r="AU252" s="849"/>
      <c r="AV252" s="4114"/>
      <c r="AW252" s="4115">
        <f t="shared" si="81"/>
        <v>2000</v>
      </c>
      <c r="AX252" s="2899"/>
      <c r="BB252" s="267"/>
      <c r="BC252" s="4117">
        <f t="shared" si="88"/>
        <v>0</v>
      </c>
      <c r="BD252" s="4117">
        <f t="shared" si="82"/>
        <v>0</v>
      </c>
    </row>
    <row r="253" spans="1:61" ht="76.5">
      <c r="A253" s="5978" t="s">
        <v>11140</v>
      </c>
      <c r="B253" s="1538" t="s">
        <v>4529</v>
      </c>
      <c r="C253" s="1509">
        <v>0</v>
      </c>
      <c r="D253" s="1510">
        <v>42757</v>
      </c>
      <c r="E253" s="3053" t="s">
        <v>6385</v>
      </c>
      <c r="F253" s="2139">
        <v>42979</v>
      </c>
      <c r="G253" s="2666">
        <v>111.5</v>
      </c>
      <c r="H253" s="1513" t="s">
        <v>5232</v>
      </c>
      <c r="I253" s="1514" t="s">
        <v>5242</v>
      </c>
      <c r="J253" s="1515" t="s">
        <v>4306</v>
      </c>
      <c r="K253" s="1516">
        <v>43843</v>
      </c>
      <c r="L253" s="1514" t="s">
        <v>713</v>
      </c>
      <c r="M253" s="1515" t="s">
        <v>5237</v>
      </c>
      <c r="N253" s="1514" t="s">
        <v>5236</v>
      </c>
      <c r="O253" s="1513" t="s">
        <v>5235</v>
      </c>
      <c r="P253" s="1517"/>
      <c r="Q253" s="6094" t="s">
        <v>5234</v>
      </c>
      <c r="R253" s="1515" t="s">
        <v>5238</v>
      </c>
      <c r="S253" s="1518"/>
      <c r="T253" s="1519">
        <v>2315</v>
      </c>
      <c r="U253" s="1504">
        <v>0</v>
      </c>
      <c r="V253" s="1520">
        <f t="shared" si="78"/>
        <v>2315</v>
      </c>
      <c r="W253" s="1519">
        <v>2893</v>
      </c>
      <c r="X253" s="1504">
        <v>0</v>
      </c>
      <c r="Y253" s="1520">
        <f t="shared" si="86"/>
        <v>2893</v>
      </c>
      <c r="Z253" s="1519">
        <v>827</v>
      </c>
      <c r="AA253" s="1504">
        <v>0</v>
      </c>
      <c r="AB253" s="1520">
        <f t="shared" si="79"/>
        <v>827</v>
      </c>
      <c r="AC253" s="820"/>
      <c r="AD253" s="821"/>
      <c r="AE253" s="822"/>
      <c r="AF253" s="820"/>
      <c r="AG253" s="821"/>
      <c r="AH253" s="822"/>
      <c r="AI253" s="1503">
        <f t="shared" si="93"/>
        <v>6035</v>
      </c>
      <c r="AJ253" s="1504">
        <f t="shared" si="94"/>
        <v>0</v>
      </c>
      <c r="AK253" s="3919">
        <v>0</v>
      </c>
      <c r="AL253" s="1505">
        <f t="shared" si="83"/>
        <v>6035</v>
      </c>
      <c r="AM253" s="1508" t="s">
        <v>1061</v>
      </c>
      <c r="AN253" s="3401">
        <v>43341</v>
      </c>
      <c r="AO253" s="3402">
        <v>1210621</v>
      </c>
      <c r="AP253" s="2664" t="s">
        <v>5823</v>
      </c>
      <c r="AQ253" s="2806">
        <v>112.9</v>
      </c>
      <c r="AR253" s="1506">
        <f t="shared" si="95"/>
        <v>2344</v>
      </c>
      <c r="AS253" s="1507">
        <f>ROUNDUP($AQ253/$G253*Y253,0)</f>
        <v>2930</v>
      </c>
      <c r="AT253" s="1507">
        <f t="shared" si="92"/>
        <v>837</v>
      </c>
      <c r="AU253" s="849"/>
      <c r="AV253" s="849"/>
      <c r="AW253" s="2878">
        <f t="shared" si="81"/>
        <v>6111</v>
      </c>
      <c r="AX253" s="3146"/>
      <c r="BB253" s="267"/>
      <c r="BC253" s="4117">
        <f t="shared" si="88"/>
        <v>0</v>
      </c>
      <c r="BD253" s="4117">
        <f t="shared" si="82"/>
        <v>0</v>
      </c>
    </row>
    <row r="254" spans="1:61" ht="51.75" thickBot="1">
      <c r="A254" s="6021" t="s">
        <v>11135</v>
      </c>
      <c r="B254" s="2672" t="s">
        <v>4543</v>
      </c>
      <c r="C254" s="2673">
        <v>0</v>
      </c>
      <c r="D254" s="2674">
        <v>43266</v>
      </c>
      <c r="E254" s="3050" t="s">
        <v>6385</v>
      </c>
      <c r="F254" s="3111" t="s">
        <v>4933</v>
      </c>
      <c r="G254" s="3112">
        <v>1.0119899999999999</v>
      </c>
      <c r="H254" s="2676" t="s">
        <v>5676</v>
      </c>
      <c r="I254" s="2677" t="s">
        <v>1433</v>
      </c>
      <c r="J254" s="2678" t="s">
        <v>1434</v>
      </c>
      <c r="K254" s="2679">
        <v>45454</v>
      </c>
      <c r="L254" s="2677" t="s">
        <v>2349</v>
      </c>
      <c r="M254" s="2678" t="s">
        <v>1957</v>
      </c>
      <c r="N254" s="2677" t="s">
        <v>3871</v>
      </c>
      <c r="O254" s="2676" t="s">
        <v>5677</v>
      </c>
      <c r="P254" s="2680"/>
      <c r="Q254" s="2678" t="s">
        <v>5678</v>
      </c>
      <c r="R254" s="2678" t="s">
        <v>5644</v>
      </c>
      <c r="S254" s="2681"/>
      <c r="T254" s="2682">
        <v>1265</v>
      </c>
      <c r="U254" s="2683">
        <v>0</v>
      </c>
      <c r="V254" s="2684">
        <f t="shared" si="78"/>
        <v>1265</v>
      </c>
      <c r="W254" s="2682">
        <v>224</v>
      </c>
      <c r="X254" s="2683">
        <v>0</v>
      </c>
      <c r="Y254" s="2684">
        <f t="shared" si="86"/>
        <v>224</v>
      </c>
      <c r="Z254" s="2682">
        <v>0</v>
      </c>
      <c r="AA254" s="2683">
        <v>0</v>
      </c>
      <c r="AB254" s="2684">
        <f t="shared" si="79"/>
        <v>0</v>
      </c>
      <c r="AC254" s="2668"/>
      <c r="AD254" s="2685"/>
      <c r="AE254" s="2686"/>
      <c r="AF254" s="2668"/>
      <c r="AG254" s="2685"/>
      <c r="AH254" s="2686"/>
      <c r="AI254" s="2687">
        <f t="shared" si="93"/>
        <v>1489</v>
      </c>
      <c r="AJ254" s="2683">
        <f t="shared" si="94"/>
        <v>0</v>
      </c>
      <c r="AK254" s="3916">
        <v>0</v>
      </c>
      <c r="AL254" s="2688">
        <f t="shared" si="83"/>
        <v>1489</v>
      </c>
      <c r="AM254" s="3551" t="s">
        <v>1061</v>
      </c>
      <c r="AN254" s="3552">
        <v>43342</v>
      </c>
      <c r="AO254" s="3553">
        <v>1210669</v>
      </c>
      <c r="AP254" s="3554" t="s">
        <v>4929</v>
      </c>
      <c r="AQ254" s="2675">
        <v>1.0119899999999999</v>
      </c>
      <c r="AR254" s="2689">
        <f t="shared" si="95"/>
        <v>1265</v>
      </c>
      <c r="AS254" s="2690">
        <f>ROUND($AQ254/$G254*Y254,0)</f>
        <v>224</v>
      </c>
      <c r="AT254" s="2690">
        <f t="shared" si="92"/>
        <v>0</v>
      </c>
      <c r="AU254" s="2691"/>
      <c r="AV254" s="2691"/>
      <c r="AW254" s="2879">
        <f t="shared" si="81"/>
        <v>1489</v>
      </c>
      <c r="AX254" s="2903" t="s">
        <v>5843</v>
      </c>
      <c r="AY254" s="1498" t="s">
        <v>5824</v>
      </c>
      <c r="AZ254" s="2118">
        <f>SUM(AW251:AW254)</f>
        <v>15711</v>
      </c>
      <c r="BA254" s="1727">
        <f>AZ254</f>
        <v>15711</v>
      </c>
      <c r="BB254" s="267"/>
      <c r="BC254" s="4117">
        <f t="shared" si="88"/>
        <v>0</v>
      </c>
      <c r="BD254" s="4117">
        <f t="shared" si="82"/>
        <v>0</v>
      </c>
    </row>
    <row r="255" spans="1:61" ht="76.5">
      <c r="A255" s="5967" t="s">
        <v>11140</v>
      </c>
      <c r="B255" s="827" t="s">
        <v>4525</v>
      </c>
      <c r="C255" s="828">
        <v>0</v>
      </c>
      <c r="D255" s="829">
        <v>43059</v>
      </c>
      <c r="E255" s="829" t="s">
        <v>6385</v>
      </c>
      <c r="F255" s="1865">
        <v>42979</v>
      </c>
      <c r="G255" s="2671">
        <v>111.5</v>
      </c>
      <c r="H255" s="832" t="s">
        <v>5098</v>
      </c>
      <c r="I255" s="833" t="s">
        <v>5099</v>
      </c>
      <c r="J255" s="834" t="s">
        <v>4306</v>
      </c>
      <c r="K255" s="835">
        <v>43789</v>
      </c>
      <c r="L255" s="833" t="s">
        <v>5100</v>
      </c>
      <c r="M255" s="834" t="s">
        <v>5101</v>
      </c>
      <c r="N255" s="833" t="s">
        <v>5102</v>
      </c>
      <c r="O255" s="832" t="s">
        <v>5103</v>
      </c>
      <c r="P255" s="836"/>
      <c r="Q255" s="6096" t="s">
        <v>4878</v>
      </c>
      <c r="R255" s="834" t="s">
        <v>1046</v>
      </c>
      <c r="S255" s="837"/>
      <c r="T255" s="838">
        <v>2315</v>
      </c>
      <c r="U255" s="839">
        <v>0</v>
      </c>
      <c r="V255" s="840">
        <f t="shared" si="78"/>
        <v>2315</v>
      </c>
      <c r="W255" s="838">
        <v>2893</v>
      </c>
      <c r="X255" s="839">
        <v>0</v>
      </c>
      <c r="Y255" s="840">
        <f t="shared" si="86"/>
        <v>2893</v>
      </c>
      <c r="Z255" s="838">
        <v>827</v>
      </c>
      <c r="AA255" s="839">
        <v>0</v>
      </c>
      <c r="AB255" s="840">
        <f t="shared" si="79"/>
        <v>827</v>
      </c>
      <c r="AC255" s="823"/>
      <c r="AD255" s="824"/>
      <c r="AE255" s="825"/>
      <c r="AF255" s="823"/>
      <c r="AG255" s="824"/>
      <c r="AH255" s="825"/>
      <c r="AI255" s="841">
        <f t="shared" si="93"/>
        <v>6035</v>
      </c>
      <c r="AJ255" s="839">
        <f t="shared" si="94"/>
        <v>0</v>
      </c>
      <c r="AK255" s="3906">
        <v>0</v>
      </c>
      <c r="AL255" s="869">
        <f t="shared" si="83"/>
        <v>6035</v>
      </c>
      <c r="AM255" s="3369" t="s">
        <v>1061</v>
      </c>
      <c r="AN255" s="3360">
        <v>43348</v>
      </c>
      <c r="AO255" s="3361">
        <v>120896</v>
      </c>
      <c r="AP255" s="3362" t="s">
        <v>5823</v>
      </c>
      <c r="AQ255" s="3555">
        <v>112.9</v>
      </c>
      <c r="AR255" s="846">
        <f t="shared" si="95"/>
        <v>2344</v>
      </c>
      <c r="AS255" s="847">
        <f>ROUNDUP($AQ255/$G255*Y255,0)</f>
        <v>2930</v>
      </c>
      <c r="AT255" s="847">
        <f t="shared" si="92"/>
        <v>837</v>
      </c>
      <c r="AU255" s="848"/>
      <c r="AV255" s="848"/>
      <c r="AW255" s="2872">
        <f t="shared" si="81"/>
        <v>6111</v>
      </c>
      <c r="AX255" s="2889"/>
      <c r="BB255" s="267"/>
      <c r="BC255" s="4117">
        <f t="shared" si="88"/>
        <v>0</v>
      </c>
      <c r="BD255" s="4117">
        <f t="shared" si="82"/>
        <v>0</v>
      </c>
    </row>
    <row r="256" spans="1:61" ht="76.5">
      <c r="A256" s="5964" t="s">
        <v>11140</v>
      </c>
      <c r="B256" s="2670" t="s">
        <v>5879</v>
      </c>
      <c r="C256" s="321">
        <v>0</v>
      </c>
      <c r="D256" s="323">
        <v>42843</v>
      </c>
      <c r="E256" s="3051" t="s">
        <v>6385</v>
      </c>
      <c r="F256" s="1203">
        <v>42705</v>
      </c>
      <c r="G256" s="2669">
        <v>110.2</v>
      </c>
      <c r="H256" s="332" t="s">
        <v>4510</v>
      </c>
      <c r="I256" s="339" t="s">
        <v>4511</v>
      </c>
      <c r="J256" s="322" t="s">
        <v>4306</v>
      </c>
      <c r="K256" s="340">
        <v>43573</v>
      </c>
      <c r="L256" s="339" t="s">
        <v>4512</v>
      </c>
      <c r="M256" s="322" t="s">
        <v>4513</v>
      </c>
      <c r="N256" s="339" t="s">
        <v>4514</v>
      </c>
      <c r="O256" s="332" t="s">
        <v>4515</v>
      </c>
      <c r="P256" s="345"/>
      <c r="Q256" s="6094" t="s">
        <v>4332</v>
      </c>
      <c r="R256" s="322" t="s">
        <v>1046</v>
      </c>
      <c r="S256" s="346"/>
      <c r="T256" s="347">
        <v>2288</v>
      </c>
      <c r="U256" s="326">
        <v>0</v>
      </c>
      <c r="V256" s="348">
        <f t="shared" si="78"/>
        <v>2288</v>
      </c>
      <c r="W256" s="347">
        <v>2860</v>
      </c>
      <c r="X256" s="326">
        <v>0</v>
      </c>
      <c r="Y256" s="348">
        <f t="shared" si="86"/>
        <v>2860</v>
      </c>
      <c r="Z256" s="347">
        <v>817</v>
      </c>
      <c r="AA256" s="326">
        <v>0</v>
      </c>
      <c r="AB256" s="348">
        <f t="shared" si="79"/>
        <v>817</v>
      </c>
      <c r="AC256" s="820"/>
      <c r="AD256" s="821"/>
      <c r="AE256" s="822"/>
      <c r="AF256" s="820"/>
      <c r="AG256" s="821"/>
      <c r="AH256" s="822"/>
      <c r="AI256" s="482">
        <f t="shared" si="93"/>
        <v>5965</v>
      </c>
      <c r="AJ256" s="326">
        <f t="shared" si="94"/>
        <v>0</v>
      </c>
      <c r="AK256" s="3917">
        <v>0</v>
      </c>
      <c r="AL256" s="349">
        <f t="shared" si="83"/>
        <v>5965</v>
      </c>
      <c r="AM256" s="2002" t="s">
        <v>1061</v>
      </c>
      <c r="AN256" s="3357">
        <v>43349</v>
      </c>
      <c r="AO256" s="695">
        <v>1210910</v>
      </c>
      <c r="AP256" s="2722" t="s">
        <v>5823</v>
      </c>
      <c r="AQ256" s="2723">
        <v>112.9</v>
      </c>
      <c r="AR256" s="333">
        <f t="shared" si="95"/>
        <v>2344</v>
      </c>
      <c r="AS256" s="330">
        <f t="shared" ref="AS256:AS296" si="96">ROUND($AQ256/$G256*Y256,0)</f>
        <v>2930</v>
      </c>
      <c r="AT256" s="330">
        <f t="shared" si="92"/>
        <v>837</v>
      </c>
      <c r="AU256" s="849"/>
      <c r="AV256" s="849"/>
      <c r="AW256" s="2870">
        <f t="shared" si="81"/>
        <v>6111</v>
      </c>
      <c r="AX256" s="3140"/>
      <c r="BB256" s="267"/>
      <c r="BC256" s="4117">
        <f t="shared" si="88"/>
        <v>0</v>
      </c>
      <c r="BD256" s="4117">
        <f t="shared" si="82"/>
        <v>0</v>
      </c>
    </row>
    <row r="257" spans="1:57" ht="63.75">
      <c r="A257" s="2418" t="s">
        <v>11135</v>
      </c>
      <c r="B257" s="338" t="s">
        <v>5894</v>
      </c>
      <c r="C257" s="321">
        <v>0</v>
      </c>
      <c r="D257" s="323">
        <v>43104</v>
      </c>
      <c r="E257" s="3051" t="s">
        <v>6385</v>
      </c>
      <c r="F257" s="324" t="s">
        <v>4933</v>
      </c>
      <c r="G257" s="2621">
        <v>1.0119899999999999</v>
      </c>
      <c r="H257" s="332" t="s">
        <v>5586</v>
      </c>
      <c r="I257" s="339" t="s">
        <v>1433</v>
      </c>
      <c r="J257" s="322" t="s">
        <v>1434</v>
      </c>
      <c r="K257" s="340">
        <v>44559</v>
      </c>
      <c r="L257" s="339" t="s">
        <v>5204</v>
      </c>
      <c r="M257" s="322" t="s">
        <v>5205</v>
      </c>
      <c r="N257" s="339" t="s">
        <v>5206</v>
      </c>
      <c r="O257" s="332" t="s">
        <v>5207</v>
      </c>
      <c r="P257" s="345"/>
      <c r="Q257" s="322" t="s">
        <v>5208</v>
      </c>
      <c r="R257" s="322" t="s">
        <v>4656</v>
      </c>
      <c r="S257" s="346"/>
      <c r="T257" s="347">
        <v>4857</v>
      </c>
      <c r="U257" s="326">
        <v>0</v>
      </c>
      <c r="V257" s="348">
        <f t="shared" si="78"/>
        <v>4857</v>
      </c>
      <c r="W257" s="347">
        <v>6072</v>
      </c>
      <c r="X257" s="326">
        <v>0</v>
      </c>
      <c r="Y257" s="348">
        <f t="shared" si="86"/>
        <v>6072</v>
      </c>
      <c r="Z257" s="347">
        <v>1214</v>
      </c>
      <c r="AA257" s="326">
        <v>0</v>
      </c>
      <c r="AB257" s="348">
        <f t="shared" si="79"/>
        <v>1214</v>
      </c>
      <c r="AC257" s="820"/>
      <c r="AD257" s="821"/>
      <c r="AE257" s="822"/>
      <c r="AF257" s="820"/>
      <c r="AG257" s="821"/>
      <c r="AH257" s="822"/>
      <c r="AI257" s="482">
        <f t="shared" si="93"/>
        <v>12143</v>
      </c>
      <c r="AJ257" s="326">
        <f t="shared" si="94"/>
        <v>0</v>
      </c>
      <c r="AK257" s="3917">
        <v>0</v>
      </c>
      <c r="AL257" s="349">
        <f t="shared" si="83"/>
        <v>12143</v>
      </c>
      <c r="AM257" s="2002" t="s">
        <v>1061</v>
      </c>
      <c r="AN257" s="3357">
        <v>43361</v>
      </c>
      <c r="AO257" s="695">
        <v>1211377</v>
      </c>
      <c r="AP257" s="2722" t="s">
        <v>5807</v>
      </c>
      <c r="AQ257" s="2723">
        <v>1.0247219999999999</v>
      </c>
      <c r="AR257" s="333">
        <f t="shared" si="95"/>
        <v>4918</v>
      </c>
      <c r="AS257" s="330">
        <f t="shared" si="96"/>
        <v>6148</v>
      </c>
      <c r="AT257" s="330">
        <f t="shared" si="92"/>
        <v>1229</v>
      </c>
      <c r="AU257" s="849"/>
      <c r="AV257" s="849"/>
      <c r="AW257" s="2870">
        <f t="shared" si="81"/>
        <v>12295</v>
      </c>
      <c r="AX257" s="3140"/>
      <c r="BB257" s="267"/>
      <c r="BC257" s="4117">
        <f t="shared" si="88"/>
        <v>0</v>
      </c>
      <c r="BD257" s="4117">
        <f t="shared" si="82"/>
        <v>0</v>
      </c>
    </row>
    <row r="258" spans="1:57" ht="90" thickBot="1">
      <c r="A258" s="6022" t="s">
        <v>11141</v>
      </c>
      <c r="B258" s="2728" t="s">
        <v>5943</v>
      </c>
      <c r="C258" s="2729">
        <v>1</v>
      </c>
      <c r="D258" s="2730" t="s">
        <v>5910</v>
      </c>
      <c r="E258" s="3052" t="s">
        <v>6386</v>
      </c>
      <c r="F258" s="2731" t="s">
        <v>6407</v>
      </c>
      <c r="G258" s="3113">
        <v>1.0247219999999999</v>
      </c>
      <c r="H258" s="2732" t="s">
        <v>5671</v>
      </c>
      <c r="I258" s="2733" t="s">
        <v>5854</v>
      </c>
      <c r="J258" s="2734" t="s">
        <v>4306</v>
      </c>
      <c r="K258" s="2735">
        <v>43996</v>
      </c>
      <c r="L258" s="2733" t="s">
        <v>5672</v>
      </c>
      <c r="M258" s="2734" t="s">
        <v>5673</v>
      </c>
      <c r="N258" s="2733" t="s">
        <v>5674</v>
      </c>
      <c r="O258" s="2732" t="s">
        <v>5673</v>
      </c>
      <c r="P258" s="2736" t="s">
        <v>5911</v>
      </c>
      <c r="Q258" s="6099" t="s">
        <v>5349</v>
      </c>
      <c r="R258" s="2734" t="s">
        <v>5350</v>
      </c>
      <c r="S258" s="2737"/>
      <c r="T258" s="2738">
        <v>2444</v>
      </c>
      <c r="U258" s="2739">
        <v>0</v>
      </c>
      <c r="V258" s="2740">
        <f t="shared" si="78"/>
        <v>2444</v>
      </c>
      <c r="W258" s="2738">
        <v>3056</v>
      </c>
      <c r="X258" s="2739">
        <v>0</v>
      </c>
      <c r="Y258" s="2740">
        <f t="shared" si="86"/>
        <v>3056</v>
      </c>
      <c r="Z258" s="2738">
        <v>0</v>
      </c>
      <c r="AA258" s="2739">
        <v>0</v>
      </c>
      <c r="AB258" s="2740">
        <f t="shared" si="79"/>
        <v>0</v>
      </c>
      <c r="AC258" s="2668"/>
      <c r="AD258" s="2741"/>
      <c r="AE258" s="2742"/>
      <c r="AF258" s="2668"/>
      <c r="AG258" s="2741"/>
      <c r="AH258" s="2742"/>
      <c r="AI258" s="2743">
        <f t="shared" si="93"/>
        <v>5500</v>
      </c>
      <c r="AJ258" s="2739">
        <f t="shared" si="94"/>
        <v>0</v>
      </c>
      <c r="AK258" s="3918">
        <v>0</v>
      </c>
      <c r="AL258" s="2744">
        <f t="shared" si="83"/>
        <v>5500</v>
      </c>
      <c r="AM258" s="3556" t="s">
        <v>1061</v>
      </c>
      <c r="AN258" s="3557">
        <v>43371</v>
      </c>
      <c r="AO258" s="3558">
        <v>1211727</v>
      </c>
      <c r="AP258" s="2908" t="s">
        <v>5807</v>
      </c>
      <c r="AQ258" s="2909">
        <v>1.0247219999999999</v>
      </c>
      <c r="AR258" s="2745">
        <f t="shared" si="95"/>
        <v>2444</v>
      </c>
      <c r="AS258" s="2746">
        <f t="shared" si="96"/>
        <v>3056</v>
      </c>
      <c r="AT258" s="2746">
        <f t="shared" si="92"/>
        <v>0</v>
      </c>
      <c r="AU258" s="2747"/>
      <c r="AV258" s="2747"/>
      <c r="AW258" s="2869">
        <f t="shared" si="81"/>
        <v>5500</v>
      </c>
      <c r="AX258" s="2890"/>
      <c r="AY258" s="764" t="s">
        <v>5877</v>
      </c>
      <c r="AZ258" s="1662">
        <f>SUM(AW255:AW258)</f>
        <v>30017</v>
      </c>
      <c r="BA258" s="1727">
        <f>AZ258</f>
        <v>30017</v>
      </c>
      <c r="BB258" s="267"/>
      <c r="BC258" s="4117">
        <f t="shared" si="88"/>
        <v>0</v>
      </c>
      <c r="BD258" s="4117">
        <f t="shared" si="82"/>
        <v>0</v>
      </c>
    </row>
    <row r="259" spans="1:57" ht="76.5">
      <c r="A259" s="6006" t="s">
        <v>11140</v>
      </c>
      <c r="B259" s="2298" t="s">
        <v>5947</v>
      </c>
      <c r="C259" s="2299">
        <v>0</v>
      </c>
      <c r="D259" s="2300">
        <v>42188</v>
      </c>
      <c r="E259" s="2300" t="s">
        <v>6387</v>
      </c>
      <c r="F259" s="2301" t="s">
        <v>3977</v>
      </c>
      <c r="G259" s="2441">
        <v>105.2</v>
      </c>
      <c r="H259" s="2306" t="s">
        <v>3680</v>
      </c>
      <c r="I259" s="2303" t="s">
        <v>1433</v>
      </c>
      <c r="J259" s="2304" t="s">
        <v>1434</v>
      </c>
      <c r="K259" s="2305">
        <v>43649</v>
      </c>
      <c r="L259" s="2303" t="s">
        <v>993</v>
      </c>
      <c r="M259" s="2304" t="s">
        <v>1957</v>
      </c>
      <c r="N259" s="2303" t="s">
        <v>3129</v>
      </c>
      <c r="O259" s="2306" t="s">
        <v>3130</v>
      </c>
      <c r="P259" s="2321" t="s">
        <v>5950</v>
      </c>
      <c r="Q259" s="2304" t="s">
        <v>3132</v>
      </c>
      <c r="R259" s="2304" t="s">
        <v>3131</v>
      </c>
      <c r="S259" s="2307"/>
      <c r="T259" s="2308">
        <v>0</v>
      </c>
      <c r="U259" s="2309">
        <v>0</v>
      </c>
      <c r="V259" s="2310">
        <f t="shared" si="78"/>
        <v>0</v>
      </c>
      <c r="W259" s="2308">
        <v>0</v>
      </c>
      <c r="X259" s="2309">
        <v>0</v>
      </c>
      <c r="Y259" s="2310">
        <f t="shared" si="86"/>
        <v>0</v>
      </c>
      <c r="Z259" s="2308">
        <v>720</v>
      </c>
      <c r="AA259" s="2309">
        <v>0</v>
      </c>
      <c r="AB259" s="2310">
        <f t="shared" si="79"/>
        <v>720</v>
      </c>
      <c r="AC259" s="823"/>
      <c r="AD259" s="824"/>
      <c r="AE259" s="825"/>
      <c r="AF259" s="823"/>
      <c r="AG259" s="824"/>
      <c r="AH259" s="825"/>
      <c r="AI259" s="2311">
        <f t="shared" si="93"/>
        <v>720</v>
      </c>
      <c r="AJ259" s="2309">
        <f t="shared" si="94"/>
        <v>0</v>
      </c>
      <c r="AK259" s="3914">
        <v>0</v>
      </c>
      <c r="AL259" s="2312">
        <f t="shared" si="83"/>
        <v>720</v>
      </c>
      <c r="AM259" s="3536" t="s">
        <v>5948</v>
      </c>
      <c r="AN259" s="3537">
        <v>43075</v>
      </c>
      <c r="AO259" s="3538">
        <v>42577</v>
      </c>
      <c r="AP259" s="3539" t="s">
        <v>5160</v>
      </c>
      <c r="AQ259" s="3540">
        <v>111.5</v>
      </c>
      <c r="AR259" s="2313">
        <f t="shared" si="95"/>
        <v>0</v>
      </c>
      <c r="AS259" s="2314">
        <f t="shared" si="96"/>
        <v>0</v>
      </c>
      <c r="AT259" s="2314">
        <f>-ROUND($AQ259/$G259*AB259,0)</f>
        <v>-763</v>
      </c>
      <c r="AU259" s="848"/>
      <c r="AV259" s="848"/>
      <c r="AW259" s="2883">
        <f t="shared" si="81"/>
        <v>-763</v>
      </c>
      <c r="AX259" s="2899"/>
      <c r="BB259" s="267"/>
      <c r="BC259" s="4117">
        <f t="shared" si="88"/>
        <v>0</v>
      </c>
      <c r="BD259" s="4117">
        <f t="shared" si="82"/>
        <v>0</v>
      </c>
      <c r="BE259" s="4111">
        <f>AW259</f>
        <v>-763</v>
      </c>
    </row>
    <row r="260" spans="1:57" ht="51">
      <c r="A260" s="5981" t="s">
        <v>11135</v>
      </c>
      <c r="B260" s="1538" t="s">
        <v>2953</v>
      </c>
      <c r="C260" s="1509">
        <v>0</v>
      </c>
      <c r="D260" s="1510">
        <v>42566</v>
      </c>
      <c r="E260" s="2300" t="s">
        <v>6387</v>
      </c>
      <c r="F260" s="2497" t="s">
        <v>4932</v>
      </c>
      <c r="G260" s="2663">
        <v>1</v>
      </c>
      <c r="H260" s="1513" t="s">
        <v>4361</v>
      </c>
      <c r="I260" s="1514" t="s">
        <v>1433</v>
      </c>
      <c r="J260" s="1515" t="s">
        <v>1434</v>
      </c>
      <c r="K260" s="1516">
        <v>44026</v>
      </c>
      <c r="L260" s="1514" t="s">
        <v>3898</v>
      </c>
      <c r="M260" s="1515" t="s">
        <v>3899</v>
      </c>
      <c r="N260" s="1514" t="s">
        <v>3900</v>
      </c>
      <c r="O260" s="1513" t="s">
        <v>3901</v>
      </c>
      <c r="P260" s="1517"/>
      <c r="Q260" s="1515" t="s">
        <v>3902</v>
      </c>
      <c r="R260" s="1515" t="s">
        <v>3892</v>
      </c>
      <c r="S260" s="1518"/>
      <c r="T260" s="1519">
        <v>6720</v>
      </c>
      <c r="U260" s="1504">
        <v>0</v>
      </c>
      <c r="V260" s="1520">
        <f t="shared" ref="V260:V296" si="97">T260-U260</f>
        <v>6720</v>
      </c>
      <c r="W260" s="1519">
        <v>8400</v>
      </c>
      <c r="X260" s="1504">
        <v>0</v>
      </c>
      <c r="Y260" s="1520">
        <f t="shared" si="86"/>
        <v>8400</v>
      </c>
      <c r="Z260" s="1519">
        <v>1680</v>
      </c>
      <c r="AA260" s="1504">
        <v>0</v>
      </c>
      <c r="AB260" s="1520">
        <f t="shared" ref="AB260:AB296" si="98">Z260-AA260</f>
        <v>1680</v>
      </c>
      <c r="AC260" s="820"/>
      <c r="AD260" s="821"/>
      <c r="AE260" s="822"/>
      <c r="AF260" s="820"/>
      <c r="AG260" s="821"/>
      <c r="AH260" s="822"/>
      <c r="AI260" s="1503">
        <f t="shared" si="93"/>
        <v>16800</v>
      </c>
      <c r="AJ260" s="1504">
        <f t="shared" si="94"/>
        <v>0</v>
      </c>
      <c r="AK260" s="3919">
        <v>0</v>
      </c>
      <c r="AL260" s="1505">
        <f t="shared" si="83"/>
        <v>16800</v>
      </c>
      <c r="AM260" s="1508" t="s">
        <v>1061</v>
      </c>
      <c r="AN260" s="3401">
        <v>43377</v>
      </c>
      <c r="AO260" s="3402">
        <v>1211905</v>
      </c>
      <c r="AP260" s="2664" t="s">
        <v>5807</v>
      </c>
      <c r="AQ260" s="2806">
        <v>1.0247219999999999</v>
      </c>
      <c r="AR260" s="1506">
        <f t="shared" si="95"/>
        <v>6886</v>
      </c>
      <c r="AS260" s="1507">
        <f t="shared" si="96"/>
        <v>8608</v>
      </c>
      <c r="AT260" s="1507">
        <f t="shared" ref="AT260:AT268" si="99">ROUND($AQ260/$G260*AB260,0)</f>
        <v>1722</v>
      </c>
      <c r="AU260" s="849"/>
      <c r="AV260" s="849"/>
      <c r="AW260" s="2878">
        <f t="shared" ref="AW260:AW323" si="100">SUM(AR260:AV260)</f>
        <v>17216</v>
      </c>
      <c r="AX260" s="2899"/>
      <c r="BB260" s="267"/>
      <c r="BC260" s="4117">
        <f t="shared" si="88"/>
        <v>0</v>
      </c>
      <c r="BD260" s="4117">
        <f t="shared" ref="BD260:BD323" si="101">ROUND($AK260*$AQ260/$G260,0)</f>
        <v>0</v>
      </c>
    </row>
    <row r="261" spans="1:57" ht="102">
      <c r="A261" s="5978" t="s">
        <v>11141</v>
      </c>
      <c r="B261" s="1538" t="s">
        <v>4547</v>
      </c>
      <c r="C261" s="1509">
        <v>0</v>
      </c>
      <c r="D261" s="1510">
        <v>43361</v>
      </c>
      <c r="E261" s="3053" t="s">
        <v>6385</v>
      </c>
      <c r="F261" s="1511" t="s">
        <v>5757</v>
      </c>
      <c r="G261" s="2663">
        <v>1.0247219999999999</v>
      </c>
      <c r="H261" s="1513" t="s">
        <v>5884</v>
      </c>
      <c r="I261" s="1514" t="s">
        <v>1433</v>
      </c>
      <c r="J261" s="1515" t="s">
        <v>1434</v>
      </c>
      <c r="K261" s="1516">
        <v>45553</v>
      </c>
      <c r="L261" s="1514" t="s">
        <v>5885</v>
      </c>
      <c r="M261" s="1515" t="s">
        <v>1957</v>
      </c>
      <c r="N261" s="1514" t="s">
        <v>5886</v>
      </c>
      <c r="O261" s="1513" t="s">
        <v>5887</v>
      </c>
      <c r="P261" s="1517"/>
      <c r="Q261" s="1515" t="s">
        <v>5888</v>
      </c>
      <c r="R261" s="1515" t="s">
        <v>5889</v>
      </c>
      <c r="S261" s="1518" t="s">
        <v>5890</v>
      </c>
      <c r="T261" s="1519">
        <v>0</v>
      </c>
      <c r="U261" s="1504">
        <v>0</v>
      </c>
      <c r="V261" s="1520">
        <f t="shared" si="97"/>
        <v>0</v>
      </c>
      <c r="W261" s="1519">
        <f>3077-2932</f>
        <v>145</v>
      </c>
      <c r="X261" s="1504">
        <v>0</v>
      </c>
      <c r="Y261" s="1520">
        <f t="shared" si="86"/>
        <v>145</v>
      </c>
      <c r="Z261" s="1519">
        <v>901</v>
      </c>
      <c r="AA261" s="1504">
        <v>0</v>
      </c>
      <c r="AB261" s="1520">
        <f t="shared" si="98"/>
        <v>901</v>
      </c>
      <c r="AC261" s="820"/>
      <c r="AD261" s="821"/>
      <c r="AE261" s="822"/>
      <c r="AF261" s="820"/>
      <c r="AG261" s="821"/>
      <c r="AH261" s="822"/>
      <c r="AI261" s="1503">
        <f t="shared" si="93"/>
        <v>1046</v>
      </c>
      <c r="AJ261" s="1504">
        <f t="shared" si="94"/>
        <v>0</v>
      </c>
      <c r="AK261" s="3919">
        <v>0</v>
      </c>
      <c r="AL261" s="1505">
        <f t="shared" si="83"/>
        <v>1046</v>
      </c>
      <c r="AM261" s="1508" t="s">
        <v>1061</v>
      </c>
      <c r="AN261" s="3401">
        <v>43378</v>
      </c>
      <c r="AO261" s="3402">
        <v>1211934</v>
      </c>
      <c r="AP261" s="2664" t="s">
        <v>5807</v>
      </c>
      <c r="AQ261" s="2806">
        <v>1.0247219999999999</v>
      </c>
      <c r="AR261" s="1506">
        <f t="shared" si="95"/>
        <v>0</v>
      </c>
      <c r="AS261" s="1507">
        <f t="shared" si="96"/>
        <v>145</v>
      </c>
      <c r="AT261" s="1507">
        <f t="shared" si="99"/>
        <v>901</v>
      </c>
      <c r="AU261" s="849"/>
      <c r="AV261" s="849"/>
      <c r="AW261" s="2878">
        <f t="shared" si="100"/>
        <v>1046</v>
      </c>
      <c r="AX261" s="2899"/>
      <c r="BB261" s="267"/>
      <c r="BC261" s="4117">
        <f t="shared" si="88"/>
        <v>0</v>
      </c>
      <c r="BD261" s="4117">
        <f t="shared" si="101"/>
        <v>0</v>
      </c>
    </row>
    <row r="262" spans="1:57" ht="38.25">
      <c r="A262" s="5981" t="s">
        <v>11135</v>
      </c>
      <c r="B262" s="1538" t="s">
        <v>5942</v>
      </c>
      <c r="C262" s="1509">
        <v>0</v>
      </c>
      <c r="D262" s="1510">
        <v>42937</v>
      </c>
      <c r="E262" s="3053" t="s">
        <v>6385</v>
      </c>
      <c r="F262" s="1511" t="s">
        <v>5915</v>
      </c>
      <c r="G262" s="2663">
        <v>1.0119899999999999</v>
      </c>
      <c r="H262" s="1513" t="s">
        <v>4953</v>
      </c>
      <c r="I262" s="1514" t="s">
        <v>1433</v>
      </c>
      <c r="J262" s="1515" t="s">
        <v>1434</v>
      </c>
      <c r="K262" s="1516">
        <v>44398</v>
      </c>
      <c r="L262" s="1514" t="s">
        <v>4954</v>
      </c>
      <c r="M262" s="1515" t="s">
        <v>4955</v>
      </c>
      <c r="N262" s="1514" t="s">
        <v>4956</v>
      </c>
      <c r="O262" s="1513" t="s">
        <v>4957</v>
      </c>
      <c r="P262" s="1517"/>
      <c r="Q262" s="1515" t="s">
        <v>4760</v>
      </c>
      <c r="R262" s="1515" t="s">
        <v>4761</v>
      </c>
      <c r="S262" s="1518"/>
      <c r="T262" s="1519">
        <v>6800</v>
      </c>
      <c r="U262" s="1504">
        <v>0</v>
      </c>
      <c r="V262" s="1520">
        <f t="shared" si="97"/>
        <v>6800</v>
      </c>
      <c r="W262" s="1519">
        <v>8501</v>
      </c>
      <c r="X262" s="1504">
        <v>0</v>
      </c>
      <c r="Y262" s="1520">
        <f t="shared" si="86"/>
        <v>8501</v>
      </c>
      <c r="Z262" s="1519">
        <v>1700</v>
      </c>
      <c r="AA262" s="1504">
        <v>0</v>
      </c>
      <c r="AB262" s="1520">
        <f t="shared" si="98"/>
        <v>1700</v>
      </c>
      <c r="AC262" s="820"/>
      <c r="AD262" s="821"/>
      <c r="AE262" s="822"/>
      <c r="AF262" s="820"/>
      <c r="AG262" s="821"/>
      <c r="AH262" s="822"/>
      <c r="AI262" s="1503">
        <f t="shared" si="93"/>
        <v>17001</v>
      </c>
      <c r="AJ262" s="1504">
        <f t="shared" si="94"/>
        <v>0</v>
      </c>
      <c r="AK262" s="3919">
        <v>0</v>
      </c>
      <c r="AL262" s="1505">
        <f t="shared" si="83"/>
        <v>17001</v>
      </c>
      <c r="AM262" s="1508" t="s">
        <v>1061</v>
      </c>
      <c r="AN262" s="3401">
        <v>43378</v>
      </c>
      <c r="AO262" s="3402">
        <v>1211945</v>
      </c>
      <c r="AP262" s="2664" t="s">
        <v>5807</v>
      </c>
      <c r="AQ262" s="2806">
        <v>1.0247219999999999</v>
      </c>
      <c r="AR262" s="1506">
        <f t="shared" si="95"/>
        <v>6886</v>
      </c>
      <c r="AS262" s="1507">
        <f t="shared" si="96"/>
        <v>8608</v>
      </c>
      <c r="AT262" s="1507">
        <f t="shared" si="99"/>
        <v>1721</v>
      </c>
      <c r="AU262" s="849"/>
      <c r="AV262" s="849"/>
      <c r="AW262" s="2878">
        <f t="shared" si="100"/>
        <v>17215</v>
      </c>
      <c r="AX262" s="2899"/>
      <c r="BB262" s="267"/>
      <c r="BC262" s="4117">
        <f t="shared" si="88"/>
        <v>0</v>
      </c>
      <c r="BD262" s="4117">
        <f t="shared" si="101"/>
        <v>0</v>
      </c>
    </row>
    <row r="263" spans="1:57" ht="76.5">
      <c r="A263" s="5978" t="s">
        <v>11140</v>
      </c>
      <c r="B263" s="1538" t="s">
        <v>5916</v>
      </c>
      <c r="C263" s="1509">
        <v>0</v>
      </c>
      <c r="D263" s="1510">
        <v>42950</v>
      </c>
      <c r="E263" s="3053" t="s">
        <v>6385</v>
      </c>
      <c r="F263" s="2139">
        <v>42887</v>
      </c>
      <c r="G263" s="2805">
        <v>111</v>
      </c>
      <c r="H263" s="1513" t="s">
        <v>5224</v>
      </c>
      <c r="I263" s="1514" t="s">
        <v>1433</v>
      </c>
      <c r="J263" s="1515" t="s">
        <v>1434</v>
      </c>
      <c r="K263" s="1516">
        <v>44409</v>
      </c>
      <c r="L263" s="1514" t="s">
        <v>4800</v>
      </c>
      <c r="M263" s="1515" t="s">
        <v>4801</v>
      </c>
      <c r="N263" s="1514" t="s">
        <v>4802</v>
      </c>
      <c r="O263" s="1513" t="s">
        <v>4803</v>
      </c>
      <c r="P263" s="1517"/>
      <c r="Q263" s="6094" t="s">
        <v>8823</v>
      </c>
      <c r="R263" s="1515" t="s">
        <v>4804</v>
      </c>
      <c r="S263" s="1518"/>
      <c r="T263" s="1519">
        <v>2304</v>
      </c>
      <c r="U263" s="1504">
        <v>0</v>
      </c>
      <c r="V263" s="1520">
        <f t="shared" si="97"/>
        <v>2304</v>
      </c>
      <c r="W263" s="1519">
        <v>2881</v>
      </c>
      <c r="X263" s="1504">
        <v>0</v>
      </c>
      <c r="Y263" s="1520">
        <f t="shared" si="86"/>
        <v>2881</v>
      </c>
      <c r="Z263" s="1519">
        <v>823</v>
      </c>
      <c r="AA263" s="1504">
        <v>0</v>
      </c>
      <c r="AB263" s="1520">
        <f t="shared" si="98"/>
        <v>823</v>
      </c>
      <c r="AC263" s="820"/>
      <c r="AD263" s="821"/>
      <c r="AE263" s="822"/>
      <c r="AF263" s="820"/>
      <c r="AG263" s="821"/>
      <c r="AH263" s="822"/>
      <c r="AI263" s="1503">
        <f t="shared" si="93"/>
        <v>6008</v>
      </c>
      <c r="AJ263" s="1504">
        <f t="shared" si="94"/>
        <v>0</v>
      </c>
      <c r="AK263" s="3919">
        <v>0</v>
      </c>
      <c r="AL263" s="1505">
        <f t="shared" si="83"/>
        <v>6008</v>
      </c>
      <c r="AM263" s="1508" t="s">
        <v>1061</v>
      </c>
      <c r="AN263" s="3401">
        <v>43381</v>
      </c>
      <c r="AO263" s="3402">
        <v>1211985</v>
      </c>
      <c r="AP263" s="2664" t="s">
        <v>5823</v>
      </c>
      <c r="AQ263" s="2806">
        <v>112.9</v>
      </c>
      <c r="AR263" s="1506">
        <f t="shared" si="95"/>
        <v>2343</v>
      </c>
      <c r="AS263" s="1507">
        <f t="shared" si="96"/>
        <v>2930</v>
      </c>
      <c r="AT263" s="1507">
        <f t="shared" si="99"/>
        <v>837</v>
      </c>
      <c r="AU263" s="849"/>
      <c r="AV263" s="849"/>
      <c r="AW263" s="2878">
        <f t="shared" si="100"/>
        <v>6110</v>
      </c>
      <c r="AX263" s="2899"/>
      <c r="BB263" s="267"/>
      <c r="BC263" s="4117">
        <f t="shared" si="88"/>
        <v>0</v>
      </c>
      <c r="BD263" s="4117">
        <f t="shared" si="101"/>
        <v>0</v>
      </c>
    </row>
    <row r="264" spans="1:57" ht="63.75">
      <c r="A264" s="5981" t="s">
        <v>11135</v>
      </c>
      <c r="B264" s="1538" t="s">
        <v>5941</v>
      </c>
      <c r="C264" s="1509">
        <v>0</v>
      </c>
      <c r="D264" s="1510">
        <v>43161</v>
      </c>
      <c r="E264" s="3053" t="s">
        <v>6385</v>
      </c>
      <c r="F264" s="1511" t="s">
        <v>5915</v>
      </c>
      <c r="G264" s="2663">
        <v>1.0119899999999999</v>
      </c>
      <c r="H264" s="1513" t="s">
        <v>5325</v>
      </c>
      <c r="I264" s="1514" t="s">
        <v>1433</v>
      </c>
      <c r="J264" s="1515" t="s">
        <v>1434</v>
      </c>
      <c r="K264" s="1516" t="s">
        <v>4905</v>
      </c>
      <c r="L264" s="1514" t="s">
        <v>5329</v>
      </c>
      <c r="M264" s="1515" t="s">
        <v>5330</v>
      </c>
      <c r="N264" s="1514" t="s">
        <v>5326</v>
      </c>
      <c r="O264" s="1513" t="s">
        <v>5327</v>
      </c>
      <c r="P264" s="1517"/>
      <c r="Q264" s="1515" t="s">
        <v>5328</v>
      </c>
      <c r="R264" s="1515" t="s">
        <v>175</v>
      </c>
      <c r="S264" s="1518"/>
      <c r="T264" s="1519">
        <v>825</v>
      </c>
      <c r="U264" s="1504">
        <v>0</v>
      </c>
      <c r="V264" s="1520">
        <f t="shared" si="97"/>
        <v>825</v>
      </c>
      <c r="W264" s="1519">
        <v>146</v>
      </c>
      <c r="X264" s="1504">
        <v>0</v>
      </c>
      <c r="Y264" s="1520">
        <f t="shared" si="86"/>
        <v>146</v>
      </c>
      <c r="Z264" s="1519">
        <v>0</v>
      </c>
      <c r="AA264" s="1504">
        <v>0</v>
      </c>
      <c r="AB264" s="1520">
        <f t="shared" si="98"/>
        <v>0</v>
      </c>
      <c r="AC264" s="820"/>
      <c r="AD264" s="821"/>
      <c r="AE264" s="822"/>
      <c r="AF264" s="820"/>
      <c r="AG264" s="821"/>
      <c r="AH264" s="822"/>
      <c r="AI264" s="1503">
        <f t="shared" si="93"/>
        <v>971</v>
      </c>
      <c r="AJ264" s="1504">
        <f t="shared" si="94"/>
        <v>0</v>
      </c>
      <c r="AK264" s="3919">
        <v>0</v>
      </c>
      <c r="AL264" s="1505">
        <f t="shared" si="83"/>
        <v>971</v>
      </c>
      <c r="AM264" s="1508" t="s">
        <v>1061</v>
      </c>
      <c r="AN264" s="3401">
        <v>43381</v>
      </c>
      <c r="AO264" s="3402">
        <v>1212004</v>
      </c>
      <c r="AP264" s="2664" t="s">
        <v>5807</v>
      </c>
      <c r="AQ264" s="2806">
        <v>1.0247219999999999</v>
      </c>
      <c r="AR264" s="1506">
        <f t="shared" si="95"/>
        <v>835</v>
      </c>
      <c r="AS264" s="1507">
        <f t="shared" si="96"/>
        <v>148</v>
      </c>
      <c r="AT264" s="1507">
        <f t="shared" si="99"/>
        <v>0</v>
      </c>
      <c r="AU264" s="849"/>
      <c r="AV264" s="849"/>
      <c r="AW264" s="2878">
        <f t="shared" si="100"/>
        <v>983</v>
      </c>
      <c r="AX264" s="2899"/>
      <c r="BB264" s="267"/>
      <c r="BC264" s="4117">
        <f t="shared" si="88"/>
        <v>0</v>
      </c>
      <c r="BD264" s="4117">
        <f t="shared" si="101"/>
        <v>0</v>
      </c>
    </row>
    <row r="265" spans="1:57" ht="102">
      <c r="A265" s="5978" t="s">
        <v>11141</v>
      </c>
      <c r="B265" s="1538" t="s">
        <v>5331</v>
      </c>
      <c r="C265" s="1509">
        <v>0</v>
      </c>
      <c r="D265" s="1510">
        <v>42906</v>
      </c>
      <c r="E265" s="3053" t="s">
        <v>6385</v>
      </c>
      <c r="F265" s="1511" t="s">
        <v>4154</v>
      </c>
      <c r="G265" s="2663">
        <v>1.0111000000000001</v>
      </c>
      <c r="H265" s="1513" t="s">
        <v>4667</v>
      </c>
      <c r="I265" s="1514" t="s">
        <v>1433</v>
      </c>
      <c r="J265" s="1515" t="s">
        <v>1434</v>
      </c>
      <c r="K265" s="1516">
        <v>44362</v>
      </c>
      <c r="L265" s="1514" t="s">
        <v>4668</v>
      </c>
      <c r="M265" s="1515" t="s">
        <v>1957</v>
      </c>
      <c r="N265" s="1514" t="s">
        <v>4669</v>
      </c>
      <c r="O265" s="1513" t="s">
        <v>4670</v>
      </c>
      <c r="P265" s="1517"/>
      <c r="Q265" s="1515" t="s">
        <v>4671</v>
      </c>
      <c r="R265" s="1515" t="s">
        <v>4672</v>
      </c>
      <c r="S265" s="1518" t="s">
        <v>4673</v>
      </c>
      <c r="T265" s="1519">
        <v>9018</v>
      </c>
      <c r="U265" s="1504">
        <v>0</v>
      </c>
      <c r="V265" s="1520">
        <f t="shared" si="97"/>
        <v>9018</v>
      </c>
      <c r="W265" s="1519">
        <v>0</v>
      </c>
      <c r="X265" s="1504">
        <v>0</v>
      </c>
      <c r="Y265" s="1520">
        <f t="shared" si="86"/>
        <v>0</v>
      </c>
      <c r="Z265" s="1519">
        <v>0</v>
      </c>
      <c r="AA265" s="1504">
        <v>0</v>
      </c>
      <c r="AB265" s="1520">
        <f t="shared" si="98"/>
        <v>0</v>
      </c>
      <c r="AC265" s="820"/>
      <c r="AD265" s="821"/>
      <c r="AE265" s="822"/>
      <c r="AF265" s="820"/>
      <c r="AG265" s="821"/>
      <c r="AH265" s="822"/>
      <c r="AI265" s="1503">
        <f t="shared" si="93"/>
        <v>9018</v>
      </c>
      <c r="AJ265" s="1504">
        <f t="shared" si="94"/>
        <v>0</v>
      </c>
      <c r="AK265" s="3919">
        <v>0</v>
      </c>
      <c r="AL265" s="1505">
        <f t="shared" si="83"/>
        <v>9018</v>
      </c>
      <c r="AM265" s="1508" t="s">
        <v>1061</v>
      </c>
      <c r="AN265" s="3401">
        <v>43383</v>
      </c>
      <c r="AO265" s="3402">
        <v>1212063</v>
      </c>
      <c r="AP265" s="2664" t="s">
        <v>5807</v>
      </c>
      <c r="AQ265" s="2806">
        <v>1.0247219999999999</v>
      </c>
      <c r="AR265" s="1506">
        <f t="shared" si="95"/>
        <v>9139</v>
      </c>
      <c r="AS265" s="1507">
        <f t="shared" si="96"/>
        <v>0</v>
      </c>
      <c r="AT265" s="1507">
        <f t="shared" si="99"/>
        <v>0</v>
      </c>
      <c r="AU265" s="849"/>
      <c r="AV265" s="849"/>
      <c r="AW265" s="2878">
        <f t="shared" si="100"/>
        <v>9139</v>
      </c>
      <c r="AX265" s="2899"/>
      <c r="BB265" s="267"/>
      <c r="BC265" s="4117">
        <f t="shared" si="88"/>
        <v>0</v>
      </c>
      <c r="BD265" s="4117">
        <f t="shared" si="101"/>
        <v>0</v>
      </c>
    </row>
    <row r="266" spans="1:57" ht="38.25">
      <c r="A266" s="5981" t="s">
        <v>11135</v>
      </c>
      <c r="B266" s="1538" t="s">
        <v>5939</v>
      </c>
      <c r="C266" s="1509">
        <v>0</v>
      </c>
      <c r="D266" s="1510">
        <v>43061</v>
      </c>
      <c r="E266" s="3053" t="s">
        <v>6385</v>
      </c>
      <c r="F266" s="1511" t="s">
        <v>5915</v>
      </c>
      <c r="G266" s="2663">
        <v>1.0119899999999999</v>
      </c>
      <c r="H266" s="1513" t="s">
        <v>5108</v>
      </c>
      <c r="I266" s="1514" t="s">
        <v>1436</v>
      </c>
      <c r="J266" s="1515" t="s">
        <v>1437</v>
      </c>
      <c r="K266" s="1516">
        <v>44522</v>
      </c>
      <c r="L266" s="1514" t="s">
        <v>5109</v>
      </c>
      <c r="M266" s="1515" t="s">
        <v>4960</v>
      </c>
      <c r="N266" s="1514" t="s">
        <v>5110</v>
      </c>
      <c r="O266" s="1513" t="s">
        <v>5111</v>
      </c>
      <c r="P266" s="1517"/>
      <c r="Q266" s="1515" t="s">
        <v>5113</v>
      </c>
      <c r="R266" s="1515" t="s">
        <v>5112</v>
      </c>
      <c r="S266" s="1518"/>
      <c r="T266" s="1519">
        <v>34003</v>
      </c>
      <c r="U266" s="1504">
        <v>0</v>
      </c>
      <c r="V266" s="1520">
        <f t="shared" si="97"/>
        <v>34003</v>
      </c>
      <c r="W266" s="1519">
        <v>42504</v>
      </c>
      <c r="X266" s="1504">
        <v>0</v>
      </c>
      <c r="Y266" s="1520">
        <f t="shared" si="86"/>
        <v>42504</v>
      </c>
      <c r="Z266" s="1519">
        <v>8501</v>
      </c>
      <c r="AA266" s="1504">
        <v>0</v>
      </c>
      <c r="AB266" s="1520">
        <f t="shared" si="98"/>
        <v>8501</v>
      </c>
      <c r="AC266" s="820"/>
      <c r="AD266" s="821"/>
      <c r="AE266" s="822"/>
      <c r="AF266" s="820"/>
      <c r="AG266" s="821"/>
      <c r="AH266" s="822"/>
      <c r="AI266" s="1503">
        <f t="shared" si="93"/>
        <v>85008</v>
      </c>
      <c r="AJ266" s="1504">
        <f t="shared" si="94"/>
        <v>0</v>
      </c>
      <c r="AK266" s="3919">
        <v>0</v>
      </c>
      <c r="AL266" s="1505">
        <f t="shared" si="83"/>
        <v>85008</v>
      </c>
      <c r="AM266" s="1508" t="s">
        <v>1061</v>
      </c>
      <c r="AN266" s="3401">
        <v>43391</v>
      </c>
      <c r="AO266" s="3402">
        <v>1212278</v>
      </c>
      <c r="AP266" s="2664" t="s">
        <v>5807</v>
      </c>
      <c r="AQ266" s="2806">
        <v>1.0247219999999999</v>
      </c>
      <c r="AR266" s="1506">
        <f t="shared" si="95"/>
        <v>34431</v>
      </c>
      <c r="AS266" s="1507">
        <f t="shared" si="96"/>
        <v>43039</v>
      </c>
      <c r="AT266" s="1507">
        <f t="shared" si="99"/>
        <v>8608</v>
      </c>
      <c r="AU266" s="849"/>
      <c r="AV266" s="849"/>
      <c r="AW266" s="2878">
        <f t="shared" si="100"/>
        <v>86078</v>
      </c>
      <c r="AX266" s="2899"/>
      <c r="AY266" s="2006"/>
      <c r="AZ266" s="1726"/>
      <c r="BB266" s="267"/>
      <c r="BC266" s="4117">
        <f t="shared" si="88"/>
        <v>0</v>
      </c>
      <c r="BD266" s="4117">
        <f t="shared" si="101"/>
        <v>0</v>
      </c>
    </row>
    <row r="267" spans="1:57" ht="76.5">
      <c r="A267" s="5981" t="s">
        <v>11135</v>
      </c>
      <c r="B267" s="1538" t="s">
        <v>5986</v>
      </c>
      <c r="C267" s="1509">
        <v>0</v>
      </c>
      <c r="D267" s="1510">
        <v>43171</v>
      </c>
      <c r="E267" s="3053" t="s">
        <v>6385</v>
      </c>
      <c r="F267" s="1511" t="s">
        <v>5915</v>
      </c>
      <c r="G267" s="2663">
        <v>1.0119899999999999</v>
      </c>
      <c r="H267" s="1513" t="s">
        <v>5351</v>
      </c>
      <c r="I267" s="1514" t="s">
        <v>1433</v>
      </c>
      <c r="J267" s="1515" t="s">
        <v>1434</v>
      </c>
      <c r="K267" s="1516">
        <v>45363</v>
      </c>
      <c r="L267" s="1514" t="s">
        <v>5352</v>
      </c>
      <c r="M267" s="1515" t="s">
        <v>5353</v>
      </c>
      <c r="N267" s="1514" t="s">
        <v>5354</v>
      </c>
      <c r="O267" s="1513" t="s">
        <v>5355</v>
      </c>
      <c r="P267" s="1517"/>
      <c r="Q267" s="1515" t="s">
        <v>8817</v>
      </c>
      <c r="R267" s="1515" t="s">
        <v>5356</v>
      </c>
      <c r="S267" s="1518" t="s">
        <v>5357</v>
      </c>
      <c r="T267" s="1519">
        <v>0</v>
      </c>
      <c r="U267" s="1504">
        <v>0</v>
      </c>
      <c r="V267" s="1520">
        <f t="shared" si="97"/>
        <v>0</v>
      </c>
      <c r="W267" s="1519">
        <f>4845-2104</f>
        <v>2741</v>
      </c>
      <c r="X267" s="1504">
        <v>0</v>
      </c>
      <c r="Y267" s="1520">
        <f t="shared" si="86"/>
        <v>2741</v>
      </c>
      <c r="Z267" s="1519">
        <v>0</v>
      </c>
      <c r="AA267" s="1504">
        <v>0</v>
      </c>
      <c r="AB267" s="1520">
        <f t="shared" si="98"/>
        <v>0</v>
      </c>
      <c r="AC267" s="820"/>
      <c r="AD267" s="821"/>
      <c r="AE267" s="822"/>
      <c r="AF267" s="820"/>
      <c r="AG267" s="821"/>
      <c r="AH267" s="822"/>
      <c r="AI267" s="1503">
        <f t="shared" si="93"/>
        <v>2741</v>
      </c>
      <c r="AJ267" s="1504">
        <f t="shared" si="94"/>
        <v>0</v>
      </c>
      <c r="AK267" s="3919">
        <v>0</v>
      </c>
      <c r="AL267" s="1505">
        <f t="shared" si="83"/>
        <v>2741</v>
      </c>
      <c r="AM267" s="1508" t="s">
        <v>1061</v>
      </c>
      <c r="AN267" s="3401">
        <v>43395</v>
      </c>
      <c r="AO267" s="3402">
        <v>1212386</v>
      </c>
      <c r="AP267" s="2664" t="s">
        <v>5807</v>
      </c>
      <c r="AQ267" s="2806">
        <v>1.0247219999999999</v>
      </c>
      <c r="AR267" s="1506">
        <f t="shared" si="95"/>
        <v>0</v>
      </c>
      <c r="AS267" s="1507">
        <f t="shared" si="96"/>
        <v>2775</v>
      </c>
      <c r="AT267" s="1507">
        <f t="shared" si="99"/>
        <v>0</v>
      </c>
      <c r="AU267" s="849"/>
      <c r="AV267" s="849"/>
      <c r="AW267" s="2878">
        <f t="shared" si="100"/>
        <v>2775</v>
      </c>
      <c r="AX267" s="3146"/>
      <c r="AY267" s="2007"/>
      <c r="AZ267" s="2904"/>
      <c r="BB267" s="267"/>
      <c r="BC267" s="4117">
        <f t="shared" si="88"/>
        <v>0</v>
      </c>
      <c r="BD267" s="4117">
        <f t="shared" si="101"/>
        <v>0</v>
      </c>
    </row>
    <row r="268" spans="1:57" ht="51.75" thickBot="1">
      <c r="A268" s="6023" t="s">
        <v>11135</v>
      </c>
      <c r="B268" s="2672" t="s">
        <v>4533</v>
      </c>
      <c r="C268" s="2855">
        <v>0</v>
      </c>
      <c r="D268" s="2856">
        <v>43216</v>
      </c>
      <c r="E268" s="3050" t="s">
        <v>6385</v>
      </c>
      <c r="F268" s="3114" t="s">
        <v>5915</v>
      </c>
      <c r="G268" s="3115">
        <v>1.0119899999999999</v>
      </c>
      <c r="H268" s="2857" t="s">
        <v>5459</v>
      </c>
      <c r="I268" s="2677" t="s">
        <v>1436</v>
      </c>
      <c r="J268" s="2858" t="s">
        <v>1437</v>
      </c>
      <c r="K268" s="2859">
        <v>44675</v>
      </c>
      <c r="L268" s="2677" t="s">
        <v>5460</v>
      </c>
      <c r="M268" s="2858" t="s">
        <v>5461</v>
      </c>
      <c r="N268" s="2677" t="s">
        <v>5462</v>
      </c>
      <c r="O268" s="2857" t="s">
        <v>5463</v>
      </c>
      <c r="P268" s="2680"/>
      <c r="Q268" s="2858" t="s">
        <v>5464</v>
      </c>
      <c r="R268" s="2858" t="s">
        <v>5465</v>
      </c>
      <c r="S268" s="2860"/>
      <c r="T268" s="2682">
        <v>6800</v>
      </c>
      <c r="U268" s="2861">
        <v>0</v>
      </c>
      <c r="V268" s="2862">
        <f t="shared" si="97"/>
        <v>6800</v>
      </c>
      <c r="W268" s="2682">
        <v>8501</v>
      </c>
      <c r="X268" s="2861">
        <v>0</v>
      </c>
      <c r="Y268" s="2862">
        <f t="shared" si="86"/>
        <v>8501</v>
      </c>
      <c r="Z268" s="2682">
        <v>1700</v>
      </c>
      <c r="AA268" s="2861">
        <v>0</v>
      </c>
      <c r="AB268" s="2862">
        <f t="shared" si="98"/>
        <v>1700</v>
      </c>
      <c r="AC268" s="2668"/>
      <c r="AD268" s="2741"/>
      <c r="AE268" s="2742"/>
      <c r="AF268" s="2668"/>
      <c r="AG268" s="2741"/>
      <c r="AH268" s="2742"/>
      <c r="AI268" s="2687">
        <f t="shared" si="93"/>
        <v>17001</v>
      </c>
      <c r="AJ268" s="2861">
        <f t="shared" si="94"/>
        <v>0</v>
      </c>
      <c r="AK268" s="3916">
        <v>0</v>
      </c>
      <c r="AL268" s="2863">
        <f t="shared" ref="AL268:AL295" si="102">V268+Y268+AB268+AE268+AH268</f>
        <v>17001</v>
      </c>
      <c r="AM268" s="3551" t="s">
        <v>1061</v>
      </c>
      <c r="AN268" s="3559">
        <v>43404</v>
      </c>
      <c r="AO268" s="3560">
        <v>1212631</v>
      </c>
      <c r="AP268" s="3561" t="s">
        <v>5807</v>
      </c>
      <c r="AQ268" s="3562">
        <v>1.0247219999999999</v>
      </c>
      <c r="AR268" s="2689">
        <f t="shared" si="95"/>
        <v>6886</v>
      </c>
      <c r="AS268" s="2864">
        <f t="shared" si="96"/>
        <v>8608</v>
      </c>
      <c r="AT268" s="2864">
        <f t="shared" si="99"/>
        <v>1721</v>
      </c>
      <c r="AU268" s="2747"/>
      <c r="AV268" s="2747"/>
      <c r="AW268" s="2879">
        <f t="shared" si="100"/>
        <v>17215</v>
      </c>
      <c r="AX268" s="2896"/>
      <c r="AY268" s="1498" t="s">
        <v>5949</v>
      </c>
      <c r="AZ268" s="2118">
        <f>SUM(AW259:AW268)</f>
        <v>157014</v>
      </c>
      <c r="BA268" s="1727">
        <f>AZ268</f>
        <v>157014</v>
      </c>
      <c r="BB268" s="267"/>
      <c r="BC268" s="4117">
        <f t="shared" si="88"/>
        <v>0</v>
      </c>
      <c r="BD268" s="4117">
        <f t="shared" si="101"/>
        <v>0</v>
      </c>
    </row>
    <row r="269" spans="1:57" ht="76.5">
      <c r="A269" s="5967" t="s">
        <v>11141</v>
      </c>
      <c r="B269" s="827" t="s">
        <v>5056</v>
      </c>
      <c r="C269" s="828">
        <v>0</v>
      </c>
      <c r="D269" s="829">
        <v>43040</v>
      </c>
      <c r="E269" s="829" t="s">
        <v>6385</v>
      </c>
      <c r="F269" s="830" t="s">
        <v>5915</v>
      </c>
      <c r="G269" s="2620">
        <v>1.0119899999999999</v>
      </c>
      <c r="H269" s="832" t="s">
        <v>5035</v>
      </c>
      <c r="I269" s="833" t="s">
        <v>5038</v>
      </c>
      <c r="J269" s="834" t="s">
        <v>4306</v>
      </c>
      <c r="K269" s="835">
        <v>43770</v>
      </c>
      <c r="L269" s="833" t="s">
        <v>5039</v>
      </c>
      <c r="M269" s="834" t="s">
        <v>5042</v>
      </c>
      <c r="N269" s="833" t="s">
        <v>5041</v>
      </c>
      <c r="O269" s="834" t="s">
        <v>5040</v>
      </c>
      <c r="P269" s="836"/>
      <c r="Q269" s="6096" t="s">
        <v>4878</v>
      </c>
      <c r="R269" s="834" t="s">
        <v>1046</v>
      </c>
      <c r="S269" s="837"/>
      <c r="T269" s="838">
        <v>2315</v>
      </c>
      <c r="U269" s="839">
        <v>0</v>
      </c>
      <c r="V269" s="840">
        <f t="shared" si="97"/>
        <v>2315</v>
      </c>
      <c r="W269" s="838">
        <v>2893</v>
      </c>
      <c r="X269" s="839">
        <v>0</v>
      </c>
      <c r="Y269" s="840">
        <f t="shared" si="86"/>
        <v>2893</v>
      </c>
      <c r="Z269" s="838">
        <v>827</v>
      </c>
      <c r="AA269" s="839">
        <v>0</v>
      </c>
      <c r="AB269" s="840">
        <f t="shared" si="98"/>
        <v>827</v>
      </c>
      <c r="AC269" s="823"/>
      <c r="AD269" s="824"/>
      <c r="AE269" s="825"/>
      <c r="AF269" s="823"/>
      <c r="AG269" s="824"/>
      <c r="AH269" s="825"/>
      <c r="AI269" s="841">
        <f t="shared" si="93"/>
        <v>6035</v>
      </c>
      <c r="AJ269" s="839">
        <f t="shared" si="94"/>
        <v>0</v>
      </c>
      <c r="AK269" s="3906">
        <v>0</v>
      </c>
      <c r="AL269" s="869">
        <f t="shared" si="102"/>
        <v>6035</v>
      </c>
      <c r="AM269" s="3369" t="s">
        <v>1061</v>
      </c>
      <c r="AN269" s="3360">
        <v>43419</v>
      </c>
      <c r="AO269" s="3361">
        <v>1212945</v>
      </c>
      <c r="AP269" s="3362" t="s">
        <v>5807</v>
      </c>
      <c r="AQ269" s="3555">
        <v>1.0247219999999999</v>
      </c>
      <c r="AR269" s="846">
        <f t="shared" si="95"/>
        <v>2344</v>
      </c>
      <c r="AS269" s="847">
        <f t="shared" si="96"/>
        <v>2929</v>
      </c>
      <c r="AT269" s="847">
        <f>ROUNDUP($AQ269/$G269*AB269,0)</f>
        <v>838</v>
      </c>
      <c r="AU269" s="848"/>
      <c r="AV269" s="848"/>
      <c r="AW269" s="2872">
        <f t="shared" si="100"/>
        <v>6111</v>
      </c>
      <c r="AX269" s="2891"/>
      <c r="AY269" s="2667"/>
      <c r="AZ269" s="2615"/>
      <c r="BB269" s="267"/>
      <c r="BC269" s="4117">
        <f t="shared" si="88"/>
        <v>0</v>
      </c>
      <c r="BD269" s="4117">
        <f t="shared" si="101"/>
        <v>0</v>
      </c>
    </row>
    <row r="270" spans="1:57" ht="127.5">
      <c r="A270" s="2418" t="s">
        <v>11135</v>
      </c>
      <c r="B270" s="338" t="s">
        <v>5922</v>
      </c>
      <c r="C270" s="321">
        <v>0</v>
      </c>
      <c r="D270" s="323">
        <v>41992</v>
      </c>
      <c r="E270" s="829" t="s">
        <v>6383</v>
      </c>
      <c r="F270" s="830" t="s">
        <v>4932</v>
      </c>
      <c r="G270" s="2621">
        <v>1</v>
      </c>
      <c r="H270" s="332" t="s">
        <v>2970</v>
      </c>
      <c r="I270" s="339" t="s">
        <v>1436</v>
      </c>
      <c r="J270" s="322" t="s">
        <v>2712</v>
      </c>
      <c r="K270" s="340">
        <v>43453</v>
      </c>
      <c r="L270" s="339" t="s">
        <v>1797</v>
      </c>
      <c r="M270" s="322" t="s">
        <v>3580</v>
      </c>
      <c r="N270" s="339" t="s">
        <v>2745</v>
      </c>
      <c r="O270" s="332" t="s">
        <v>2746</v>
      </c>
      <c r="P270" s="345" t="s">
        <v>2973</v>
      </c>
      <c r="Q270" s="322" t="s">
        <v>2747</v>
      </c>
      <c r="R270" s="3563" t="s">
        <v>2748</v>
      </c>
      <c r="S270" s="346" t="s">
        <v>7230</v>
      </c>
      <c r="T270" s="347">
        <v>117600</v>
      </c>
      <c r="U270" s="326">
        <v>16038</v>
      </c>
      <c r="V270" s="348">
        <f t="shared" si="97"/>
        <v>101562</v>
      </c>
      <c r="W270" s="347">
        <v>147000</v>
      </c>
      <c r="X270" s="326">
        <f>W270</f>
        <v>147000</v>
      </c>
      <c r="Y270" s="348">
        <f t="shared" si="86"/>
        <v>0</v>
      </c>
      <c r="Z270" s="347">
        <v>29400</v>
      </c>
      <c r="AA270" s="326">
        <v>0</v>
      </c>
      <c r="AB270" s="348">
        <f t="shared" si="98"/>
        <v>29400</v>
      </c>
      <c r="AC270" s="820"/>
      <c r="AD270" s="821"/>
      <c r="AE270" s="822"/>
      <c r="AF270" s="820"/>
      <c r="AG270" s="821"/>
      <c r="AH270" s="822"/>
      <c r="AI270" s="482">
        <f t="shared" si="93"/>
        <v>294000</v>
      </c>
      <c r="AJ270" s="326">
        <v>0</v>
      </c>
      <c r="AK270" s="326">
        <f>U270+X270+AA270+AD270+AG270</f>
        <v>163038</v>
      </c>
      <c r="AL270" s="349">
        <f t="shared" si="102"/>
        <v>130962</v>
      </c>
      <c r="AM270" s="2002" t="s">
        <v>1061</v>
      </c>
      <c r="AN270" s="3357">
        <v>43432</v>
      </c>
      <c r="AO270" s="695">
        <v>1213265</v>
      </c>
      <c r="AP270" s="3362" t="s">
        <v>5807</v>
      </c>
      <c r="AQ270" s="3555">
        <v>1.0247219999999999</v>
      </c>
      <c r="AR270" s="333">
        <f t="shared" si="95"/>
        <v>104073</v>
      </c>
      <c r="AS270" s="330">
        <f t="shared" si="96"/>
        <v>0</v>
      </c>
      <c r="AT270" s="330">
        <f t="shared" ref="AT270:AT296" si="103">ROUND($AQ270/$G270*AB270,0)</f>
        <v>30127</v>
      </c>
      <c r="AU270" s="849"/>
      <c r="AV270" s="849"/>
      <c r="AW270" s="2804">
        <f t="shared" si="100"/>
        <v>134200</v>
      </c>
      <c r="AX270" s="3140"/>
      <c r="BB270" s="267"/>
      <c r="BC270" s="4117">
        <f t="shared" si="88"/>
        <v>0</v>
      </c>
      <c r="BD270" s="4117">
        <f t="shared" si="101"/>
        <v>167069</v>
      </c>
    </row>
    <row r="271" spans="1:57" ht="102">
      <c r="A271" s="5964" t="s">
        <v>11141</v>
      </c>
      <c r="B271" s="338" t="s">
        <v>4988</v>
      </c>
      <c r="C271" s="695">
        <v>1</v>
      </c>
      <c r="D271" s="323" t="s">
        <v>4992</v>
      </c>
      <c r="E271" s="3051" t="s">
        <v>6385</v>
      </c>
      <c r="F271" s="324" t="s">
        <v>5915</v>
      </c>
      <c r="G271" s="2621">
        <v>1.0119899999999999</v>
      </c>
      <c r="H271" s="332" t="s">
        <v>4991</v>
      </c>
      <c r="I271" s="339" t="s">
        <v>1433</v>
      </c>
      <c r="J271" s="322" t="s">
        <v>1434</v>
      </c>
      <c r="K271" s="340" t="s">
        <v>4905</v>
      </c>
      <c r="L271" s="339" t="s">
        <v>1192</v>
      </c>
      <c r="M271" s="322" t="s">
        <v>1853</v>
      </c>
      <c r="N271" s="339" t="s">
        <v>4906</v>
      </c>
      <c r="O271" s="332" t="s">
        <v>5428</v>
      </c>
      <c r="P271" s="345" t="s">
        <v>4989</v>
      </c>
      <c r="Q271" s="322" t="s">
        <v>4907</v>
      </c>
      <c r="R271" s="322" t="s">
        <v>4908</v>
      </c>
      <c r="S271" s="346"/>
      <c r="T271" s="347">
        <v>16125</v>
      </c>
      <c r="U271" s="326">
        <v>0</v>
      </c>
      <c r="V271" s="348">
        <f t="shared" si="97"/>
        <v>16125</v>
      </c>
      <c r="W271" s="347">
        <v>16320</v>
      </c>
      <c r="X271" s="326">
        <v>0</v>
      </c>
      <c r="Y271" s="348">
        <f t="shared" si="86"/>
        <v>16320</v>
      </c>
      <c r="Z271" s="347">
        <v>32064</v>
      </c>
      <c r="AA271" s="326">
        <v>0</v>
      </c>
      <c r="AB271" s="348">
        <f t="shared" si="98"/>
        <v>32064</v>
      </c>
      <c r="AC271" s="820"/>
      <c r="AD271" s="821"/>
      <c r="AE271" s="822"/>
      <c r="AF271" s="820"/>
      <c r="AG271" s="821"/>
      <c r="AH271" s="822"/>
      <c r="AI271" s="482">
        <f t="shared" si="93"/>
        <v>64509</v>
      </c>
      <c r="AJ271" s="326">
        <f t="shared" ref="AJ271:AJ296" si="104">U271+X271+AA271+AD271+AG271</f>
        <v>0</v>
      </c>
      <c r="AK271" s="3917">
        <v>0</v>
      </c>
      <c r="AL271" s="349">
        <f t="shared" si="102"/>
        <v>64509</v>
      </c>
      <c r="AM271" s="2002" t="s">
        <v>1061</v>
      </c>
      <c r="AN271" s="3357">
        <v>43433</v>
      </c>
      <c r="AO271" s="695">
        <v>1213318</v>
      </c>
      <c r="AP271" s="2722" t="s">
        <v>5807</v>
      </c>
      <c r="AQ271" s="2723">
        <v>1.0247219999999999</v>
      </c>
      <c r="AR271" s="333">
        <f t="shared" si="95"/>
        <v>16328</v>
      </c>
      <c r="AS271" s="330">
        <f t="shared" si="96"/>
        <v>16525</v>
      </c>
      <c r="AT271" s="330">
        <f t="shared" si="103"/>
        <v>32467</v>
      </c>
      <c r="AU271" s="849"/>
      <c r="AV271" s="849"/>
      <c r="AW271" s="1207">
        <f t="shared" si="100"/>
        <v>65320</v>
      </c>
      <c r="AX271" s="3140"/>
      <c r="BB271" s="267"/>
      <c r="BC271" s="4117">
        <f t="shared" si="88"/>
        <v>0</v>
      </c>
      <c r="BD271" s="4117">
        <f t="shared" si="101"/>
        <v>0</v>
      </c>
    </row>
    <row r="272" spans="1:57" ht="102.75" thickBot="1">
      <c r="A272" s="6024" t="s">
        <v>11135</v>
      </c>
      <c r="B272" s="2728" t="s">
        <v>4519</v>
      </c>
      <c r="C272" s="2729">
        <v>0</v>
      </c>
      <c r="D272" s="2730">
        <v>43026</v>
      </c>
      <c r="E272" s="3052" t="s">
        <v>6385</v>
      </c>
      <c r="F272" s="2731" t="s">
        <v>4933</v>
      </c>
      <c r="G272" s="3113">
        <v>1.0119899999999999</v>
      </c>
      <c r="H272" s="2732" t="s">
        <v>5014</v>
      </c>
      <c r="I272" s="2733" t="s">
        <v>1433</v>
      </c>
      <c r="J272" s="2734" t="s">
        <v>1434</v>
      </c>
      <c r="K272" s="2735">
        <v>44487</v>
      </c>
      <c r="L272" s="2733" t="s">
        <v>4573</v>
      </c>
      <c r="M272" s="2734" t="s">
        <v>4394</v>
      </c>
      <c r="N272" s="2733" t="s">
        <v>5015</v>
      </c>
      <c r="O272" s="2732" t="s">
        <v>5016</v>
      </c>
      <c r="P272" s="2736"/>
      <c r="Q272" s="2734" t="s">
        <v>5017</v>
      </c>
      <c r="R272" s="2734" t="s">
        <v>5001</v>
      </c>
      <c r="S272" s="2737" t="s">
        <v>5002</v>
      </c>
      <c r="T272" s="2738">
        <v>48352</v>
      </c>
      <c r="U272" s="2739">
        <v>0</v>
      </c>
      <c r="V272" s="2740">
        <f t="shared" si="97"/>
        <v>48352</v>
      </c>
      <c r="W272" s="2738">
        <v>19324</v>
      </c>
      <c r="X272" s="2739">
        <v>0</v>
      </c>
      <c r="Y272" s="2740">
        <f t="shared" si="86"/>
        <v>19324</v>
      </c>
      <c r="Z272" s="2738">
        <v>28260</v>
      </c>
      <c r="AA272" s="2739">
        <v>0</v>
      </c>
      <c r="AB272" s="2740">
        <f t="shared" si="98"/>
        <v>28260</v>
      </c>
      <c r="AC272" s="2668"/>
      <c r="AD272" s="2741"/>
      <c r="AE272" s="2742"/>
      <c r="AF272" s="2668"/>
      <c r="AG272" s="2741"/>
      <c r="AH272" s="2742"/>
      <c r="AI272" s="2743">
        <f t="shared" si="93"/>
        <v>95936</v>
      </c>
      <c r="AJ272" s="2739">
        <f t="shared" si="104"/>
        <v>0</v>
      </c>
      <c r="AK272" s="3918">
        <v>0</v>
      </c>
      <c r="AL272" s="2744">
        <f t="shared" si="102"/>
        <v>95936</v>
      </c>
      <c r="AM272" s="3556" t="s">
        <v>1061</v>
      </c>
      <c r="AN272" s="3557">
        <v>43434</v>
      </c>
      <c r="AO272" s="3558">
        <v>1213349</v>
      </c>
      <c r="AP272" s="2908" t="s">
        <v>5807</v>
      </c>
      <c r="AQ272" s="2909">
        <v>1.0247219999999999</v>
      </c>
      <c r="AR272" s="2745">
        <f t="shared" si="95"/>
        <v>48960</v>
      </c>
      <c r="AS272" s="2746">
        <f t="shared" si="96"/>
        <v>19567</v>
      </c>
      <c r="AT272" s="2746">
        <f t="shared" si="103"/>
        <v>28616</v>
      </c>
      <c r="AU272" s="2747"/>
      <c r="AV272" s="2747"/>
      <c r="AW272" s="2910">
        <f t="shared" si="100"/>
        <v>97143</v>
      </c>
      <c r="AX272" s="2890"/>
      <c r="AY272" s="764" t="s">
        <v>6008</v>
      </c>
      <c r="AZ272" s="1662">
        <f>SUM(AW269:AW272)</f>
        <v>302774</v>
      </c>
      <c r="BA272" s="1727">
        <f>AZ272</f>
        <v>302774</v>
      </c>
      <c r="BB272" s="267"/>
      <c r="BC272" s="4117">
        <f t="shared" si="88"/>
        <v>0</v>
      </c>
      <c r="BD272" s="4117">
        <f t="shared" si="101"/>
        <v>0</v>
      </c>
    </row>
    <row r="273" spans="1:56" ht="76.5">
      <c r="A273" s="6006" t="s">
        <v>11141</v>
      </c>
      <c r="B273" s="2298" t="s">
        <v>6065</v>
      </c>
      <c r="C273" s="2299">
        <v>0</v>
      </c>
      <c r="D273" s="2300">
        <v>43244</v>
      </c>
      <c r="E273" s="2300" t="s">
        <v>6385</v>
      </c>
      <c r="F273" s="2497" t="s">
        <v>5915</v>
      </c>
      <c r="G273" s="3110">
        <v>1.0119899999999999</v>
      </c>
      <c r="H273" s="2306" t="s">
        <v>5548</v>
      </c>
      <c r="I273" s="2303" t="s">
        <v>5549</v>
      </c>
      <c r="J273" s="2304" t="s">
        <v>4306</v>
      </c>
      <c r="K273" s="2305">
        <v>43975</v>
      </c>
      <c r="L273" s="2303" t="s">
        <v>5550</v>
      </c>
      <c r="M273" s="2304" t="s">
        <v>5551</v>
      </c>
      <c r="N273" s="2303" t="s">
        <v>5136</v>
      </c>
      <c r="O273" s="2306" t="s">
        <v>5552</v>
      </c>
      <c r="P273" s="2321"/>
      <c r="Q273" s="6096" t="s">
        <v>5349</v>
      </c>
      <c r="R273" s="2304" t="s">
        <v>5350</v>
      </c>
      <c r="S273" s="2307"/>
      <c r="T273" s="2308">
        <v>2334</v>
      </c>
      <c r="U273" s="2309">
        <v>0</v>
      </c>
      <c r="V273" s="2310">
        <f t="shared" si="97"/>
        <v>2334</v>
      </c>
      <c r="W273" s="2308">
        <v>2917</v>
      </c>
      <c r="X273" s="2309">
        <v>0</v>
      </c>
      <c r="Y273" s="2310">
        <f t="shared" si="86"/>
        <v>2917</v>
      </c>
      <c r="Z273" s="2308">
        <v>833</v>
      </c>
      <c r="AA273" s="2309">
        <v>0</v>
      </c>
      <c r="AB273" s="2310">
        <f t="shared" si="98"/>
        <v>833</v>
      </c>
      <c r="AC273" s="823"/>
      <c r="AD273" s="824"/>
      <c r="AE273" s="825"/>
      <c r="AF273" s="823"/>
      <c r="AG273" s="824"/>
      <c r="AH273" s="825"/>
      <c r="AI273" s="2311">
        <f t="shared" si="93"/>
        <v>6084</v>
      </c>
      <c r="AJ273" s="2309">
        <f t="shared" si="104"/>
        <v>0</v>
      </c>
      <c r="AK273" s="3914">
        <v>0</v>
      </c>
      <c r="AL273" s="2312">
        <f t="shared" si="102"/>
        <v>6084</v>
      </c>
      <c r="AM273" s="3491" t="s">
        <v>1061</v>
      </c>
      <c r="AN273" s="3492" t="s">
        <v>6067</v>
      </c>
      <c r="AO273" s="2492" t="s">
        <v>6068</v>
      </c>
      <c r="AP273" s="2905" t="s">
        <v>5807</v>
      </c>
      <c r="AQ273" s="2906">
        <v>1.0247219999999999</v>
      </c>
      <c r="AR273" s="2313">
        <f t="shared" si="95"/>
        <v>2363</v>
      </c>
      <c r="AS273" s="2314">
        <f t="shared" si="96"/>
        <v>2954</v>
      </c>
      <c r="AT273" s="2314">
        <f t="shared" si="103"/>
        <v>843</v>
      </c>
      <c r="AU273" s="848"/>
      <c r="AV273" s="848"/>
      <c r="AW273" s="2907">
        <f t="shared" si="100"/>
        <v>6160</v>
      </c>
      <c r="AX273" s="2899"/>
      <c r="BB273" s="267"/>
      <c r="BC273" s="4117">
        <f t="shared" si="88"/>
        <v>0</v>
      </c>
      <c r="BD273" s="4117">
        <f t="shared" si="101"/>
        <v>0</v>
      </c>
    </row>
    <row r="274" spans="1:56" ht="76.5">
      <c r="A274" s="5978" t="s">
        <v>11140</v>
      </c>
      <c r="B274" s="1538" t="s">
        <v>5926</v>
      </c>
      <c r="C274" s="1509">
        <v>0</v>
      </c>
      <c r="D274" s="1510">
        <v>42969</v>
      </c>
      <c r="E274" s="3053" t="s">
        <v>6385</v>
      </c>
      <c r="F274" s="2139">
        <v>42979</v>
      </c>
      <c r="G274" s="2805">
        <v>111.5</v>
      </c>
      <c r="H274" s="1513" t="s">
        <v>4839</v>
      </c>
      <c r="I274" s="1514" t="s">
        <v>4840</v>
      </c>
      <c r="J274" s="1515" t="s">
        <v>4306</v>
      </c>
      <c r="K274" s="1516">
        <v>43699</v>
      </c>
      <c r="L274" s="1514" t="s">
        <v>4841</v>
      </c>
      <c r="M274" s="1515" t="s">
        <v>4842</v>
      </c>
      <c r="N274" s="1514" t="s">
        <v>4843</v>
      </c>
      <c r="O274" s="1513" t="s">
        <v>4844</v>
      </c>
      <c r="P274" s="1517"/>
      <c r="Q274" s="6094" t="s">
        <v>4332</v>
      </c>
      <c r="R274" s="1515" t="s">
        <v>1046</v>
      </c>
      <c r="S274" s="1518"/>
      <c r="T274" s="1519">
        <v>461</v>
      </c>
      <c r="U274" s="1504">
        <v>0</v>
      </c>
      <c r="V274" s="1520">
        <f t="shared" si="97"/>
        <v>461</v>
      </c>
      <c r="W274" s="1519">
        <v>576</v>
      </c>
      <c r="X274" s="1504">
        <v>0</v>
      </c>
      <c r="Y274" s="1520">
        <f t="shared" si="86"/>
        <v>576</v>
      </c>
      <c r="Z274" s="1519">
        <v>165</v>
      </c>
      <c r="AA274" s="1504">
        <v>0</v>
      </c>
      <c r="AB274" s="1520">
        <f t="shared" si="98"/>
        <v>165</v>
      </c>
      <c r="AC274" s="820"/>
      <c r="AD274" s="821"/>
      <c r="AE274" s="822"/>
      <c r="AF274" s="820"/>
      <c r="AG274" s="821"/>
      <c r="AH274" s="822"/>
      <c r="AI274" s="1503">
        <f t="shared" si="93"/>
        <v>1202</v>
      </c>
      <c r="AJ274" s="1504">
        <f t="shared" si="104"/>
        <v>0</v>
      </c>
      <c r="AK274" s="3919">
        <v>0</v>
      </c>
      <c r="AL274" s="1505">
        <f t="shared" si="102"/>
        <v>1202</v>
      </c>
      <c r="AM274" s="1508" t="s">
        <v>1061</v>
      </c>
      <c r="AN274" s="3401">
        <v>43439</v>
      </c>
      <c r="AO274" s="3402" t="s">
        <v>6069</v>
      </c>
      <c r="AP274" s="2664" t="s">
        <v>6033</v>
      </c>
      <c r="AQ274" s="2806">
        <v>113.4</v>
      </c>
      <c r="AR274" s="1506">
        <f t="shared" si="95"/>
        <v>469</v>
      </c>
      <c r="AS274" s="1507">
        <f t="shared" si="96"/>
        <v>586</v>
      </c>
      <c r="AT274" s="1507">
        <f t="shared" si="103"/>
        <v>168</v>
      </c>
      <c r="AU274" s="849"/>
      <c r="AV274" s="849"/>
      <c r="AW274" s="2911">
        <f t="shared" si="100"/>
        <v>1223</v>
      </c>
      <c r="AX274" s="2899"/>
      <c r="AY274" s="2006"/>
      <c r="AZ274" s="1726"/>
      <c r="BB274" s="267"/>
      <c r="BC274" s="4117">
        <f t="shared" si="88"/>
        <v>0</v>
      </c>
      <c r="BD274" s="4117">
        <f t="shared" si="101"/>
        <v>0</v>
      </c>
    </row>
    <row r="275" spans="1:56" ht="76.5">
      <c r="A275" s="5981" t="s">
        <v>11135</v>
      </c>
      <c r="B275" s="1538" t="s">
        <v>4549</v>
      </c>
      <c r="C275" s="1509">
        <v>0</v>
      </c>
      <c r="D275" s="1510">
        <v>43381</v>
      </c>
      <c r="E275" s="3053" t="s">
        <v>6385</v>
      </c>
      <c r="F275" s="1511" t="s">
        <v>5757</v>
      </c>
      <c r="G275" s="2663">
        <v>1.0247219999999999</v>
      </c>
      <c r="H275" s="1513" t="s">
        <v>5966</v>
      </c>
      <c r="I275" s="1514" t="s">
        <v>5967</v>
      </c>
      <c r="J275" s="1515" t="s">
        <v>4306</v>
      </c>
      <c r="K275" s="1516">
        <v>44112</v>
      </c>
      <c r="L275" s="1514" t="s">
        <v>5968</v>
      </c>
      <c r="M275" s="1515" t="s">
        <v>5969</v>
      </c>
      <c r="N275" s="1514" t="s">
        <v>5970</v>
      </c>
      <c r="O275" s="1513" t="s">
        <v>5971</v>
      </c>
      <c r="P275" s="1517"/>
      <c r="Q275" s="6094" t="s">
        <v>5708</v>
      </c>
      <c r="R275" s="1515" t="s">
        <v>5350</v>
      </c>
      <c r="S275" s="1518"/>
      <c r="T275" s="1519">
        <v>2444</v>
      </c>
      <c r="U275" s="1504">
        <v>0</v>
      </c>
      <c r="V275" s="1520">
        <f t="shared" si="97"/>
        <v>2444</v>
      </c>
      <c r="W275" s="1519">
        <v>3056</v>
      </c>
      <c r="X275" s="1504">
        <v>0</v>
      </c>
      <c r="Y275" s="1520">
        <f t="shared" ref="Y275:Y296" si="105">W275-X275</f>
        <v>3056</v>
      </c>
      <c r="Z275" s="1519">
        <v>611</v>
      </c>
      <c r="AA275" s="1504">
        <v>0</v>
      </c>
      <c r="AB275" s="1520">
        <f t="shared" si="98"/>
        <v>611</v>
      </c>
      <c r="AC275" s="820"/>
      <c r="AD275" s="821"/>
      <c r="AE275" s="822"/>
      <c r="AF275" s="820"/>
      <c r="AG275" s="821"/>
      <c r="AH275" s="822"/>
      <c r="AI275" s="1503">
        <f t="shared" si="93"/>
        <v>6111</v>
      </c>
      <c r="AJ275" s="1504">
        <f t="shared" si="104"/>
        <v>0</v>
      </c>
      <c r="AK275" s="3919">
        <v>0</v>
      </c>
      <c r="AL275" s="1505">
        <f t="shared" si="102"/>
        <v>6111</v>
      </c>
      <c r="AM275" s="1508" t="s">
        <v>1061</v>
      </c>
      <c r="AN275" s="3401">
        <v>43440</v>
      </c>
      <c r="AO275" s="3402" t="s">
        <v>6070</v>
      </c>
      <c r="AP275" s="2905" t="s">
        <v>5807</v>
      </c>
      <c r="AQ275" s="2906">
        <v>1.0247219999999999</v>
      </c>
      <c r="AR275" s="1506">
        <f t="shared" si="95"/>
        <v>2444</v>
      </c>
      <c r="AS275" s="1507">
        <f t="shared" si="96"/>
        <v>3056</v>
      </c>
      <c r="AT275" s="1507">
        <f t="shared" si="103"/>
        <v>611</v>
      </c>
      <c r="AU275" s="849"/>
      <c r="AV275" s="849"/>
      <c r="AW275" s="2911">
        <f t="shared" si="100"/>
        <v>6111</v>
      </c>
      <c r="AX275" s="2899"/>
      <c r="BB275" s="267"/>
      <c r="BC275" s="4117">
        <f t="shared" si="88"/>
        <v>0</v>
      </c>
      <c r="BD275" s="4117">
        <f t="shared" si="101"/>
        <v>0</v>
      </c>
    </row>
    <row r="276" spans="1:56" ht="76.5">
      <c r="A276" s="5978" t="s">
        <v>11141</v>
      </c>
      <c r="B276" s="1538" t="s">
        <v>4527</v>
      </c>
      <c r="C276" s="1509">
        <v>0</v>
      </c>
      <c r="D276" s="1510">
        <v>43108</v>
      </c>
      <c r="E276" s="3053" t="s">
        <v>6385</v>
      </c>
      <c r="F276" s="1511" t="s">
        <v>5915</v>
      </c>
      <c r="G276" s="2663">
        <v>1.0119899999999999</v>
      </c>
      <c r="H276" s="1513" t="s">
        <v>5215</v>
      </c>
      <c r="I276" s="1514" t="s">
        <v>1433</v>
      </c>
      <c r="J276" s="1515" t="s">
        <v>1434</v>
      </c>
      <c r="K276" s="1516">
        <v>44569</v>
      </c>
      <c r="L276" s="1514" t="s">
        <v>5216</v>
      </c>
      <c r="M276" s="1515" t="s">
        <v>4960</v>
      </c>
      <c r="N276" s="1514" t="s">
        <v>5218</v>
      </c>
      <c r="O276" s="1513" t="s">
        <v>5217</v>
      </c>
      <c r="P276" s="1517"/>
      <c r="Q276" s="1515" t="s">
        <v>5219</v>
      </c>
      <c r="R276" s="1515" t="s">
        <v>5238</v>
      </c>
      <c r="S276" s="1518"/>
      <c r="T276" s="1519">
        <v>12974</v>
      </c>
      <c r="U276" s="1504">
        <v>0</v>
      </c>
      <c r="V276" s="1520">
        <f t="shared" si="97"/>
        <v>12974</v>
      </c>
      <c r="W276" s="1519">
        <v>16216</v>
      </c>
      <c r="X276" s="1504">
        <v>0</v>
      </c>
      <c r="Y276" s="1520">
        <f t="shared" si="105"/>
        <v>16216</v>
      </c>
      <c r="Z276" s="1519">
        <v>3243</v>
      </c>
      <c r="AA276" s="1504">
        <v>0</v>
      </c>
      <c r="AB276" s="1520">
        <f t="shared" si="98"/>
        <v>3243</v>
      </c>
      <c r="AC276" s="820"/>
      <c r="AD276" s="821"/>
      <c r="AE276" s="822"/>
      <c r="AF276" s="820"/>
      <c r="AG276" s="821"/>
      <c r="AH276" s="822"/>
      <c r="AI276" s="1503">
        <f t="shared" si="93"/>
        <v>32433</v>
      </c>
      <c r="AJ276" s="1504">
        <f t="shared" si="104"/>
        <v>0</v>
      </c>
      <c r="AK276" s="3919">
        <v>0</v>
      </c>
      <c r="AL276" s="1505">
        <f t="shared" si="102"/>
        <v>32433</v>
      </c>
      <c r="AM276" s="1508" t="s">
        <v>1061</v>
      </c>
      <c r="AN276" s="3401">
        <v>43446</v>
      </c>
      <c r="AO276" s="3402" t="s">
        <v>6075</v>
      </c>
      <c r="AP276" s="2905" t="s">
        <v>5807</v>
      </c>
      <c r="AQ276" s="2906">
        <v>1.0247219999999999</v>
      </c>
      <c r="AR276" s="1506">
        <f t="shared" si="95"/>
        <v>13137</v>
      </c>
      <c r="AS276" s="1507">
        <f t="shared" si="96"/>
        <v>16420</v>
      </c>
      <c r="AT276" s="1507">
        <f t="shared" si="103"/>
        <v>3284</v>
      </c>
      <c r="AU276" s="849"/>
      <c r="AV276" s="849"/>
      <c r="AW276" s="2911">
        <f t="shared" si="100"/>
        <v>32841</v>
      </c>
      <c r="AX276" s="2899"/>
      <c r="BB276" s="267"/>
      <c r="BC276" s="4117">
        <f t="shared" si="88"/>
        <v>0</v>
      </c>
      <c r="BD276" s="4117">
        <f t="shared" si="101"/>
        <v>0</v>
      </c>
    </row>
    <row r="277" spans="1:56" ht="51">
      <c r="A277" s="5981" t="s">
        <v>11135</v>
      </c>
      <c r="B277" s="1538" t="s">
        <v>6073</v>
      </c>
      <c r="C277" s="1509">
        <v>0</v>
      </c>
      <c r="D277" s="1510">
        <v>43271</v>
      </c>
      <c r="E277" s="3053" t="s">
        <v>6385</v>
      </c>
      <c r="F277" s="1511" t="s">
        <v>5915</v>
      </c>
      <c r="G277" s="2663">
        <v>1.0119899999999999</v>
      </c>
      <c r="H277" s="1513" t="s">
        <v>5684</v>
      </c>
      <c r="I277" s="1514" t="s">
        <v>1433</v>
      </c>
      <c r="J277" s="1515" t="s">
        <v>1434</v>
      </c>
      <c r="K277" s="1516" t="s">
        <v>4905</v>
      </c>
      <c r="L277" s="1514" t="s">
        <v>3991</v>
      </c>
      <c r="M277" s="1515" t="s">
        <v>5685</v>
      </c>
      <c r="N277" s="1514" t="s">
        <v>5686</v>
      </c>
      <c r="O277" s="1513" t="s">
        <v>5687</v>
      </c>
      <c r="P277" s="1517" t="s">
        <v>5690</v>
      </c>
      <c r="Q277" s="1515" t="s">
        <v>5688</v>
      </c>
      <c r="R277" s="1515" t="s">
        <v>2327</v>
      </c>
      <c r="S277" s="1518" t="s">
        <v>5689</v>
      </c>
      <c r="T277" s="1519">
        <v>1312</v>
      </c>
      <c r="U277" s="1504">
        <v>0</v>
      </c>
      <c r="V277" s="1520">
        <f t="shared" si="97"/>
        <v>1312</v>
      </c>
      <c r="W277" s="1519">
        <v>0</v>
      </c>
      <c r="X277" s="1504">
        <v>0</v>
      </c>
      <c r="Y277" s="1520">
        <f t="shared" si="105"/>
        <v>0</v>
      </c>
      <c r="Z277" s="1519">
        <v>4141</v>
      </c>
      <c r="AA277" s="1504">
        <v>0</v>
      </c>
      <c r="AB277" s="1520">
        <f t="shared" si="98"/>
        <v>4141</v>
      </c>
      <c r="AC277" s="820"/>
      <c r="AD277" s="821"/>
      <c r="AE277" s="822"/>
      <c r="AF277" s="820"/>
      <c r="AG277" s="821"/>
      <c r="AH277" s="822"/>
      <c r="AI277" s="1503">
        <f t="shared" si="93"/>
        <v>5453</v>
      </c>
      <c r="AJ277" s="1504">
        <f t="shared" si="104"/>
        <v>0</v>
      </c>
      <c r="AK277" s="3919">
        <v>0</v>
      </c>
      <c r="AL277" s="1505">
        <f t="shared" si="102"/>
        <v>5453</v>
      </c>
      <c r="AM277" s="1508" t="s">
        <v>1061</v>
      </c>
      <c r="AN277" s="3401">
        <v>43448</v>
      </c>
      <c r="AO277" s="3402" t="s">
        <v>6089</v>
      </c>
      <c r="AP277" s="2905" t="s">
        <v>5807</v>
      </c>
      <c r="AQ277" s="2906">
        <v>1.0247219999999999</v>
      </c>
      <c r="AR277" s="1506">
        <f t="shared" si="95"/>
        <v>1329</v>
      </c>
      <c r="AS277" s="1507">
        <f t="shared" si="96"/>
        <v>0</v>
      </c>
      <c r="AT277" s="1507">
        <f t="shared" si="103"/>
        <v>4193</v>
      </c>
      <c r="AU277" s="849"/>
      <c r="AV277" s="849"/>
      <c r="AW277" s="2911">
        <f t="shared" si="100"/>
        <v>5522</v>
      </c>
      <c r="AX277" s="2899"/>
      <c r="BB277" s="267"/>
      <c r="BC277" s="4117">
        <f t="shared" si="88"/>
        <v>0</v>
      </c>
      <c r="BD277" s="4117">
        <f t="shared" si="101"/>
        <v>0</v>
      </c>
    </row>
    <row r="278" spans="1:56" ht="114.75">
      <c r="A278" s="5981" t="s">
        <v>11135</v>
      </c>
      <c r="B278" s="1538" t="s">
        <v>4524</v>
      </c>
      <c r="C278" s="1509">
        <v>0</v>
      </c>
      <c r="D278" s="1510">
        <v>43054</v>
      </c>
      <c r="E278" s="3053" t="s">
        <v>6385</v>
      </c>
      <c r="F278" s="1511" t="s">
        <v>5915</v>
      </c>
      <c r="G278" s="2663">
        <v>1.0119899999999999</v>
      </c>
      <c r="H278" s="1513" t="s">
        <v>5077</v>
      </c>
      <c r="I278" s="1514" t="s">
        <v>1433</v>
      </c>
      <c r="J278" s="1515" t="s">
        <v>1434</v>
      </c>
      <c r="K278" s="1516">
        <v>45245</v>
      </c>
      <c r="L278" s="1514" t="s">
        <v>3991</v>
      </c>
      <c r="M278" s="1515" t="s">
        <v>4012</v>
      </c>
      <c r="N278" s="1514" t="s">
        <v>5079</v>
      </c>
      <c r="O278" s="1513" t="s">
        <v>5078</v>
      </c>
      <c r="P278" s="1517"/>
      <c r="Q278" s="1515" t="s">
        <v>5080</v>
      </c>
      <c r="R278" s="1515" t="s">
        <v>5082</v>
      </c>
      <c r="S278" s="1518" t="s">
        <v>5081</v>
      </c>
      <c r="T278" s="1519">
        <v>6101</v>
      </c>
      <c r="U278" s="1504">
        <v>0</v>
      </c>
      <c r="V278" s="1520">
        <f t="shared" si="97"/>
        <v>6101</v>
      </c>
      <c r="W278" s="1519">
        <v>8507</v>
      </c>
      <c r="X278" s="1504">
        <v>0</v>
      </c>
      <c r="Y278" s="1520">
        <f t="shared" si="105"/>
        <v>8507</v>
      </c>
      <c r="Z278" s="1519">
        <v>10496</v>
      </c>
      <c r="AA278" s="1504">
        <v>0</v>
      </c>
      <c r="AB278" s="1520">
        <f t="shared" si="98"/>
        <v>10496</v>
      </c>
      <c r="AC278" s="820"/>
      <c r="AD278" s="821"/>
      <c r="AE278" s="822"/>
      <c r="AF278" s="820"/>
      <c r="AG278" s="821"/>
      <c r="AH278" s="822"/>
      <c r="AI278" s="1503">
        <f t="shared" si="93"/>
        <v>25104</v>
      </c>
      <c r="AJ278" s="1504">
        <f t="shared" si="104"/>
        <v>0</v>
      </c>
      <c r="AK278" s="3919">
        <v>0</v>
      </c>
      <c r="AL278" s="1505">
        <f t="shared" si="102"/>
        <v>25104</v>
      </c>
      <c r="AM278" s="1508" t="s">
        <v>1061</v>
      </c>
      <c r="AN278" s="3401">
        <v>43448</v>
      </c>
      <c r="AO278" s="3402" t="s">
        <v>6090</v>
      </c>
      <c r="AP278" s="2905" t="s">
        <v>5807</v>
      </c>
      <c r="AQ278" s="2906">
        <v>1.0247219999999999</v>
      </c>
      <c r="AR278" s="1506">
        <f t="shared" si="95"/>
        <v>6178</v>
      </c>
      <c r="AS278" s="1507">
        <f t="shared" si="96"/>
        <v>8614</v>
      </c>
      <c r="AT278" s="1507">
        <f t="shared" si="103"/>
        <v>10628</v>
      </c>
      <c r="AU278" s="849"/>
      <c r="AV278" s="849"/>
      <c r="AW278" s="2911">
        <f t="shared" si="100"/>
        <v>25420</v>
      </c>
      <c r="AX278" s="3146"/>
      <c r="AY278" s="2006"/>
      <c r="AZ278" s="1726"/>
      <c r="BB278" s="267"/>
      <c r="BC278" s="4117">
        <f t="shared" si="88"/>
        <v>0</v>
      </c>
      <c r="BD278" s="4117">
        <f t="shared" si="101"/>
        <v>0</v>
      </c>
    </row>
    <row r="279" spans="1:56" ht="51">
      <c r="A279" s="5978" t="s">
        <v>11140</v>
      </c>
      <c r="B279" s="1538" t="s">
        <v>5925</v>
      </c>
      <c r="C279" s="1509">
        <v>0</v>
      </c>
      <c r="D279" s="1510">
        <v>43256</v>
      </c>
      <c r="E279" s="3053" t="s">
        <v>6385</v>
      </c>
      <c r="F279" s="2139">
        <v>43252</v>
      </c>
      <c r="G279" s="2805">
        <v>112.9</v>
      </c>
      <c r="H279" s="1513" t="s">
        <v>5634</v>
      </c>
      <c r="I279" s="1514" t="s">
        <v>1433</v>
      </c>
      <c r="J279" s="1515" t="s">
        <v>1434</v>
      </c>
      <c r="K279" s="1516">
        <v>45442</v>
      </c>
      <c r="L279" s="1514" t="s">
        <v>5635</v>
      </c>
      <c r="M279" s="1515" t="s">
        <v>5636</v>
      </c>
      <c r="N279" s="1514" t="s">
        <v>5637</v>
      </c>
      <c r="O279" s="1513" t="s">
        <v>5638</v>
      </c>
      <c r="P279" s="2335" t="s">
        <v>5827</v>
      </c>
      <c r="Q279" s="1515" t="s">
        <v>5639</v>
      </c>
      <c r="R279" s="1515" t="s">
        <v>5640</v>
      </c>
      <c r="S279" s="1518"/>
      <c r="T279" s="1519">
        <v>4065</v>
      </c>
      <c r="U279" s="1504">
        <v>0</v>
      </c>
      <c r="V279" s="1520">
        <f t="shared" si="97"/>
        <v>4065</v>
      </c>
      <c r="W279" s="1519">
        <v>717</v>
      </c>
      <c r="X279" s="1504">
        <v>0</v>
      </c>
      <c r="Y279" s="1520">
        <f t="shared" si="105"/>
        <v>717</v>
      </c>
      <c r="Z279" s="1519">
        <v>313</v>
      </c>
      <c r="AA279" s="1504">
        <v>0</v>
      </c>
      <c r="AB279" s="1520">
        <f t="shared" si="98"/>
        <v>313</v>
      </c>
      <c r="AC279" s="820"/>
      <c r="AD279" s="821"/>
      <c r="AE279" s="822"/>
      <c r="AF279" s="820"/>
      <c r="AG279" s="821"/>
      <c r="AH279" s="822"/>
      <c r="AI279" s="1503">
        <f t="shared" ref="AI279:AI296" si="106">T279+W279+Z279+AC279+AF279</f>
        <v>5095</v>
      </c>
      <c r="AJ279" s="1504">
        <f t="shared" si="104"/>
        <v>0</v>
      </c>
      <c r="AK279" s="3919">
        <v>0</v>
      </c>
      <c r="AL279" s="1505">
        <f t="shared" si="102"/>
        <v>5095</v>
      </c>
      <c r="AM279" s="1508" t="s">
        <v>1061</v>
      </c>
      <c r="AN279" s="3401">
        <v>43451</v>
      </c>
      <c r="AO279" s="3402" t="s">
        <v>6096</v>
      </c>
      <c r="AP279" s="2664" t="s">
        <v>6032</v>
      </c>
      <c r="AQ279" s="2806">
        <v>113.4</v>
      </c>
      <c r="AR279" s="1506">
        <f t="shared" si="95"/>
        <v>4083</v>
      </c>
      <c r="AS279" s="1507">
        <f t="shared" si="96"/>
        <v>720</v>
      </c>
      <c r="AT279" s="1507">
        <f t="shared" si="103"/>
        <v>314</v>
      </c>
      <c r="AU279" s="849"/>
      <c r="AV279" s="849"/>
      <c r="AW279" s="2911">
        <f t="shared" si="100"/>
        <v>5117</v>
      </c>
      <c r="AX279" s="3146"/>
      <c r="AY279" s="2006"/>
      <c r="AZ279" s="1726"/>
      <c r="BB279" s="267"/>
      <c r="BC279" s="4117">
        <f t="shared" ref="BC279:BC342" si="107">ROUND($AJ279*$AQ279/$G279,0)</f>
        <v>0</v>
      </c>
      <c r="BD279" s="4117">
        <f t="shared" si="101"/>
        <v>0</v>
      </c>
    </row>
    <row r="280" spans="1:56" ht="76.5">
      <c r="A280" s="6025" t="s">
        <v>11140</v>
      </c>
      <c r="B280" s="2932" t="s">
        <v>5928</v>
      </c>
      <c r="C280" s="2933">
        <v>0</v>
      </c>
      <c r="D280" s="2934">
        <v>42922</v>
      </c>
      <c r="E280" s="3053" t="s">
        <v>6385</v>
      </c>
      <c r="F280" s="2935" t="s">
        <v>5026</v>
      </c>
      <c r="G280" s="2936">
        <v>111</v>
      </c>
      <c r="H280" s="2937" t="s">
        <v>4722</v>
      </c>
      <c r="I280" s="2938" t="s">
        <v>4723</v>
      </c>
      <c r="J280" s="2939" t="s">
        <v>4306</v>
      </c>
      <c r="K280" s="2940">
        <v>43652</v>
      </c>
      <c r="L280" s="2938" t="s">
        <v>4724</v>
      </c>
      <c r="M280" s="2939" t="s">
        <v>4725</v>
      </c>
      <c r="N280" s="2938" t="s">
        <v>4726</v>
      </c>
      <c r="O280" s="2937" t="s">
        <v>4727</v>
      </c>
      <c r="P280" s="2941"/>
      <c r="Q280" s="6100" t="s">
        <v>4332</v>
      </c>
      <c r="R280" s="2939" t="s">
        <v>1046</v>
      </c>
      <c r="S280" s="2942" t="s">
        <v>5030</v>
      </c>
      <c r="T280" s="2943">
        <v>385</v>
      </c>
      <c r="U280" s="2944">
        <v>0</v>
      </c>
      <c r="V280" s="2945">
        <f t="shared" si="97"/>
        <v>385</v>
      </c>
      <c r="W280" s="2943">
        <v>480</v>
      </c>
      <c r="X280" s="2944">
        <v>0</v>
      </c>
      <c r="Y280" s="2945">
        <f t="shared" si="105"/>
        <v>480</v>
      </c>
      <c r="Z280" s="2943">
        <v>137</v>
      </c>
      <c r="AA280" s="2944">
        <v>0</v>
      </c>
      <c r="AB280" s="2945">
        <f t="shared" si="98"/>
        <v>137</v>
      </c>
      <c r="AC280" s="2946"/>
      <c r="AD280" s="2947"/>
      <c r="AE280" s="2948"/>
      <c r="AF280" s="2946"/>
      <c r="AG280" s="2947"/>
      <c r="AH280" s="2948"/>
      <c r="AI280" s="2949">
        <f t="shared" si="106"/>
        <v>1002</v>
      </c>
      <c r="AJ280" s="2944">
        <f t="shared" si="104"/>
        <v>0</v>
      </c>
      <c r="AK280" s="3919">
        <v>0</v>
      </c>
      <c r="AL280" s="2950">
        <f t="shared" si="102"/>
        <v>1002</v>
      </c>
      <c r="AM280" s="3564" t="s">
        <v>1061</v>
      </c>
      <c r="AN280" s="3565">
        <v>43454</v>
      </c>
      <c r="AO280" s="3566" t="s">
        <v>6097</v>
      </c>
      <c r="AP280" s="3567" t="s">
        <v>6033</v>
      </c>
      <c r="AQ280" s="3568">
        <v>113.4</v>
      </c>
      <c r="AR280" s="2951">
        <f t="shared" si="95"/>
        <v>393</v>
      </c>
      <c r="AS280" s="2952">
        <f t="shared" si="96"/>
        <v>490</v>
      </c>
      <c r="AT280" s="2952">
        <f t="shared" si="103"/>
        <v>140</v>
      </c>
      <c r="AU280" s="2953"/>
      <c r="AV280" s="2953"/>
      <c r="AW280" s="2954">
        <f t="shared" si="100"/>
        <v>1023</v>
      </c>
      <c r="AX280" s="3146"/>
      <c r="AY280" s="2006"/>
      <c r="AZ280" s="1726"/>
      <c r="BB280" s="267"/>
      <c r="BC280" s="4117">
        <f t="shared" si="107"/>
        <v>0</v>
      </c>
      <c r="BD280" s="4117">
        <f t="shared" si="101"/>
        <v>0</v>
      </c>
    </row>
    <row r="281" spans="1:56" ht="51">
      <c r="A281" s="6026" t="s">
        <v>11140</v>
      </c>
      <c r="B281" s="2955" t="s">
        <v>5929</v>
      </c>
      <c r="C281" s="2956" t="s">
        <v>1432</v>
      </c>
      <c r="D281" s="2957">
        <v>41464</v>
      </c>
      <c r="E281" s="3053" t="s">
        <v>6388</v>
      </c>
      <c r="F281" s="2958">
        <v>42887</v>
      </c>
      <c r="G281" s="2959">
        <v>111</v>
      </c>
      <c r="H281" s="2960" t="s">
        <v>1551</v>
      </c>
      <c r="I281" s="2961" t="s">
        <v>1433</v>
      </c>
      <c r="J281" s="2962" t="s">
        <v>1434</v>
      </c>
      <c r="K281" s="2963" t="s">
        <v>5288</v>
      </c>
      <c r="L281" s="2961" t="s">
        <v>1816</v>
      </c>
      <c r="M281" s="2962" t="s">
        <v>1799</v>
      </c>
      <c r="N281" s="2961" t="s">
        <v>1552</v>
      </c>
      <c r="O281" s="2960" t="s">
        <v>1688</v>
      </c>
      <c r="P281" s="2964" t="s">
        <v>4856</v>
      </c>
      <c r="Q281" s="2962" t="s">
        <v>1687</v>
      </c>
      <c r="R281" s="2962" t="s">
        <v>1553</v>
      </c>
      <c r="S281" s="2965" t="s">
        <v>4860</v>
      </c>
      <c r="T281" s="2966">
        <v>2108</v>
      </c>
      <c r="U281" s="2967">
        <v>0</v>
      </c>
      <c r="V281" s="2968">
        <f t="shared" si="97"/>
        <v>2108</v>
      </c>
      <c r="W281" s="2966">
        <v>2634</v>
      </c>
      <c r="X281" s="2967">
        <v>0</v>
      </c>
      <c r="Y281" s="2968">
        <f t="shared" si="105"/>
        <v>2634</v>
      </c>
      <c r="Z281" s="2966">
        <v>527</v>
      </c>
      <c r="AA281" s="2967">
        <v>0</v>
      </c>
      <c r="AB281" s="2968">
        <f t="shared" si="98"/>
        <v>527</v>
      </c>
      <c r="AC281" s="2969">
        <v>0</v>
      </c>
      <c r="AD281" s="2970">
        <v>0</v>
      </c>
      <c r="AE281" s="2971">
        <f>AC281-AD281</f>
        <v>0</v>
      </c>
      <c r="AF281" s="2969">
        <v>0</v>
      </c>
      <c r="AG281" s="2970">
        <v>0</v>
      </c>
      <c r="AH281" s="2971">
        <f>AF281-AG281</f>
        <v>0</v>
      </c>
      <c r="AI281" s="2972">
        <f t="shared" si="106"/>
        <v>5269</v>
      </c>
      <c r="AJ281" s="2967">
        <f t="shared" si="104"/>
        <v>0</v>
      </c>
      <c r="AK281" s="3919">
        <v>0</v>
      </c>
      <c r="AL281" s="2973">
        <f t="shared" si="102"/>
        <v>5269</v>
      </c>
      <c r="AM281" s="3569" t="s">
        <v>1061</v>
      </c>
      <c r="AN281" s="3570">
        <v>43454</v>
      </c>
      <c r="AO281" s="3571" t="s">
        <v>6098</v>
      </c>
      <c r="AP281" s="3572" t="s">
        <v>6033</v>
      </c>
      <c r="AQ281" s="3573">
        <v>113.4</v>
      </c>
      <c r="AR281" s="2974">
        <f t="shared" si="95"/>
        <v>2154</v>
      </c>
      <c r="AS281" s="2975">
        <f t="shared" si="96"/>
        <v>2691</v>
      </c>
      <c r="AT281" s="2975">
        <f t="shared" si="103"/>
        <v>538</v>
      </c>
      <c r="AU281" s="2976">
        <f>ROUND($AQ281/$G281*AE281,0)</f>
        <v>0</v>
      </c>
      <c r="AV281" s="2976">
        <f>ROUND($AQ281/$G281*AH281,0)</f>
        <v>0</v>
      </c>
      <c r="AW281" s="2977">
        <f t="shared" si="100"/>
        <v>5383</v>
      </c>
      <c r="AX281" s="3146" t="s">
        <v>1728</v>
      </c>
      <c r="AY281" s="2006"/>
      <c r="AZ281" s="1726"/>
      <c r="BB281" s="267"/>
      <c r="BC281" s="4117">
        <f t="shared" si="107"/>
        <v>0</v>
      </c>
      <c r="BD281" s="4117">
        <f t="shared" si="101"/>
        <v>0</v>
      </c>
    </row>
    <row r="282" spans="1:56" ht="51.75" thickBot="1">
      <c r="A282" s="6027" t="s">
        <v>11135</v>
      </c>
      <c r="B282" s="2912" t="s">
        <v>2960</v>
      </c>
      <c r="C282" s="2913">
        <v>0</v>
      </c>
      <c r="D282" s="2914">
        <v>42632</v>
      </c>
      <c r="E282" s="3050" t="s">
        <v>6387</v>
      </c>
      <c r="F282" s="3083" t="s">
        <v>4154</v>
      </c>
      <c r="G282" s="3084">
        <v>1.0111000000000001</v>
      </c>
      <c r="H282" s="2915" t="s">
        <v>4710</v>
      </c>
      <c r="I282" s="2916" t="s">
        <v>1433</v>
      </c>
      <c r="J282" s="2917" t="s">
        <v>1434</v>
      </c>
      <c r="K282" s="2918">
        <v>44093</v>
      </c>
      <c r="L282" s="2916" t="s">
        <v>4059</v>
      </c>
      <c r="M282" s="2917" t="s">
        <v>4060</v>
      </c>
      <c r="N282" s="2916" t="s">
        <v>4061</v>
      </c>
      <c r="O282" s="2915" t="s">
        <v>4062</v>
      </c>
      <c r="P282" s="2978"/>
      <c r="Q282" s="2917" t="s">
        <v>4076</v>
      </c>
      <c r="R282" s="2917" t="s">
        <v>4077</v>
      </c>
      <c r="S282" s="2979"/>
      <c r="T282" s="2919">
        <v>2117</v>
      </c>
      <c r="U282" s="2920">
        <v>0</v>
      </c>
      <c r="V282" s="2921">
        <f t="shared" si="97"/>
        <v>2117</v>
      </c>
      <c r="W282" s="2919">
        <v>374</v>
      </c>
      <c r="X282" s="2920">
        <v>0</v>
      </c>
      <c r="Y282" s="2921">
        <f t="shared" si="105"/>
        <v>374</v>
      </c>
      <c r="Z282" s="2919">
        <v>0</v>
      </c>
      <c r="AA282" s="2920">
        <v>0</v>
      </c>
      <c r="AB282" s="2921">
        <f t="shared" si="98"/>
        <v>0</v>
      </c>
      <c r="AC282" s="2922"/>
      <c r="AD282" s="2923"/>
      <c r="AE282" s="2924"/>
      <c r="AF282" s="2922"/>
      <c r="AG282" s="2923"/>
      <c r="AH282" s="2924"/>
      <c r="AI282" s="2925">
        <f t="shared" si="106"/>
        <v>2491</v>
      </c>
      <c r="AJ282" s="2920">
        <f t="shared" si="104"/>
        <v>0</v>
      </c>
      <c r="AK282" s="3916">
        <v>0</v>
      </c>
      <c r="AL282" s="2926">
        <f t="shared" si="102"/>
        <v>2491</v>
      </c>
      <c r="AM282" s="3574" t="s">
        <v>2977</v>
      </c>
      <c r="AN282" s="3575">
        <v>43453</v>
      </c>
      <c r="AO282" s="3576" t="s">
        <v>6104</v>
      </c>
      <c r="AP282" s="2980" t="s">
        <v>5807</v>
      </c>
      <c r="AQ282" s="2981">
        <v>1.0247219999999999</v>
      </c>
      <c r="AR282" s="2927">
        <f t="shared" si="95"/>
        <v>2146</v>
      </c>
      <c r="AS282" s="2928">
        <f t="shared" si="96"/>
        <v>379</v>
      </c>
      <c r="AT282" s="2928">
        <f t="shared" si="103"/>
        <v>0</v>
      </c>
      <c r="AU282" s="2929"/>
      <c r="AV282" s="2929"/>
      <c r="AW282" s="2930">
        <f t="shared" si="100"/>
        <v>2525</v>
      </c>
      <c r="AX282" s="2896"/>
      <c r="AY282" s="2982" t="s">
        <v>6071</v>
      </c>
      <c r="AZ282" s="2931">
        <f>SUM(AW273:AW282)</f>
        <v>91325</v>
      </c>
      <c r="BA282" s="1727">
        <f>AZ282</f>
        <v>91325</v>
      </c>
      <c r="BB282" s="1727"/>
      <c r="BC282" s="4117">
        <f t="shared" si="107"/>
        <v>0</v>
      </c>
      <c r="BD282" s="4117">
        <f t="shared" si="101"/>
        <v>0</v>
      </c>
    </row>
    <row r="283" spans="1:56" ht="153">
      <c r="A283" s="2418" t="s">
        <v>11135</v>
      </c>
      <c r="B283" s="338" t="s">
        <v>6106</v>
      </c>
      <c r="C283" s="321">
        <v>1</v>
      </c>
      <c r="D283" s="323" t="s">
        <v>5167</v>
      </c>
      <c r="E283" s="3051" t="s">
        <v>6385</v>
      </c>
      <c r="F283" s="324" t="s">
        <v>5915</v>
      </c>
      <c r="G283" s="2621">
        <v>1.0119899999999999</v>
      </c>
      <c r="H283" s="332" t="s">
        <v>5193</v>
      </c>
      <c r="I283" s="339" t="s">
        <v>1433</v>
      </c>
      <c r="J283" s="322" t="s">
        <v>1434</v>
      </c>
      <c r="K283" s="340">
        <v>45247</v>
      </c>
      <c r="L283" s="339" t="s">
        <v>5094</v>
      </c>
      <c r="M283" s="322" t="s">
        <v>2323</v>
      </c>
      <c r="N283" s="339" t="s">
        <v>5095</v>
      </c>
      <c r="O283" s="332" t="s">
        <v>5096</v>
      </c>
      <c r="P283" s="667" t="s">
        <v>6107</v>
      </c>
      <c r="Q283" s="322" t="s">
        <v>5259</v>
      </c>
      <c r="R283" s="322" t="s">
        <v>836</v>
      </c>
      <c r="S283" s="346"/>
      <c r="T283" s="347">
        <v>9715</v>
      </c>
      <c r="U283" s="326">
        <v>0</v>
      </c>
      <c r="V283" s="348">
        <f t="shared" si="97"/>
        <v>9715</v>
      </c>
      <c r="W283" s="347">
        <v>12144</v>
      </c>
      <c r="X283" s="326">
        <v>0</v>
      </c>
      <c r="Y283" s="348">
        <f t="shared" si="105"/>
        <v>12144</v>
      </c>
      <c r="Z283" s="347">
        <v>2428</v>
      </c>
      <c r="AA283" s="326">
        <v>0</v>
      </c>
      <c r="AB283" s="348">
        <f t="shared" si="98"/>
        <v>2428</v>
      </c>
      <c r="AC283" s="820"/>
      <c r="AD283" s="821"/>
      <c r="AE283" s="822"/>
      <c r="AF283" s="820"/>
      <c r="AG283" s="821"/>
      <c r="AH283" s="822"/>
      <c r="AI283" s="482">
        <f t="shared" si="106"/>
        <v>24287</v>
      </c>
      <c r="AJ283" s="326">
        <f t="shared" si="104"/>
        <v>0</v>
      </c>
      <c r="AK283" s="3917">
        <v>0</v>
      </c>
      <c r="AL283" s="349">
        <f t="shared" si="102"/>
        <v>24287</v>
      </c>
      <c r="AM283" s="2002" t="s">
        <v>2977</v>
      </c>
      <c r="AN283" s="3357">
        <v>43475</v>
      </c>
      <c r="AO283" s="695" t="s">
        <v>6115</v>
      </c>
      <c r="AP283" s="2722" t="s">
        <v>5807</v>
      </c>
      <c r="AQ283" s="2723">
        <v>1.0247219999999999</v>
      </c>
      <c r="AR283" s="333">
        <f t="shared" si="95"/>
        <v>9837</v>
      </c>
      <c r="AS283" s="330">
        <f t="shared" si="96"/>
        <v>12297</v>
      </c>
      <c r="AT283" s="330">
        <f t="shared" si="103"/>
        <v>2459</v>
      </c>
      <c r="AU283" s="849"/>
      <c r="AV283" s="849"/>
      <c r="AW283" s="1207">
        <f t="shared" si="100"/>
        <v>24593</v>
      </c>
      <c r="AX283" s="3140"/>
      <c r="BB283" s="267"/>
      <c r="BC283" s="4117">
        <f t="shared" si="107"/>
        <v>0</v>
      </c>
      <c r="BD283" s="4117">
        <f t="shared" si="101"/>
        <v>0</v>
      </c>
    </row>
    <row r="284" spans="1:56" ht="76.5">
      <c r="A284" s="2418" t="s">
        <v>11135</v>
      </c>
      <c r="B284" s="338" t="s">
        <v>6062</v>
      </c>
      <c r="C284" s="321">
        <v>2</v>
      </c>
      <c r="D284" s="323" t="s">
        <v>6085</v>
      </c>
      <c r="E284" s="3051" t="s">
        <v>6386</v>
      </c>
      <c r="F284" s="324" t="s">
        <v>5757</v>
      </c>
      <c r="G284" s="2621">
        <v>1.0247219999999999</v>
      </c>
      <c r="H284" s="332" t="s">
        <v>6022</v>
      </c>
      <c r="I284" s="339" t="s">
        <v>1433</v>
      </c>
      <c r="J284" s="322" t="s">
        <v>1434</v>
      </c>
      <c r="K284" s="340">
        <v>45617</v>
      </c>
      <c r="L284" s="339" t="s">
        <v>6023</v>
      </c>
      <c r="M284" s="322" t="s">
        <v>4394</v>
      </c>
      <c r="N284" s="339" t="s">
        <v>6024</v>
      </c>
      <c r="O284" s="332" t="s">
        <v>6025</v>
      </c>
      <c r="P284" s="345" t="s">
        <v>6086</v>
      </c>
      <c r="Q284" s="322" t="s">
        <v>6063</v>
      </c>
      <c r="R284" s="322" t="s">
        <v>6026</v>
      </c>
      <c r="S284" s="346"/>
      <c r="T284" s="347">
        <v>9622</v>
      </c>
      <c r="U284" s="326">
        <v>0</v>
      </c>
      <c r="V284" s="348">
        <f t="shared" si="97"/>
        <v>9622</v>
      </c>
      <c r="W284" s="347">
        <v>1697</v>
      </c>
      <c r="X284" s="326">
        <v>0</v>
      </c>
      <c r="Y284" s="348">
        <f t="shared" si="105"/>
        <v>1697</v>
      </c>
      <c r="Z284" s="347">
        <v>0</v>
      </c>
      <c r="AA284" s="326">
        <v>0</v>
      </c>
      <c r="AB284" s="348">
        <f t="shared" si="98"/>
        <v>0</v>
      </c>
      <c r="AC284" s="820"/>
      <c r="AD284" s="821"/>
      <c r="AE284" s="822"/>
      <c r="AF284" s="820"/>
      <c r="AG284" s="821"/>
      <c r="AH284" s="822"/>
      <c r="AI284" s="482">
        <f t="shared" si="106"/>
        <v>11319</v>
      </c>
      <c r="AJ284" s="326">
        <f t="shared" si="104"/>
        <v>0</v>
      </c>
      <c r="AK284" s="3917">
        <v>0</v>
      </c>
      <c r="AL284" s="349">
        <f t="shared" si="102"/>
        <v>11319</v>
      </c>
      <c r="AM284" s="2002" t="s">
        <v>1061</v>
      </c>
      <c r="AN284" s="3357">
        <v>43481</v>
      </c>
      <c r="AO284" s="695" t="s">
        <v>6125</v>
      </c>
      <c r="AP284" s="2722" t="s">
        <v>5807</v>
      </c>
      <c r="AQ284" s="2723">
        <v>1.0247219999999999</v>
      </c>
      <c r="AR284" s="333">
        <f t="shared" si="95"/>
        <v>9622</v>
      </c>
      <c r="AS284" s="330">
        <f t="shared" si="96"/>
        <v>1697</v>
      </c>
      <c r="AT284" s="330">
        <f t="shared" si="103"/>
        <v>0</v>
      </c>
      <c r="AU284" s="849"/>
      <c r="AV284" s="849"/>
      <c r="AW284" s="1207">
        <f t="shared" si="100"/>
        <v>11319</v>
      </c>
      <c r="AX284" s="3140"/>
      <c r="BB284" s="267"/>
      <c r="BC284" s="4117">
        <f t="shared" si="107"/>
        <v>0</v>
      </c>
      <c r="BD284" s="4117">
        <f t="shared" si="101"/>
        <v>0</v>
      </c>
    </row>
    <row r="285" spans="1:56" ht="63.75">
      <c r="A285" s="2418" t="s">
        <v>11135</v>
      </c>
      <c r="B285" s="338" t="s">
        <v>6134</v>
      </c>
      <c r="C285" s="321">
        <v>0</v>
      </c>
      <c r="D285" s="323">
        <v>42985</v>
      </c>
      <c r="E285" s="3051" t="s">
        <v>6385</v>
      </c>
      <c r="F285" s="324" t="s">
        <v>5915</v>
      </c>
      <c r="G285" s="2621">
        <v>1.0119899999999999</v>
      </c>
      <c r="H285" s="332" t="s">
        <v>4909</v>
      </c>
      <c r="I285" s="339" t="s">
        <v>1433</v>
      </c>
      <c r="J285" s="322" t="s">
        <v>1434</v>
      </c>
      <c r="K285" s="340">
        <v>44446</v>
      </c>
      <c r="L285" s="339" t="s">
        <v>4910</v>
      </c>
      <c r="M285" s="322" t="s">
        <v>4911</v>
      </c>
      <c r="N285" s="339" t="s">
        <v>4912</v>
      </c>
      <c r="O285" s="332" t="s">
        <v>4913</v>
      </c>
      <c r="P285" s="345"/>
      <c r="Q285" s="322" t="s">
        <v>4914</v>
      </c>
      <c r="R285" s="322" t="s">
        <v>3253</v>
      </c>
      <c r="S285" s="346"/>
      <c r="T285" s="347">
        <v>6800</v>
      </c>
      <c r="U285" s="326">
        <v>0</v>
      </c>
      <c r="V285" s="348">
        <f t="shared" si="97"/>
        <v>6800</v>
      </c>
      <c r="W285" s="347">
        <v>8501</v>
      </c>
      <c r="X285" s="326">
        <v>0</v>
      </c>
      <c r="Y285" s="348">
        <f t="shared" si="105"/>
        <v>8501</v>
      </c>
      <c r="Z285" s="347">
        <v>1700</v>
      </c>
      <c r="AA285" s="326">
        <v>0</v>
      </c>
      <c r="AB285" s="348">
        <f t="shared" si="98"/>
        <v>1700</v>
      </c>
      <c r="AC285" s="820"/>
      <c r="AD285" s="821"/>
      <c r="AE285" s="822"/>
      <c r="AF285" s="820"/>
      <c r="AG285" s="821"/>
      <c r="AH285" s="822"/>
      <c r="AI285" s="482">
        <f t="shared" si="106"/>
        <v>17001</v>
      </c>
      <c r="AJ285" s="326">
        <f t="shared" si="104"/>
        <v>0</v>
      </c>
      <c r="AK285" s="3917">
        <v>0</v>
      </c>
      <c r="AL285" s="349">
        <f t="shared" si="102"/>
        <v>17001</v>
      </c>
      <c r="AM285" s="2002" t="s">
        <v>1061</v>
      </c>
      <c r="AN285" s="3357">
        <v>43489</v>
      </c>
      <c r="AO285" s="695" t="s">
        <v>6150</v>
      </c>
      <c r="AP285" s="2722" t="s">
        <v>5807</v>
      </c>
      <c r="AQ285" s="2723">
        <v>1.0247219999999999</v>
      </c>
      <c r="AR285" s="333">
        <f t="shared" si="95"/>
        <v>6886</v>
      </c>
      <c r="AS285" s="330">
        <f t="shared" si="96"/>
        <v>8608</v>
      </c>
      <c r="AT285" s="330">
        <f t="shared" si="103"/>
        <v>1721</v>
      </c>
      <c r="AU285" s="849"/>
      <c r="AV285" s="849"/>
      <c r="AW285" s="1207">
        <f t="shared" si="100"/>
        <v>17215</v>
      </c>
      <c r="AX285" s="3140"/>
      <c r="BB285" s="267"/>
      <c r="BC285" s="4117">
        <f t="shared" si="107"/>
        <v>0</v>
      </c>
      <c r="BD285" s="4117">
        <f t="shared" si="101"/>
        <v>0</v>
      </c>
    </row>
    <row r="286" spans="1:56" ht="76.5">
      <c r="A286" s="2418" t="s">
        <v>11135</v>
      </c>
      <c r="B286" s="1569" t="s">
        <v>7220</v>
      </c>
      <c r="C286" s="1570">
        <v>0</v>
      </c>
      <c r="D286" s="1571">
        <v>43752</v>
      </c>
      <c r="E286" s="3057" t="s">
        <v>6386</v>
      </c>
      <c r="F286" s="1572" t="s">
        <v>5757</v>
      </c>
      <c r="G286" s="2622">
        <v>1.0247219999999999</v>
      </c>
      <c r="H286" s="1573" t="s">
        <v>6118</v>
      </c>
      <c r="I286" s="339" t="s">
        <v>6119</v>
      </c>
      <c r="J286" s="322" t="s">
        <v>4306</v>
      </c>
      <c r="K286" s="340">
        <v>44210</v>
      </c>
      <c r="L286" s="339" t="s">
        <v>6120</v>
      </c>
      <c r="M286" s="322" t="s">
        <v>6121</v>
      </c>
      <c r="N286" s="339" t="s">
        <v>6122</v>
      </c>
      <c r="O286" s="332" t="s">
        <v>6123</v>
      </c>
      <c r="P286" s="345" t="s">
        <v>6135</v>
      </c>
      <c r="Q286" s="322" t="s">
        <v>6124</v>
      </c>
      <c r="R286" s="322" t="s">
        <v>3576</v>
      </c>
      <c r="S286" s="1576" t="s">
        <v>6572</v>
      </c>
      <c r="T286" s="347">
        <v>2007</v>
      </c>
      <c r="U286" s="326">
        <v>2007</v>
      </c>
      <c r="V286" s="348">
        <f t="shared" si="97"/>
        <v>0</v>
      </c>
      <c r="W286" s="347">
        <v>354</v>
      </c>
      <c r="X286" s="326">
        <v>354</v>
      </c>
      <c r="Y286" s="348">
        <f t="shared" si="105"/>
        <v>0</v>
      </c>
      <c r="Z286" s="347">
        <v>0</v>
      </c>
      <c r="AA286" s="326">
        <v>0</v>
      </c>
      <c r="AB286" s="348">
        <f t="shared" si="98"/>
        <v>0</v>
      </c>
      <c r="AC286" s="820"/>
      <c r="AD286" s="821"/>
      <c r="AE286" s="822"/>
      <c r="AF286" s="820"/>
      <c r="AG286" s="821"/>
      <c r="AH286" s="822"/>
      <c r="AI286" s="482">
        <f t="shared" si="106"/>
        <v>2361</v>
      </c>
      <c r="AJ286" s="326">
        <f t="shared" si="104"/>
        <v>2361</v>
      </c>
      <c r="AK286" s="3899"/>
      <c r="AL286" s="349">
        <f t="shared" si="102"/>
        <v>0</v>
      </c>
      <c r="AM286" s="337" t="s">
        <v>7219</v>
      </c>
      <c r="AN286" s="327"/>
      <c r="AO286" s="328"/>
      <c r="AP286" s="2722" t="s">
        <v>5807</v>
      </c>
      <c r="AQ286" s="2723">
        <v>1.0247219999999999</v>
      </c>
      <c r="AR286" s="333">
        <f t="shared" si="95"/>
        <v>0</v>
      </c>
      <c r="AS286" s="330">
        <f t="shared" si="96"/>
        <v>0</v>
      </c>
      <c r="AT286" s="330">
        <f t="shared" si="103"/>
        <v>0</v>
      </c>
      <c r="AU286" s="849"/>
      <c r="AV286" s="849"/>
      <c r="AW286" s="3156">
        <f t="shared" si="100"/>
        <v>0</v>
      </c>
      <c r="AX286" s="3140"/>
      <c r="BA286" s="267"/>
      <c r="BB286" s="267"/>
      <c r="BC286" s="4117">
        <f t="shared" si="107"/>
        <v>2361</v>
      </c>
      <c r="BD286" s="4117">
        <f t="shared" si="101"/>
        <v>0</v>
      </c>
    </row>
    <row r="287" spans="1:56" ht="63.75">
      <c r="A287" s="2418" t="s">
        <v>11135</v>
      </c>
      <c r="B287" s="1569" t="s">
        <v>7221</v>
      </c>
      <c r="C287" s="1570">
        <v>0</v>
      </c>
      <c r="D287" s="1571">
        <v>43222</v>
      </c>
      <c r="E287" s="3057" t="s">
        <v>6385</v>
      </c>
      <c r="F287" s="1572" t="s">
        <v>5915</v>
      </c>
      <c r="G287" s="2622">
        <v>1.0119899999999999</v>
      </c>
      <c r="H287" s="1573" t="s">
        <v>5474</v>
      </c>
      <c r="I287" s="339" t="s">
        <v>1433</v>
      </c>
      <c r="J287" s="322" t="s">
        <v>1434</v>
      </c>
      <c r="K287" s="340">
        <v>45413</v>
      </c>
      <c r="L287" s="1574" t="s">
        <v>5475</v>
      </c>
      <c r="M287" s="322" t="s">
        <v>5476</v>
      </c>
      <c r="N287" s="339" t="s">
        <v>3467</v>
      </c>
      <c r="O287" s="332" t="s">
        <v>5477</v>
      </c>
      <c r="P287" s="345" t="s">
        <v>7240</v>
      </c>
      <c r="Q287" s="322" t="s">
        <v>5478</v>
      </c>
      <c r="R287" s="322" t="s">
        <v>5479</v>
      </c>
      <c r="S287" s="1576" t="s">
        <v>3476</v>
      </c>
      <c r="T287" s="347">
        <f>ROUND(1285*G287,0)</f>
        <v>1300</v>
      </c>
      <c r="U287" s="326">
        <f>T287</f>
        <v>1300</v>
      </c>
      <c r="V287" s="348">
        <f t="shared" si="97"/>
        <v>0</v>
      </c>
      <c r="W287" s="347">
        <f>ROUNDDOWN(227*G287,0)</f>
        <v>229</v>
      </c>
      <c r="X287" s="326">
        <f>W287</f>
        <v>229</v>
      </c>
      <c r="Y287" s="348">
        <f t="shared" si="105"/>
        <v>0</v>
      </c>
      <c r="Z287" s="347">
        <f>ROUND(360*G287,0)</f>
        <v>364</v>
      </c>
      <c r="AA287" s="326">
        <f>Z287</f>
        <v>364</v>
      </c>
      <c r="AB287" s="348">
        <f t="shared" si="98"/>
        <v>0</v>
      </c>
      <c r="AC287" s="820"/>
      <c r="AD287" s="821"/>
      <c r="AE287" s="822"/>
      <c r="AF287" s="820"/>
      <c r="AG287" s="821"/>
      <c r="AH287" s="822"/>
      <c r="AI287" s="482">
        <f t="shared" si="106"/>
        <v>1893</v>
      </c>
      <c r="AJ287" s="326">
        <f t="shared" si="104"/>
        <v>1893</v>
      </c>
      <c r="AK287" s="3899"/>
      <c r="AL287" s="349">
        <f t="shared" si="102"/>
        <v>0</v>
      </c>
      <c r="AM287" s="337" t="s">
        <v>7219</v>
      </c>
      <c r="AN287" s="327"/>
      <c r="AO287" s="328"/>
      <c r="AP287" s="2722" t="s">
        <v>5807</v>
      </c>
      <c r="AQ287" s="2723">
        <v>1.0247219999999999</v>
      </c>
      <c r="AR287" s="333">
        <f t="shared" si="95"/>
        <v>0</v>
      </c>
      <c r="AS287" s="330">
        <f t="shared" si="96"/>
        <v>0</v>
      </c>
      <c r="AT287" s="330">
        <f t="shared" si="103"/>
        <v>0</v>
      </c>
      <c r="AU287" s="849"/>
      <c r="AV287" s="849"/>
      <c r="AW287" s="3156">
        <f t="shared" si="100"/>
        <v>0</v>
      </c>
      <c r="AX287" s="3140"/>
      <c r="BA287" s="267"/>
      <c r="BB287" s="267"/>
      <c r="BC287" s="4117">
        <f t="shared" si="107"/>
        <v>1917</v>
      </c>
      <c r="BD287" s="4117">
        <f t="shared" si="101"/>
        <v>0</v>
      </c>
    </row>
    <row r="288" spans="1:56" ht="76.5">
      <c r="A288" s="5964" t="s">
        <v>11141</v>
      </c>
      <c r="B288" s="338" t="s">
        <v>6105</v>
      </c>
      <c r="C288" s="321">
        <v>0</v>
      </c>
      <c r="D288" s="323">
        <v>43171</v>
      </c>
      <c r="E288" s="3051" t="s">
        <v>6385</v>
      </c>
      <c r="F288" s="324" t="s">
        <v>5915</v>
      </c>
      <c r="G288" s="2621">
        <v>1.0119899999999999</v>
      </c>
      <c r="H288" s="332" t="s">
        <v>5343</v>
      </c>
      <c r="I288" s="339" t="s">
        <v>5344</v>
      </c>
      <c r="J288" s="322" t="s">
        <v>4306</v>
      </c>
      <c r="K288" s="340">
        <v>43902</v>
      </c>
      <c r="L288" s="339" t="s">
        <v>5345</v>
      </c>
      <c r="M288" s="322" t="s">
        <v>5346</v>
      </c>
      <c r="N288" s="339" t="s">
        <v>5347</v>
      </c>
      <c r="O288" s="332" t="s">
        <v>5348</v>
      </c>
      <c r="P288" s="345" t="s">
        <v>6397</v>
      </c>
      <c r="Q288" s="6094" t="s">
        <v>5349</v>
      </c>
      <c r="R288" s="322" t="s">
        <v>5350</v>
      </c>
      <c r="S288" s="346"/>
      <c r="T288" s="347">
        <v>2331</v>
      </c>
      <c r="U288" s="326">
        <v>0</v>
      </c>
      <c r="V288" s="348">
        <f t="shared" si="97"/>
        <v>2331</v>
      </c>
      <c r="W288" s="347">
        <v>2914</v>
      </c>
      <c r="X288" s="326">
        <v>0</v>
      </c>
      <c r="Y288" s="348">
        <f t="shared" si="105"/>
        <v>2914</v>
      </c>
      <c r="Z288" s="347">
        <v>833</v>
      </c>
      <c r="AA288" s="326">
        <v>0</v>
      </c>
      <c r="AB288" s="348">
        <f t="shared" si="98"/>
        <v>833</v>
      </c>
      <c r="AC288" s="820"/>
      <c r="AD288" s="821"/>
      <c r="AE288" s="822"/>
      <c r="AF288" s="820"/>
      <c r="AG288" s="821"/>
      <c r="AH288" s="822"/>
      <c r="AI288" s="482">
        <f t="shared" si="106"/>
        <v>6078</v>
      </c>
      <c r="AJ288" s="326">
        <f t="shared" si="104"/>
        <v>0</v>
      </c>
      <c r="AK288" s="3917">
        <v>0</v>
      </c>
      <c r="AL288" s="349">
        <f t="shared" si="102"/>
        <v>6078</v>
      </c>
      <c r="AM288" s="2002" t="s">
        <v>1061</v>
      </c>
      <c r="AN288" s="3357">
        <v>43490</v>
      </c>
      <c r="AO288" s="695" t="s">
        <v>6158</v>
      </c>
      <c r="AP288" s="2722" t="s">
        <v>5807</v>
      </c>
      <c r="AQ288" s="2723">
        <v>1.0247219999999999</v>
      </c>
      <c r="AR288" s="333">
        <f t="shared" si="95"/>
        <v>2360</v>
      </c>
      <c r="AS288" s="330">
        <f t="shared" si="96"/>
        <v>2951</v>
      </c>
      <c r="AT288" s="330">
        <f t="shared" si="103"/>
        <v>843</v>
      </c>
      <c r="AU288" s="849"/>
      <c r="AV288" s="849"/>
      <c r="AW288" s="1207">
        <f t="shared" si="100"/>
        <v>6154</v>
      </c>
      <c r="AX288" s="3140"/>
      <c r="BB288" s="267"/>
      <c r="BC288" s="4117">
        <f t="shared" si="107"/>
        <v>0</v>
      </c>
      <c r="BD288" s="4117">
        <f t="shared" si="101"/>
        <v>0</v>
      </c>
    </row>
    <row r="289" spans="1:61" ht="127.5">
      <c r="A289" s="5964" t="s">
        <v>11141</v>
      </c>
      <c r="B289" s="2985" t="s">
        <v>6128</v>
      </c>
      <c r="C289" s="321">
        <v>0</v>
      </c>
      <c r="D289" s="323">
        <v>42860</v>
      </c>
      <c r="E289" s="3051" t="s">
        <v>6385</v>
      </c>
      <c r="F289" s="324" t="s">
        <v>5807</v>
      </c>
      <c r="G289" s="2621">
        <v>1.0247219999999999</v>
      </c>
      <c r="H289" s="332" t="s">
        <v>4557</v>
      </c>
      <c r="I289" s="339" t="s">
        <v>1433</v>
      </c>
      <c r="J289" s="322" t="s">
        <v>1434</v>
      </c>
      <c r="K289" s="340">
        <v>44321</v>
      </c>
      <c r="L289" s="339" t="s">
        <v>6129</v>
      </c>
      <c r="M289" s="322" t="s">
        <v>6130</v>
      </c>
      <c r="N289" s="339" t="s">
        <v>4559</v>
      </c>
      <c r="O289" s="332" t="s">
        <v>4558</v>
      </c>
      <c r="P289" s="2333" t="s">
        <v>6132</v>
      </c>
      <c r="Q289" s="322" t="s">
        <v>4561</v>
      </c>
      <c r="R289" s="322" t="s">
        <v>4560</v>
      </c>
      <c r="S289" s="2461"/>
      <c r="T289" s="347">
        <v>1078</v>
      </c>
      <c r="U289" s="326">
        <v>0</v>
      </c>
      <c r="V289" s="348">
        <f t="shared" si="97"/>
        <v>1078</v>
      </c>
      <c r="W289" s="347">
        <v>639</v>
      </c>
      <c r="X289" s="326">
        <v>0</v>
      </c>
      <c r="Y289" s="348">
        <f t="shared" si="105"/>
        <v>639</v>
      </c>
      <c r="Z289" s="347">
        <v>66</v>
      </c>
      <c r="AA289" s="326">
        <v>0</v>
      </c>
      <c r="AB289" s="348">
        <f t="shared" si="98"/>
        <v>66</v>
      </c>
      <c r="AC289" s="820"/>
      <c r="AD289" s="821"/>
      <c r="AE289" s="822"/>
      <c r="AF289" s="820"/>
      <c r="AG289" s="821"/>
      <c r="AH289" s="822"/>
      <c r="AI289" s="482">
        <f t="shared" si="106"/>
        <v>1783</v>
      </c>
      <c r="AJ289" s="326">
        <f t="shared" si="104"/>
        <v>0</v>
      </c>
      <c r="AK289" s="3917">
        <v>0</v>
      </c>
      <c r="AL289" s="349">
        <f t="shared" si="102"/>
        <v>1783</v>
      </c>
      <c r="AM289" s="2002" t="s">
        <v>1061</v>
      </c>
      <c r="AN289" s="3357">
        <v>43495</v>
      </c>
      <c r="AO289" s="695" t="s">
        <v>6162</v>
      </c>
      <c r="AP289" s="2722" t="s">
        <v>5807</v>
      </c>
      <c r="AQ289" s="2723">
        <v>1.0247219999999999</v>
      </c>
      <c r="AR289" s="333">
        <f t="shared" si="95"/>
        <v>1078</v>
      </c>
      <c r="AS289" s="330">
        <f t="shared" si="96"/>
        <v>639</v>
      </c>
      <c r="AT289" s="330">
        <f t="shared" si="103"/>
        <v>66</v>
      </c>
      <c r="AU289" s="849"/>
      <c r="AV289" s="849"/>
      <c r="AW289" s="1207">
        <f t="shared" si="100"/>
        <v>1783</v>
      </c>
      <c r="AX289" s="3140"/>
      <c r="BB289" s="267"/>
      <c r="BC289" s="4117">
        <f t="shared" si="107"/>
        <v>0</v>
      </c>
      <c r="BD289" s="4117">
        <f t="shared" si="101"/>
        <v>0</v>
      </c>
    </row>
    <row r="290" spans="1:61" ht="153">
      <c r="A290" s="5964" t="s">
        <v>11140</v>
      </c>
      <c r="B290" s="2986" t="s">
        <v>6117</v>
      </c>
      <c r="C290" s="2987">
        <v>0</v>
      </c>
      <c r="D290" s="2988" t="s">
        <v>5679</v>
      </c>
      <c r="E290" s="3054" t="s">
        <v>6383</v>
      </c>
      <c r="F290" s="1203">
        <v>41791</v>
      </c>
      <c r="G290" s="2669">
        <v>105.8</v>
      </c>
      <c r="H290" s="2989" t="s">
        <v>5940</v>
      </c>
      <c r="I290" s="339" t="s">
        <v>1433</v>
      </c>
      <c r="J290" s="322" t="s">
        <v>1434</v>
      </c>
      <c r="K290" s="2604" t="s">
        <v>5682</v>
      </c>
      <c r="L290" s="2398" t="s">
        <v>5681</v>
      </c>
      <c r="M290" s="2399" t="s">
        <v>5680</v>
      </c>
      <c r="N290" s="2398" t="s">
        <v>4885</v>
      </c>
      <c r="O290" s="2401" t="s">
        <v>4886</v>
      </c>
      <c r="P290" s="2402" t="s">
        <v>5664</v>
      </c>
      <c r="Q290" s="2399" t="s">
        <v>4887</v>
      </c>
      <c r="R290" s="322" t="s">
        <v>3253</v>
      </c>
      <c r="S290" s="2403"/>
      <c r="T290" s="347">
        <v>272</v>
      </c>
      <c r="U290" s="326">
        <v>0</v>
      </c>
      <c r="V290" s="348">
        <f t="shared" si="97"/>
        <v>272</v>
      </c>
      <c r="W290" s="347">
        <v>8960</v>
      </c>
      <c r="X290" s="326">
        <v>0</v>
      </c>
      <c r="Y290" s="348">
        <f t="shared" si="105"/>
        <v>8960</v>
      </c>
      <c r="Z290" s="347">
        <v>1792</v>
      </c>
      <c r="AA290" s="326">
        <v>0</v>
      </c>
      <c r="AB290" s="348">
        <f t="shared" si="98"/>
        <v>1792</v>
      </c>
      <c r="AC290" s="820"/>
      <c r="AD290" s="821"/>
      <c r="AE290" s="822"/>
      <c r="AF290" s="820"/>
      <c r="AG290" s="821"/>
      <c r="AH290" s="822"/>
      <c r="AI290" s="482">
        <f t="shared" si="106"/>
        <v>11024</v>
      </c>
      <c r="AJ290" s="326">
        <f t="shared" si="104"/>
        <v>0</v>
      </c>
      <c r="AK290" s="3917">
        <v>0</v>
      </c>
      <c r="AL290" s="349">
        <f t="shared" si="102"/>
        <v>11024</v>
      </c>
      <c r="AM290" s="2002" t="s">
        <v>1061</v>
      </c>
      <c r="AN290" s="3357">
        <v>43495</v>
      </c>
      <c r="AO290" s="695" t="s">
        <v>6163</v>
      </c>
      <c r="AP290" s="2722" t="s">
        <v>6116</v>
      </c>
      <c r="AQ290" s="2723">
        <v>113.4</v>
      </c>
      <c r="AR290" s="333">
        <f t="shared" si="95"/>
        <v>292</v>
      </c>
      <c r="AS290" s="330">
        <f t="shared" si="96"/>
        <v>9604</v>
      </c>
      <c r="AT290" s="330">
        <f t="shared" si="103"/>
        <v>1921</v>
      </c>
      <c r="AU290" s="849"/>
      <c r="AV290" s="849"/>
      <c r="AW290" s="1207">
        <f t="shared" si="100"/>
        <v>11817</v>
      </c>
      <c r="AX290" s="3140"/>
      <c r="BB290" s="267"/>
      <c r="BC290" s="4117">
        <f t="shared" si="107"/>
        <v>0</v>
      </c>
      <c r="BD290" s="4117">
        <f t="shared" si="101"/>
        <v>0</v>
      </c>
    </row>
    <row r="291" spans="1:61" ht="64.5" thickBot="1">
      <c r="A291" s="6028" t="s">
        <v>11135</v>
      </c>
      <c r="B291" s="2990" t="s">
        <v>4523</v>
      </c>
      <c r="C291" s="2991">
        <v>0</v>
      </c>
      <c r="D291" s="2992">
        <v>43048</v>
      </c>
      <c r="E291" s="3052" t="s">
        <v>6385</v>
      </c>
      <c r="F291" s="3081" t="s">
        <v>5915</v>
      </c>
      <c r="G291" s="3082">
        <v>1.0119899999999999</v>
      </c>
      <c r="H291" s="2993" t="s">
        <v>5076</v>
      </c>
      <c r="I291" s="2994" t="s">
        <v>1436</v>
      </c>
      <c r="J291" s="2995" t="s">
        <v>1437</v>
      </c>
      <c r="K291" s="2996">
        <v>44509</v>
      </c>
      <c r="L291" s="2994" t="s">
        <v>5070</v>
      </c>
      <c r="M291" s="2995" t="s">
        <v>5071</v>
      </c>
      <c r="N291" s="2994" t="s">
        <v>5072</v>
      </c>
      <c r="O291" s="2993" t="s">
        <v>5073</v>
      </c>
      <c r="P291" s="2997"/>
      <c r="Q291" s="2995" t="s">
        <v>4760</v>
      </c>
      <c r="R291" s="2995" t="s">
        <v>4761</v>
      </c>
      <c r="S291" s="2998"/>
      <c r="T291" s="2999">
        <v>6800</v>
      </c>
      <c r="U291" s="3000">
        <v>0</v>
      </c>
      <c r="V291" s="3001">
        <f t="shared" si="97"/>
        <v>6800</v>
      </c>
      <c r="W291" s="2999">
        <v>8501</v>
      </c>
      <c r="X291" s="3000">
        <v>0</v>
      </c>
      <c r="Y291" s="3001">
        <f t="shared" si="105"/>
        <v>8501</v>
      </c>
      <c r="Z291" s="2999">
        <v>1700</v>
      </c>
      <c r="AA291" s="3000">
        <v>0</v>
      </c>
      <c r="AB291" s="3001">
        <f t="shared" si="98"/>
        <v>1700</v>
      </c>
      <c r="AC291" s="3002"/>
      <c r="AD291" s="3003"/>
      <c r="AE291" s="3004"/>
      <c r="AF291" s="3002"/>
      <c r="AG291" s="3003"/>
      <c r="AH291" s="3004"/>
      <c r="AI291" s="3005">
        <f t="shared" si="106"/>
        <v>17001</v>
      </c>
      <c r="AJ291" s="3000">
        <f t="shared" si="104"/>
        <v>0</v>
      </c>
      <c r="AK291" s="3918">
        <v>0</v>
      </c>
      <c r="AL291" s="3006">
        <f t="shared" si="102"/>
        <v>17001</v>
      </c>
      <c r="AM291" s="3577" t="s">
        <v>6550</v>
      </c>
      <c r="AN291" s="3578" t="s">
        <v>6548</v>
      </c>
      <c r="AO291" s="3579" t="s">
        <v>6549</v>
      </c>
      <c r="AP291" s="3007" t="s">
        <v>5807</v>
      </c>
      <c r="AQ291" s="3210">
        <v>1.0247219999999999</v>
      </c>
      <c r="AR291" s="3211">
        <f t="shared" si="95"/>
        <v>6886</v>
      </c>
      <c r="AS291" s="3212">
        <f t="shared" si="96"/>
        <v>8608</v>
      </c>
      <c r="AT291" s="3212">
        <f t="shared" si="103"/>
        <v>1721</v>
      </c>
      <c r="AU291" s="3213"/>
      <c r="AV291" s="3008"/>
      <c r="AW291" s="3009">
        <f t="shared" si="100"/>
        <v>17215</v>
      </c>
      <c r="AX291" s="2890"/>
      <c r="AY291" s="3010" t="s">
        <v>6108</v>
      </c>
      <c r="AZ291" s="3011">
        <f>SUM(AW283:AW291)</f>
        <v>90096</v>
      </c>
      <c r="BA291" s="1727">
        <f>AZ291</f>
        <v>90096</v>
      </c>
      <c r="BB291" s="267"/>
      <c r="BC291" s="4117">
        <f t="shared" si="107"/>
        <v>0</v>
      </c>
      <c r="BD291" s="4117">
        <f t="shared" si="101"/>
        <v>0</v>
      </c>
    </row>
    <row r="292" spans="1:61" ht="51">
      <c r="A292" s="5981" t="s">
        <v>11135</v>
      </c>
      <c r="B292" s="1538" t="s">
        <v>6072</v>
      </c>
      <c r="C292" s="1509">
        <v>0</v>
      </c>
      <c r="D292" s="1510">
        <v>42510</v>
      </c>
      <c r="E292" s="2300" t="s">
        <v>6387</v>
      </c>
      <c r="F292" s="2497" t="s">
        <v>4932</v>
      </c>
      <c r="G292" s="2663">
        <v>1</v>
      </c>
      <c r="H292" s="1513" t="s">
        <v>3805</v>
      </c>
      <c r="I292" s="1514" t="s">
        <v>1433</v>
      </c>
      <c r="J292" s="1515" t="s">
        <v>1434</v>
      </c>
      <c r="K292" s="1516">
        <v>43941</v>
      </c>
      <c r="L292" s="1514" t="s">
        <v>786</v>
      </c>
      <c r="M292" s="1515" t="s">
        <v>3809</v>
      </c>
      <c r="N292" s="1514" t="s">
        <v>3806</v>
      </c>
      <c r="O292" s="1513" t="s">
        <v>988</v>
      </c>
      <c r="P292" s="1517"/>
      <c r="Q292" s="1515" t="s">
        <v>3807</v>
      </c>
      <c r="R292" s="1515" t="s">
        <v>3808</v>
      </c>
      <c r="S292" s="1518"/>
      <c r="T292" s="1519">
        <v>13440</v>
      </c>
      <c r="U292" s="1504">
        <v>0</v>
      </c>
      <c r="V292" s="1520">
        <f t="shared" si="97"/>
        <v>13440</v>
      </c>
      <c r="W292" s="1519">
        <v>16800</v>
      </c>
      <c r="X292" s="1504">
        <v>0</v>
      </c>
      <c r="Y292" s="1520">
        <f t="shared" si="105"/>
        <v>16800</v>
      </c>
      <c r="Z292" s="1519">
        <v>3360</v>
      </c>
      <c r="AA292" s="1504">
        <v>0</v>
      </c>
      <c r="AB292" s="1520">
        <f t="shared" si="98"/>
        <v>3360</v>
      </c>
      <c r="AC292" s="820"/>
      <c r="AD292" s="821"/>
      <c r="AE292" s="822"/>
      <c r="AF292" s="820"/>
      <c r="AG292" s="821"/>
      <c r="AH292" s="822"/>
      <c r="AI292" s="1503">
        <f t="shared" si="106"/>
        <v>33600</v>
      </c>
      <c r="AJ292" s="1504">
        <f t="shared" si="104"/>
        <v>0</v>
      </c>
      <c r="AK292" s="3919">
        <v>0</v>
      </c>
      <c r="AL292" s="1505">
        <f t="shared" si="102"/>
        <v>33600</v>
      </c>
      <c r="AM292" s="1508" t="s">
        <v>1061</v>
      </c>
      <c r="AN292" s="3401">
        <v>43501</v>
      </c>
      <c r="AO292" s="3402" t="s">
        <v>6164</v>
      </c>
      <c r="AP292" s="2664" t="s">
        <v>5807</v>
      </c>
      <c r="AQ292" s="2906">
        <v>1.0247219999999999</v>
      </c>
      <c r="AR292" s="2313">
        <f t="shared" si="95"/>
        <v>13772</v>
      </c>
      <c r="AS292" s="2314">
        <f t="shared" si="96"/>
        <v>17215</v>
      </c>
      <c r="AT292" s="2314">
        <f t="shared" si="103"/>
        <v>3443</v>
      </c>
      <c r="AU292" s="848"/>
      <c r="AV292" s="849"/>
      <c r="AW292" s="3013">
        <f t="shared" si="100"/>
        <v>34430</v>
      </c>
      <c r="AX292" s="3146"/>
      <c r="BB292" s="267"/>
      <c r="BC292" s="4117">
        <f t="shared" si="107"/>
        <v>0</v>
      </c>
      <c r="BD292" s="4117">
        <f t="shared" si="101"/>
        <v>0</v>
      </c>
    </row>
    <row r="293" spans="1:61" ht="89.25">
      <c r="A293" s="5981" t="s">
        <v>11135</v>
      </c>
      <c r="B293" s="1538" t="s">
        <v>5955</v>
      </c>
      <c r="C293" s="1509">
        <v>0</v>
      </c>
      <c r="D293" s="1510">
        <v>42656</v>
      </c>
      <c r="E293" s="3053" t="s">
        <v>6387</v>
      </c>
      <c r="F293" s="1511" t="s">
        <v>4154</v>
      </c>
      <c r="G293" s="2663">
        <v>1.0111000000000001</v>
      </c>
      <c r="H293" s="1513" t="s">
        <v>4084</v>
      </c>
      <c r="I293" s="1514" t="s">
        <v>1436</v>
      </c>
      <c r="J293" s="1515" t="s">
        <v>1437</v>
      </c>
      <c r="K293" s="1516">
        <v>44056</v>
      </c>
      <c r="L293" s="1514" t="s">
        <v>4085</v>
      </c>
      <c r="M293" s="1515" t="s">
        <v>4086</v>
      </c>
      <c r="N293" s="1514" t="s">
        <v>4087</v>
      </c>
      <c r="O293" s="1513" t="s">
        <v>6195</v>
      </c>
      <c r="P293" s="1517"/>
      <c r="Q293" s="1515" t="s">
        <v>2966</v>
      </c>
      <c r="R293" s="1515" t="s">
        <v>4083</v>
      </c>
      <c r="S293" s="1518"/>
      <c r="T293" s="1519">
        <v>6794</v>
      </c>
      <c r="U293" s="1504">
        <v>0</v>
      </c>
      <c r="V293" s="1520">
        <f t="shared" si="97"/>
        <v>6794</v>
      </c>
      <c r="W293" s="1519">
        <v>8493</v>
      </c>
      <c r="X293" s="1504">
        <v>0</v>
      </c>
      <c r="Y293" s="1520">
        <f t="shared" si="105"/>
        <v>8493</v>
      </c>
      <c r="Z293" s="1519">
        <v>1699</v>
      </c>
      <c r="AA293" s="1504">
        <v>0</v>
      </c>
      <c r="AB293" s="1520">
        <f t="shared" si="98"/>
        <v>1699</v>
      </c>
      <c r="AC293" s="820"/>
      <c r="AD293" s="821"/>
      <c r="AE293" s="822"/>
      <c r="AF293" s="820"/>
      <c r="AG293" s="821"/>
      <c r="AH293" s="822"/>
      <c r="AI293" s="1503">
        <f t="shared" si="106"/>
        <v>16986</v>
      </c>
      <c r="AJ293" s="1504">
        <f t="shared" si="104"/>
        <v>0</v>
      </c>
      <c r="AK293" s="3919">
        <v>0</v>
      </c>
      <c r="AL293" s="1505">
        <f t="shared" si="102"/>
        <v>16986</v>
      </c>
      <c r="AM293" s="1508" t="s">
        <v>6433</v>
      </c>
      <c r="AN293" s="3401" t="s">
        <v>6434</v>
      </c>
      <c r="AO293" s="3402" t="s">
        <v>6435</v>
      </c>
      <c r="AP293" s="2664" t="s">
        <v>5807</v>
      </c>
      <c r="AQ293" s="2806">
        <v>1.0247219999999999</v>
      </c>
      <c r="AR293" s="1506">
        <f t="shared" si="95"/>
        <v>6886</v>
      </c>
      <c r="AS293" s="1507">
        <f t="shared" si="96"/>
        <v>8607</v>
      </c>
      <c r="AT293" s="1507">
        <f t="shared" si="103"/>
        <v>1722</v>
      </c>
      <c r="AU293" s="849"/>
      <c r="AV293" s="849"/>
      <c r="AW293" s="2911">
        <f t="shared" si="100"/>
        <v>17215</v>
      </c>
      <c r="AX293" s="3150" t="s">
        <v>6428</v>
      </c>
      <c r="BB293" s="267"/>
      <c r="BC293" s="4117">
        <f t="shared" si="107"/>
        <v>0</v>
      </c>
      <c r="BD293" s="4117">
        <f t="shared" si="101"/>
        <v>0</v>
      </c>
    </row>
    <row r="294" spans="1:61" ht="102">
      <c r="A294" s="5981" t="s">
        <v>11135</v>
      </c>
      <c r="B294" s="1538" t="s">
        <v>6429</v>
      </c>
      <c r="C294" s="1509">
        <v>0</v>
      </c>
      <c r="D294" s="1510" t="s">
        <v>6430</v>
      </c>
      <c r="E294" s="3053" t="s">
        <v>6386</v>
      </c>
      <c r="F294" s="1511" t="s">
        <v>5757</v>
      </c>
      <c r="G294" s="2663">
        <v>1.0247219999999999</v>
      </c>
      <c r="H294" s="1513" t="s">
        <v>6424</v>
      </c>
      <c r="I294" s="1514" t="s">
        <v>1433</v>
      </c>
      <c r="J294" s="1515" t="s">
        <v>1434</v>
      </c>
      <c r="K294" s="1516">
        <v>45706</v>
      </c>
      <c r="L294" s="1514" t="s">
        <v>6425</v>
      </c>
      <c r="M294" s="1515" t="s">
        <v>6426</v>
      </c>
      <c r="N294" s="1514" t="s">
        <v>3195</v>
      </c>
      <c r="O294" s="1513" t="s">
        <v>6427</v>
      </c>
      <c r="P294" s="1517" t="s">
        <v>6432</v>
      </c>
      <c r="Q294" s="1515" t="s">
        <v>6431</v>
      </c>
      <c r="R294" s="1515" t="s">
        <v>3576</v>
      </c>
      <c r="S294" s="1518"/>
      <c r="T294" s="1519">
        <v>1333</v>
      </c>
      <c r="U294" s="1504">
        <v>0</v>
      </c>
      <c r="V294" s="1520">
        <f t="shared" si="97"/>
        <v>1333</v>
      </c>
      <c r="W294" s="1519">
        <v>234</v>
      </c>
      <c r="X294" s="1504">
        <v>0</v>
      </c>
      <c r="Y294" s="1520">
        <f t="shared" si="105"/>
        <v>234</v>
      </c>
      <c r="Z294" s="1519">
        <v>0</v>
      </c>
      <c r="AA294" s="1504">
        <v>0</v>
      </c>
      <c r="AB294" s="1520">
        <f t="shared" si="98"/>
        <v>0</v>
      </c>
      <c r="AC294" s="820"/>
      <c r="AD294" s="821"/>
      <c r="AE294" s="822"/>
      <c r="AF294" s="820"/>
      <c r="AG294" s="821"/>
      <c r="AH294" s="822"/>
      <c r="AI294" s="1503">
        <f t="shared" si="106"/>
        <v>1567</v>
      </c>
      <c r="AJ294" s="1504">
        <f t="shared" si="104"/>
        <v>0</v>
      </c>
      <c r="AK294" s="3919">
        <v>0</v>
      </c>
      <c r="AL294" s="1505">
        <f t="shared" si="102"/>
        <v>1567</v>
      </c>
      <c r="AM294" s="1508" t="s">
        <v>1061</v>
      </c>
      <c r="AN294" s="3401">
        <v>43518</v>
      </c>
      <c r="AO294" s="3402" t="s">
        <v>6436</v>
      </c>
      <c r="AP294" s="2664" t="s">
        <v>5807</v>
      </c>
      <c r="AQ294" s="2806">
        <v>1.0247219999999999</v>
      </c>
      <c r="AR294" s="1506">
        <f t="shared" si="95"/>
        <v>1333</v>
      </c>
      <c r="AS294" s="1507">
        <f t="shared" si="96"/>
        <v>234</v>
      </c>
      <c r="AT294" s="1507">
        <f t="shared" si="103"/>
        <v>0</v>
      </c>
      <c r="AU294" s="849"/>
      <c r="AV294" s="849"/>
      <c r="AW294" s="2911">
        <f t="shared" si="100"/>
        <v>1567</v>
      </c>
      <c r="AX294" s="3146"/>
      <c r="BB294" s="267"/>
      <c r="BC294" s="4117">
        <f t="shared" si="107"/>
        <v>0</v>
      </c>
      <c r="BD294" s="4117">
        <f t="shared" si="101"/>
        <v>0</v>
      </c>
    </row>
    <row r="295" spans="1:61" ht="114.75">
      <c r="A295" s="5981" t="s">
        <v>11135</v>
      </c>
      <c r="B295" s="1538" t="s">
        <v>5778</v>
      </c>
      <c r="C295" s="1509">
        <v>0</v>
      </c>
      <c r="D295" s="1510">
        <v>43304</v>
      </c>
      <c r="E295" s="3053" t="s">
        <v>6385</v>
      </c>
      <c r="F295" s="1511" t="s">
        <v>5757</v>
      </c>
      <c r="G295" s="2663">
        <v>1.0247219999999999</v>
      </c>
      <c r="H295" s="1513" t="s">
        <v>5776</v>
      </c>
      <c r="I295" s="1514" t="s">
        <v>1433</v>
      </c>
      <c r="J295" s="1515" t="s">
        <v>4306</v>
      </c>
      <c r="K295" s="1516" t="s">
        <v>5777</v>
      </c>
      <c r="L295" s="1514" t="s">
        <v>3991</v>
      </c>
      <c r="M295" s="1515" t="s">
        <v>5363</v>
      </c>
      <c r="N295" s="1514" t="s">
        <v>5779</v>
      </c>
      <c r="O295" s="1513" t="s">
        <v>6374</v>
      </c>
      <c r="P295" s="1517" t="s">
        <v>5782</v>
      </c>
      <c r="Q295" s="1515" t="s">
        <v>5780</v>
      </c>
      <c r="R295" s="1515" t="s">
        <v>5315</v>
      </c>
      <c r="S295" s="1518" t="s">
        <v>5781</v>
      </c>
      <c r="T295" s="1519">
        <v>0</v>
      </c>
      <c r="U295" s="1504">
        <v>0</v>
      </c>
      <c r="V295" s="1520">
        <f t="shared" si="97"/>
        <v>0</v>
      </c>
      <c r="W295" s="1519">
        <v>0</v>
      </c>
      <c r="X295" s="1504">
        <v>0</v>
      </c>
      <c r="Y295" s="1520">
        <f t="shared" si="105"/>
        <v>0</v>
      </c>
      <c r="Z295" s="1519">
        <v>11899</v>
      </c>
      <c r="AA295" s="1504">
        <v>0</v>
      </c>
      <c r="AB295" s="1520">
        <f t="shared" si="98"/>
        <v>11899</v>
      </c>
      <c r="AC295" s="820"/>
      <c r="AD295" s="821"/>
      <c r="AE295" s="822"/>
      <c r="AF295" s="820"/>
      <c r="AG295" s="821"/>
      <c r="AH295" s="822"/>
      <c r="AI295" s="1503">
        <f t="shared" si="106"/>
        <v>11899</v>
      </c>
      <c r="AJ295" s="1504">
        <f t="shared" si="104"/>
        <v>0</v>
      </c>
      <c r="AK295" s="3919">
        <v>0</v>
      </c>
      <c r="AL295" s="1505">
        <f t="shared" si="102"/>
        <v>11899</v>
      </c>
      <c r="AM295" s="1508" t="s">
        <v>1061</v>
      </c>
      <c r="AN295" s="3401">
        <v>43523</v>
      </c>
      <c r="AO295" s="3402" t="s">
        <v>6443</v>
      </c>
      <c r="AP295" s="2664" t="s">
        <v>5807</v>
      </c>
      <c r="AQ295" s="2806">
        <v>1.0247219999999999</v>
      </c>
      <c r="AR295" s="1506">
        <f t="shared" si="95"/>
        <v>0</v>
      </c>
      <c r="AS295" s="1507">
        <f t="shared" si="96"/>
        <v>0</v>
      </c>
      <c r="AT295" s="1507">
        <f t="shared" si="103"/>
        <v>11899</v>
      </c>
      <c r="AU295" s="849"/>
      <c r="AV295" s="849"/>
      <c r="AW295" s="2911">
        <f t="shared" si="100"/>
        <v>11899</v>
      </c>
      <c r="AX295" s="3146"/>
      <c r="BB295" s="267"/>
      <c r="BC295" s="4117">
        <f t="shared" si="107"/>
        <v>0</v>
      </c>
      <c r="BD295" s="4117">
        <f t="shared" si="101"/>
        <v>0</v>
      </c>
    </row>
    <row r="296" spans="1:61" ht="76.5">
      <c r="A296" s="5978" t="s">
        <v>11141</v>
      </c>
      <c r="B296" s="1538" t="s">
        <v>3959</v>
      </c>
      <c r="C296" s="1509">
        <v>0</v>
      </c>
      <c r="D296" s="1510">
        <v>42913</v>
      </c>
      <c r="E296" s="3053" t="s">
        <v>6385</v>
      </c>
      <c r="F296" s="1511" t="s">
        <v>4154</v>
      </c>
      <c r="G296" s="2663">
        <v>1.0111000000000001</v>
      </c>
      <c r="H296" s="1513" t="s">
        <v>4711</v>
      </c>
      <c r="I296" s="1514" t="s">
        <v>4712</v>
      </c>
      <c r="J296" s="1515" t="s">
        <v>4306</v>
      </c>
      <c r="K296" s="1516">
        <v>43643</v>
      </c>
      <c r="L296" s="1514" t="s">
        <v>4713</v>
      </c>
      <c r="M296" s="1515" t="s">
        <v>4714</v>
      </c>
      <c r="N296" s="1514" t="s">
        <v>4716</v>
      </c>
      <c r="O296" s="1513" t="s">
        <v>4714</v>
      </c>
      <c r="P296" s="1517"/>
      <c r="Q296" s="6094" t="s">
        <v>4332</v>
      </c>
      <c r="R296" s="1515" t="s">
        <v>1046</v>
      </c>
      <c r="S296" s="1518"/>
      <c r="T296" s="1519">
        <v>2294</v>
      </c>
      <c r="U296" s="1504">
        <v>0</v>
      </c>
      <c r="V296" s="1520">
        <f t="shared" si="97"/>
        <v>2294</v>
      </c>
      <c r="W296" s="1519">
        <v>2868</v>
      </c>
      <c r="X296" s="1504">
        <v>0</v>
      </c>
      <c r="Y296" s="1520">
        <f t="shared" si="105"/>
        <v>2868</v>
      </c>
      <c r="Z296" s="1519">
        <v>819</v>
      </c>
      <c r="AA296" s="1504">
        <v>0</v>
      </c>
      <c r="AB296" s="1520">
        <f t="shared" si="98"/>
        <v>819</v>
      </c>
      <c r="AC296" s="820"/>
      <c r="AD296" s="821"/>
      <c r="AE296" s="822"/>
      <c r="AF296" s="820"/>
      <c r="AG296" s="821"/>
      <c r="AH296" s="822"/>
      <c r="AI296" s="1503">
        <f t="shared" si="106"/>
        <v>5981</v>
      </c>
      <c r="AJ296" s="1504">
        <f t="shared" si="104"/>
        <v>0</v>
      </c>
      <c r="AK296" s="3919">
        <v>0</v>
      </c>
      <c r="AL296" s="1505">
        <v>29</v>
      </c>
      <c r="AM296" s="1508" t="s">
        <v>1061</v>
      </c>
      <c r="AN296" s="3401">
        <v>43523</v>
      </c>
      <c r="AO296" s="3402" t="s">
        <v>6449</v>
      </c>
      <c r="AP296" s="2664" t="s">
        <v>5807</v>
      </c>
      <c r="AQ296" s="2806">
        <v>1.0247219999999999</v>
      </c>
      <c r="AR296" s="1506">
        <f t="shared" si="95"/>
        <v>2325</v>
      </c>
      <c r="AS296" s="1507">
        <f t="shared" si="96"/>
        <v>2907</v>
      </c>
      <c r="AT296" s="1507">
        <f t="shared" si="103"/>
        <v>830</v>
      </c>
      <c r="AU296" s="849"/>
      <c r="AV296" s="849"/>
      <c r="AW296" s="2911">
        <f t="shared" si="100"/>
        <v>6062</v>
      </c>
      <c r="AX296" s="3146"/>
      <c r="BB296" s="267"/>
      <c r="BC296" s="4117">
        <f t="shared" si="107"/>
        <v>0</v>
      </c>
      <c r="BD296" s="4117">
        <f t="shared" si="101"/>
        <v>0</v>
      </c>
    </row>
    <row r="297" spans="1:61" s="853" customFormat="1" ht="39" thickBot="1">
      <c r="A297" s="6029" t="s">
        <v>11135</v>
      </c>
      <c r="B297" s="3183" t="s">
        <v>6446</v>
      </c>
      <c r="C297" s="3184">
        <v>0</v>
      </c>
      <c r="D297" s="3185">
        <v>43245</v>
      </c>
      <c r="E297" s="3185" t="s">
        <v>6385</v>
      </c>
      <c r="F297" s="3186" t="s">
        <v>4933</v>
      </c>
      <c r="G297" s="3187">
        <v>1.0119899999999999</v>
      </c>
      <c r="H297" s="3188" t="s">
        <v>5563</v>
      </c>
      <c r="I297" s="3189" t="s">
        <v>1433</v>
      </c>
      <c r="J297" s="3190" t="s">
        <v>1434</v>
      </c>
      <c r="K297" s="3191">
        <v>45437</v>
      </c>
      <c r="L297" s="3189" t="s">
        <v>5564</v>
      </c>
      <c r="M297" s="3190" t="s">
        <v>4394</v>
      </c>
      <c r="N297" s="3189" t="s">
        <v>5565</v>
      </c>
      <c r="O297" s="3188" t="s">
        <v>5566</v>
      </c>
      <c r="P297" s="3189"/>
      <c r="Q297" s="3190" t="s">
        <v>5483</v>
      </c>
      <c r="R297" s="3190" t="s">
        <v>5567</v>
      </c>
      <c r="S297" s="3188"/>
      <c r="T297" s="3192"/>
      <c r="U297" s="3193"/>
      <c r="V297" s="3194"/>
      <c r="W297" s="3192"/>
      <c r="X297" s="3193"/>
      <c r="Y297" s="3194"/>
      <c r="Z297" s="3192"/>
      <c r="AA297" s="3193"/>
      <c r="AB297" s="3194"/>
      <c r="AC297" s="3195"/>
      <c r="AD297" s="3196"/>
      <c r="AE297" s="3197"/>
      <c r="AF297" s="3195"/>
      <c r="AG297" s="3196"/>
      <c r="AH297" s="3197"/>
      <c r="AI297" s="3198"/>
      <c r="AJ297" s="3193"/>
      <c r="AK297" s="3916">
        <v>0</v>
      </c>
      <c r="AL297" s="3199"/>
      <c r="AM297" s="3183" t="s">
        <v>6447</v>
      </c>
      <c r="AN297" s="3580">
        <v>43523</v>
      </c>
      <c r="AO297" s="3184" t="s">
        <v>6448</v>
      </c>
      <c r="AP297" s="3581" t="s">
        <v>4933</v>
      </c>
      <c r="AQ297" s="3582">
        <v>1.0119899999999999</v>
      </c>
      <c r="AR297" s="3200">
        <f>-6615</f>
        <v>-6615</v>
      </c>
      <c r="AS297" s="3201">
        <f>-8501</f>
        <v>-8501</v>
      </c>
      <c r="AT297" s="3201">
        <f>-1700</f>
        <v>-1700</v>
      </c>
      <c r="AU297" s="3202"/>
      <c r="AV297" s="3202"/>
      <c r="AW297" s="3203">
        <f t="shared" si="100"/>
        <v>-16816</v>
      </c>
      <c r="AX297" s="3204" t="s">
        <v>6680</v>
      </c>
      <c r="AY297" s="3205" t="s">
        <v>6165</v>
      </c>
      <c r="AZ297" s="3206">
        <f>SUM(AW292:AW297)</f>
        <v>54357</v>
      </c>
      <c r="BA297" s="1727">
        <f>AZ297</f>
        <v>54357</v>
      </c>
      <c r="BC297" s="4117">
        <f t="shared" si="107"/>
        <v>0</v>
      </c>
      <c r="BD297" s="4117">
        <f t="shared" si="101"/>
        <v>0</v>
      </c>
      <c r="BE297" s="4113">
        <f>AW297</f>
        <v>-16816</v>
      </c>
      <c r="BF297" s="4522"/>
      <c r="BG297" s="4514"/>
      <c r="BH297" s="4514"/>
      <c r="BI297" s="4528"/>
    </row>
    <row r="298" spans="1:61" ht="76.5">
      <c r="A298" s="5967" t="s">
        <v>11141</v>
      </c>
      <c r="B298" s="827" t="s">
        <v>6486</v>
      </c>
      <c r="C298" s="828">
        <v>0</v>
      </c>
      <c r="D298" s="829">
        <v>43194</v>
      </c>
      <c r="E298" s="829" t="s">
        <v>6385</v>
      </c>
      <c r="F298" s="830" t="s">
        <v>5915</v>
      </c>
      <c r="G298" s="2620">
        <v>1.0119899999999999</v>
      </c>
      <c r="H298" s="832" t="s">
        <v>5407</v>
      </c>
      <c r="I298" s="833" t="s">
        <v>5408</v>
      </c>
      <c r="J298" s="834" t="s">
        <v>4306</v>
      </c>
      <c r="K298" s="835">
        <v>43925</v>
      </c>
      <c r="L298" s="833" t="s">
        <v>5409</v>
      </c>
      <c r="M298" s="834" t="s">
        <v>5410</v>
      </c>
      <c r="N298" s="833" t="s">
        <v>5411</v>
      </c>
      <c r="O298" s="832" t="s">
        <v>5412</v>
      </c>
      <c r="P298" s="836"/>
      <c r="Q298" s="6096" t="s">
        <v>5413</v>
      </c>
      <c r="R298" s="834" t="s">
        <v>5414</v>
      </c>
      <c r="S298" s="837"/>
      <c r="T298" s="838">
        <v>359</v>
      </c>
      <c r="U298" s="839">
        <v>0</v>
      </c>
      <c r="V298" s="840">
        <f t="shared" ref="V298:V329" si="108">T298-U298</f>
        <v>359</v>
      </c>
      <c r="W298" s="838">
        <v>448</v>
      </c>
      <c r="X298" s="839">
        <v>0</v>
      </c>
      <c r="Y298" s="840">
        <f t="shared" ref="Y298:Y329" si="109">W298-X298</f>
        <v>448</v>
      </c>
      <c r="Z298" s="838">
        <v>128</v>
      </c>
      <c r="AA298" s="839">
        <v>0</v>
      </c>
      <c r="AB298" s="840">
        <f t="shared" ref="AB298:AB329" si="110">Z298-AA298</f>
        <v>128</v>
      </c>
      <c r="AC298" s="823"/>
      <c r="AD298" s="824"/>
      <c r="AE298" s="825"/>
      <c r="AF298" s="823"/>
      <c r="AG298" s="824"/>
      <c r="AH298" s="825"/>
      <c r="AI298" s="841">
        <f t="shared" ref="AI298:AI329" si="111">T298+W298+Z298+AC298+AF298</f>
        <v>935</v>
      </c>
      <c r="AJ298" s="839">
        <f t="shared" ref="AJ298:AJ329" si="112">U298+X298+AA298+AD298+AG298</f>
        <v>0</v>
      </c>
      <c r="AK298" s="3906">
        <v>0</v>
      </c>
      <c r="AL298" s="869">
        <f t="shared" ref="AL298:AL329" si="113">V298+Y298+AB298+AE298+AH298</f>
        <v>935</v>
      </c>
      <c r="AM298" s="3369" t="s">
        <v>909</v>
      </c>
      <c r="AN298" s="3360">
        <v>43537</v>
      </c>
      <c r="AO298" s="3361" t="s">
        <v>6515</v>
      </c>
      <c r="AP298" s="2722" t="s">
        <v>5807</v>
      </c>
      <c r="AQ298" s="2723">
        <v>1.0247219999999999</v>
      </c>
      <c r="AR298" s="846">
        <f t="shared" ref="AR298:AR314" si="114">ROUND($AQ298/$G298*V298,0)</f>
        <v>364</v>
      </c>
      <c r="AS298" s="847">
        <f t="shared" ref="AS298:AS336" si="115">ROUND($AQ298/$G298*Y298,0)</f>
        <v>454</v>
      </c>
      <c r="AT298" s="847">
        <f t="shared" ref="AT298:AT336" si="116">ROUND($AQ298/$G298*AB298,0)</f>
        <v>130</v>
      </c>
      <c r="AU298" s="848"/>
      <c r="AV298" s="848"/>
      <c r="AW298" s="2872">
        <f t="shared" si="100"/>
        <v>948</v>
      </c>
      <c r="AX298" s="2891"/>
      <c r="BB298" s="267"/>
      <c r="BC298" s="4117">
        <f t="shared" si="107"/>
        <v>0</v>
      </c>
      <c r="BD298" s="4117">
        <f t="shared" si="101"/>
        <v>0</v>
      </c>
    </row>
    <row r="299" spans="1:61" ht="76.5">
      <c r="A299" s="5964" t="s">
        <v>11140</v>
      </c>
      <c r="B299" s="338" t="s">
        <v>6506</v>
      </c>
      <c r="C299" s="321">
        <v>0</v>
      </c>
      <c r="D299" s="323" t="s">
        <v>6508</v>
      </c>
      <c r="E299" s="3051" t="s">
        <v>6385</v>
      </c>
      <c r="F299" s="324" t="s">
        <v>6505</v>
      </c>
      <c r="G299" s="3207">
        <v>114</v>
      </c>
      <c r="H299" s="332" t="s">
        <v>5150</v>
      </c>
      <c r="I299" s="339" t="s">
        <v>5152</v>
      </c>
      <c r="J299" s="322" t="s">
        <v>4306</v>
      </c>
      <c r="K299" s="340">
        <v>43804</v>
      </c>
      <c r="L299" s="339" t="s">
        <v>5157</v>
      </c>
      <c r="M299" s="322" t="s">
        <v>5158</v>
      </c>
      <c r="N299" s="339" t="s">
        <v>5159</v>
      </c>
      <c r="O299" s="332" t="s">
        <v>6249</v>
      </c>
      <c r="P299" s="345" t="s">
        <v>6504</v>
      </c>
      <c r="Q299" s="6094" t="s">
        <v>4878</v>
      </c>
      <c r="R299" s="322" t="s">
        <v>1046</v>
      </c>
      <c r="S299" s="346"/>
      <c r="T299" s="347">
        <v>469</v>
      </c>
      <c r="U299" s="326">
        <v>0</v>
      </c>
      <c r="V299" s="348">
        <f t="shared" si="108"/>
        <v>469</v>
      </c>
      <c r="W299" s="347">
        <v>586</v>
      </c>
      <c r="X299" s="326">
        <v>0</v>
      </c>
      <c r="Y299" s="348">
        <f t="shared" si="109"/>
        <v>586</v>
      </c>
      <c r="Z299" s="347">
        <v>167</v>
      </c>
      <c r="AA299" s="326">
        <v>0</v>
      </c>
      <c r="AB299" s="348">
        <f t="shared" si="110"/>
        <v>167</v>
      </c>
      <c r="AC299" s="820"/>
      <c r="AD299" s="821"/>
      <c r="AE299" s="822"/>
      <c r="AF299" s="820"/>
      <c r="AG299" s="821"/>
      <c r="AH299" s="822"/>
      <c r="AI299" s="482">
        <f t="shared" si="111"/>
        <v>1222</v>
      </c>
      <c r="AJ299" s="326">
        <f t="shared" si="112"/>
        <v>0</v>
      </c>
      <c r="AK299" s="3917">
        <v>0</v>
      </c>
      <c r="AL299" s="349">
        <f t="shared" si="113"/>
        <v>1222</v>
      </c>
      <c r="AM299" s="3369" t="s">
        <v>909</v>
      </c>
      <c r="AN299" s="3360">
        <v>43537</v>
      </c>
      <c r="AO299" s="3361" t="s">
        <v>6516</v>
      </c>
      <c r="AP299" s="1203" t="s">
        <v>6561</v>
      </c>
      <c r="AQ299" s="3223">
        <v>114</v>
      </c>
      <c r="AR299" s="333">
        <f t="shared" si="114"/>
        <v>469</v>
      </c>
      <c r="AS299" s="330">
        <f t="shared" si="115"/>
        <v>586</v>
      </c>
      <c r="AT299" s="330">
        <f t="shared" si="116"/>
        <v>167</v>
      </c>
      <c r="AU299" s="849"/>
      <c r="AV299" s="849"/>
      <c r="AW299" s="3156">
        <f t="shared" si="100"/>
        <v>1222</v>
      </c>
      <c r="AX299" s="3140"/>
      <c r="BB299" s="267"/>
      <c r="BC299" s="4117">
        <f t="shared" si="107"/>
        <v>0</v>
      </c>
      <c r="BD299" s="4117">
        <f t="shared" si="101"/>
        <v>0</v>
      </c>
    </row>
    <row r="300" spans="1:61" ht="63.75">
      <c r="A300" s="2418" t="s">
        <v>11135</v>
      </c>
      <c r="B300" s="338" t="s">
        <v>5713</v>
      </c>
      <c r="C300" s="321">
        <v>0</v>
      </c>
      <c r="D300" s="323">
        <v>43509</v>
      </c>
      <c r="E300" s="3051" t="s">
        <v>6386</v>
      </c>
      <c r="F300" s="324" t="s">
        <v>5757</v>
      </c>
      <c r="G300" s="2621">
        <v>1.0247219999999999</v>
      </c>
      <c r="H300" s="332" t="s">
        <v>6375</v>
      </c>
      <c r="I300" s="339" t="s">
        <v>1433</v>
      </c>
      <c r="J300" s="322" t="s">
        <v>1434</v>
      </c>
      <c r="K300" s="340">
        <v>45701</v>
      </c>
      <c r="L300" s="339" t="s">
        <v>6376</v>
      </c>
      <c r="M300" s="322" t="s">
        <v>6377</v>
      </c>
      <c r="N300" s="339" t="s">
        <v>6378</v>
      </c>
      <c r="O300" s="332" t="s">
        <v>6379</v>
      </c>
      <c r="P300" s="345"/>
      <c r="Q300" s="322" t="s">
        <v>6380</v>
      </c>
      <c r="R300" s="322" t="s">
        <v>6381</v>
      </c>
      <c r="S300" s="346"/>
      <c r="T300" s="347">
        <v>3348</v>
      </c>
      <c r="U300" s="326">
        <v>0</v>
      </c>
      <c r="V300" s="348">
        <f t="shared" si="108"/>
        <v>3348</v>
      </c>
      <c r="W300" s="347">
        <v>4186</v>
      </c>
      <c r="X300" s="326">
        <v>0</v>
      </c>
      <c r="Y300" s="348">
        <f t="shared" si="109"/>
        <v>4186</v>
      </c>
      <c r="Z300" s="347">
        <v>837</v>
      </c>
      <c r="AA300" s="326">
        <v>0</v>
      </c>
      <c r="AB300" s="348">
        <f t="shared" si="110"/>
        <v>837</v>
      </c>
      <c r="AC300" s="820"/>
      <c r="AD300" s="821"/>
      <c r="AE300" s="822"/>
      <c r="AF300" s="820"/>
      <c r="AG300" s="821"/>
      <c r="AH300" s="822"/>
      <c r="AI300" s="482">
        <f t="shared" si="111"/>
        <v>8371</v>
      </c>
      <c r="AJ300" s="326">
        <f t="shared" si="112"/>
        <v>0</v>
      </c>
      <c r="AK300" s="3917">
        <v>0</v>
      </c>
      <c r="AL300" s="349">
        <f t="shared" si="113"/>
        <v>8371</v>
      </c>
      <c r="AM300" s="2002" t="s">
        <v>909</v>
      </c>
      <c r="AN300" s="3357">
        <v>43538</v>
      </c>
      <c r="AO300" s="695" t="s">
        <v>6517</v>
      </c>
      <c r="AP300" s="2722" t="s">
        <v>5807</v>
      </c>
      <c r="AQ300" s="2723">
        <v>1.0247219999999999</v>
      </c>
      <c r="AR300" s="333">
        <f t="shared" si="114"/>
        <v>3348</v>
      </c>
      <c r="AS300" s="330">
        <f t="shared" si="115"/>
        <v>4186</v>
      </c>
      <c r="AT300" s="330">
        <f t="shared" si="116"/>
        <v>837</v>
      </c>
      <c r="AU300" s="849"/>
      <c r="AV300" s="849"/>
      <c r="AW300" s="3156">
        <f t="shared" si="100"/>
        <v>8371</v>
      </c>
      <c r="AX300" s="3140"/>
      <c r="BB300" s="267"/>
      <c r="BC300" s="4117">
        <f t="shared" si="107"/>
        <v>0</v>
      </c>
      <c r="BD300" s="4117">
        <f t="shared" si="101"/>
        <v>0</v>
      </c>
    </row>
    <row r="301" spans="1:61" ht="76.5">
      <c r="A301" s="5964" t="s">
        <v>11141</v>
      </c>
      <c r="B301" s="338" t="s">
        <v>6483</v>
      </c>
      <c r="C301" s="321">
        <v>0</v>
      </c>
      <c r="D301" s="323">
        <v>43045</v>
      </c>
      <c r="E301" s="3051" t="s">
        <v>6385</v>
      </c>
      <c r="F301" s="324" t="s">
        <v>5915</v>
      </c>
      <c r="G301" s="2621">
        <v>1.0119899999999999</v>
      </c>
      <c r="H301" s="332" t="s">
        <v>5058</v>
      </c>
      <c r="I301" s="339" t="s">
        <v>5059</v>
      </c>
      <c r="J301" s="322" t="s">
        <v>4306</v>
      </c>
      <c r="K301" s="340">
        <v>43775</v>
      </c>
      <c r="L301" s="339" t="s">
        <v>5060</v>
      </c>
      <c r="M301" s="322" t="s">
        <v>5061</v>
      </c>
      <c r="N301" s="339" t="s">
        <v>5062</v>
      </c>
      <c r="O301" s="332" t="s">
        <v>6491</v>
      </c>
      <c r="P301" s="345"/>
      <c r="Q301" s="6094" t="s">
        <v>4878</v>
      </c>
      <c r="R301" s="322" t="s">
        <v>1046</v>
      </c>
      <c r="S301" s="346"/>
      <c r="T301" s="347">
        <v>2315</v>
      </c>
      <c r="U301" s="326">
        <v>0</v>
      </c>
      <c r="V301" s="348">
        <f t="shared" si="108"/>
        <v>2315</v>
      </c>
      <c r="W301" s="347">
        <v>2893</v>
      </c>
      <c r="X301" s="326">
        <v>0</v>
      </c>
      <c r="Y301" s="348">
        <f t="shared" si="109"/>
        <v>2893</v>
      </c>
      <c r="Z301" s="347">
        <v>827</v>
      </c>
      <c r="AA301" s="326">
        <v>0</v>
      </c>
      <c r="AB301" s="348">
        <f t="shared" si="110"/>
        <v>827</v>
      </c>
      <c r="AC301" s="820"/>
      <c r="AD301" s="821"/>
      <c r="AE301" s="822"/>
      <c r="AF301" s="820"/>
      <c r="AG301" s="821"/>
      <c r="AH301" s="822"/>
      <c r="AI301" s="482">
        <f t="shared" si="111"/>
        <v>6035</v>
      </c>
      <c r="AJ301" s="326">
        <f t="shared" si="112"/>
        <v>0</v>
      </c>
      <c r="AK301" s="3917">
        <v>0</v>
      </c>
      <c r="AL301" s="349">
        <f t="shared" si="113"/>
        <v>6035</v>
      </c>
      <c r="AM301" s="2002" t="s">
        <v>909</v>
      </c>
      <c r="AN301" s="3357">
        <v>43538</v>
      </c>
      <c r="AO301" s="695" t="s">
        <v>6518</v>
      </c>
      <c r="AP301" s="2722" t="s">
        <v>5807</v>
      </c>
      <c r="AQ301" s="2723">
        <v>1.0247219999999999</v>
      </c>
      <c r="AR301" s="333">
        <f t="shared" si="114"/>
        <v>2344</v>
      </c>
      <c r="AS301" s="330">
        <f t="shared" si="115"/>
        <v>2929</v>
      </c>
      <c r="AT301" s="330">
        <f t="shared" si="116"/>
        <v>837</v>
      </c>
      <c r="AU301" s="849"/>
      <c r="AV301" s="849"/>
      <c r="AW301" s="3156">
        <f t="shared" si="100"/>
        <v>6110</v>
      </c>
      <c r="AX301" s="3140"/>
      <c r="BB301" s="267"/>
      <c r="BC301" s="4117">
        <f t="shared" si="107"/>
        <v>0</v>
      </c>
      <c r="BD301" s="4117">
        <f t="shared" si="101"/>
        <v>0</v>
      </c>
    </row>
    <row r="302" spans="1:61" ht="76.5">
      <c r="A302" s="5964" t="s">
        <v>11141</v>
      </c>
      <c r="B302" s="338" t="s">
        <v>6484</v>
      </c>
      <c r="C302" s="321">
        <v>0</v>
      </c>
      <c r="D302" s="323">
        <v>43074</v>
      </c>
      <c r="E302" s="3051" t="s">
        <v>6385</v>
      </c>
      <c r="F302" s="324" t="s">
        <v>5915</v>
      </c>
      <c r="G302" s="2621">
        <v>1.0119899999999999</v>
      </c>
      <c r="H302" s="332" t="s">
        <v>5149</v>
      </c>
      <c r="I302" s="289" t="s">
        <v>5151</v>
      </c>
      <c r="J302" s="322" t="s">
        <v>5153</v>
      </c>
      <c r="K302" s="340">
        <v>43804</v>
      </c>
      <c r="L302" s="339" t="s">
        <v>5154</v>
      </c>
      <c r="M302" s="322" t="s">
        <v>5155</v>
      </c>
      <c r="N302" s="339" t="s">
        <v>5156</v>
      </c>
      <c r="O302" s="332" t="s">
        <v>6248</v>
      </c>
      <c r="P302" s="345"/>
      <c r="Q302" s="6094" t="s">
        <v>4878</v>
      </c>
      <c r="R302" s="322" t="s">
        <v>1046</v>
      </c>
      <c r="S302" s="346"/>
      <c r="T302" s="347">
        <v>2315</v>
      </c>
      <c r="U302" s="326">
        <v>0</v>
      </c>
      <c r="V302" s="348">
        <f t="shared" si="108"/>
        <v>2315</v>
      </c>
      <c r="W302" s="347">
        <v>2893</v>
      </c>
      <c r="X302" s="326">
        <v>0</v>
      </c>
      <c r="Y302" s="348">
        <f t="shared" si="109"/>
        <v>2893</v>
      </c>
      <c r="Z302" s="347">
        <v>827</v>
      </c>
      <c r="AA302" s="326">
        <v>0</v>
      </c>
      <c r="AB302" s="348">
        <f t="shared" si="110"/>
        <v>827</v>
      </c>
      <c r="AC302" s="820"/>
      <c r="AD302" s="821"/>
      <c r="AE302" s="822"/>
      <c r="AF302" s="820"/>
      <c r="AG302" s="821"/>
      <c r="AH302" s="822"/>
      <c r="AI302" s="482">
        <f t="shared" si="111"/>
        <v>6035</v>
      </c>
      <c r="AJ302" s="326">
        <f t="shared" si="112"/>
        <v>0</v>
      </c>
      <c r="AK302" s="3917">
        <v>0</v>
      </c>
      <c r="AL302" s="349">
        <f t="shared" si="113"/>
        <v>6035</v>
      </c>
      <c r="AM302" s="2002" t="s">
        <v>6519</v>
      </c>
      <c r="AN302" s="3357">
        <v>43539</v>
      </c>
      <c r="AO302" s="695" t="s">
        <v>6520</v>
      </c>
      <c r="AP302" s="2722" t="s">
        <v>5807</v>
      </c>
      <c r="AQ302" s="2723">
        <v>1.0247219999999999</v>
      </c>
      <c r="AR302" s="333">
        <f t="shared" si="114"/>
        <v>2344</v>
      </c>
      <c r="AS302" s="330">
        <f t="shared" si="115"/>
        <v>2929</v>
      </c>
      <c r="AT302" s="330">
        <f t="shared" si="116"/>
        <v>837</v>
      </c>
      <c r="AU302" s="849"/>
      <c r="AV302" s="849"/>
      <c r="AW302" s="3156">
        <f t="shared" si="100"/>
        <v>6110</v>
      </c>
      <c r="AX302" s="3140"/>
      <c r="BB302" s="267"/>
      <c r="BC302" s="4117">
        <f t="shared" si="107"/>
        <v>0</v>
      </c>
      <c r="BD302" s="4117">
        <f t="shared" si="101"/>
        <v>0</v>
      </c>
    </row>
    <row r="303" spans="1:61" ht="76.5">
      <c r="A303" s="5964" t="s">
        <v>11141</v>
      </c>
      <c r="B303" s="338" t="s">
        <v>6487</v>
      </c>
      <c r="C303" s="321">
        <v>0</v>
      </c>
      <c r="D303" s="323">
        <v>43242</v>
      </c>
      <c r="E303" s="3051" t="s">
        <v>6385</v>
      </c>
      <c r="F303" s="324" t="s">
        <v>5915</v>
      </c>
      <c r="G303" s="2621">
        <v>1.0119899999999999</v>
      </c>
      <c r="H303" s="332" t="s">
        <v>6570</v>
      </c>
      <c r="I303" s="339" t="s">
        <v>5536</v>
      </c>
      <c r="J303" s="322" t="s">
        <v>4306</v>
      </c>
      <c r="K303" s="340">
        <v>43973</v>
      </c>
      <c r="L303" s="339" t="s">
        <v>5537</v>
      </c>
      <c r="M303" s="322" t="s">
        <v>5538</v>
      </c>
      <c r="N303" s="339" t="s">
        <v>5539</v>
      </c>
      <c r="O303" s="332" t="s">
        <v>6176</v>
      </c>
      <c r="P303" s="345" t="s">
        <v>5543</v>
      </c>
      <c r="Q303" s="6094" t="s">
        <v>5349</v>
      </c>
      <c r="R303" s="322" t="s">
        <v>5350</v>
      </c>
      <c r="S303" s="346"/>
      <c r="T303" s="347">
        <v>2334</v>
      </c>
      <c r="U303" s="326">
        <v>0</v>
      </c>
      <c r="V303" s="348">
        <f t="shared" si="108"/>
        <v>2334</v>
      </c>
      <c r="W303" s="347">
        <v>2917</v>
      </c>
      <c r="X303" s="326">
        <v>0</v>
      </c>
      <c r="Y303" s="348">
        <f t="shared" si="109"/>
        <v>2917</v>
      </c>
      <c r="Z303" s="347">
        <v>833</v>
      </c>
      <c r="AA303" s="326">
        <v>0</v>
      </c>
      <c r="AB303" s="348">
        <f t="shared" si="110"/>
        <v>833</v>
      </c>
      <c r="AC303" s="820"/>
      <c r="AD303" s="821"/>
      <c r="AE303" s="822"/>
      <c r="AF303" s="820"/>
      <c r="AG303" s="821"/>
      <c r="AH303" s="822"/>
      <c r="AI303" s="482">
        <f t="shared" si="111"/>
        <v>6084</v>
      </c>
      <c r="AJ303" s="326">
        <f t="shared" si="112"/>
        <v>0</v>
      </c>
      <c r="AK303" s="3917">
        <v>0</v>
      </c>
      <c r="AL303" s="349">
        <f t="shared" si="113"/>
        <v>6084</v>
      </c>
      <c r="AM303" s="2002" t="s">
        <v>6521</v>
      </c>
      <c r="AN303" s="3357" t="s">
        <v>6522</v>
      </c>
      <c r="AO303" s="695" t="s">
        <v>6539</v>
      </c>
      <c r="AP303" s="2722" t="s">
        <v>5807</v>
      </c>
      <c r="AQ303" s="2723">
        <v>1.0247219999999999</v>
      </c>
      <c r="AR303" s="333">
        <f t="shared" si="114"/>
        <v>2363</v>
      </c>
      <c r="AS303" s="330">
        <f t="shared" si="115"/>
        <v>2954</v>
      </c>
      <c r="AT303" s="330">
        <f t="shared" si="116"/>
        <v>843</v>
      </c>
      <c r="AU303" s="849"/>
      <c r="AV303" s="849"/>
      <c r="AW303" s="3156">
        <f t="shared" si="100"/>
        <v>6160</v>
      </c>
      <c r="AX303" s="3140"/>
      <c r="BB303" s="267"/>
      <c r="BC303" s="4117">
        <f t="shared" si="107"/>
        <v>0</v>
      </c>
      <c r="BD303" s="4117">
        <f t="shared" si="101"/>
        <v>0</v>
      </c>
    </row>
    <row r="304" spans="1:61" ht="89.25">
      <c r="A304" s="2418" t="s">
        <v>11135</v>
      </c>
      <c r="B304" s="338" t="s">
        <v>6542</v>
      </c>
      <c r="C304" s="321">
        <v>0</v>
      </c>
      <c r="D304" s="323">
        <v>43367</v>
      </c>
      <c r="E304" s="3051" t="s">
        <v>6386</v>
      </c>
      <c r="F304" s="324" t="s">
        <v>5757</v>
      </c>
      <c r="G304" s="2621">
        <v>1.0247219999999999</v>
      </c>
      <c r="H304" s="332" t="s">
        <v>6489</v>
      </c>
      <c r="I304" s="339" t="s">
        <v>5902</v>
      </c>
      <c r="J304" s="322" t="s">
        <v>4306</v>
      </c>
      <c r="K304" s="340">
        <v>44098</v>
      </c>
      <c r="L304" s="339" t="s">
        <v>5903</v>
      </c>
      <c r="M304" s="322" t="s">
        <v>5904</v>
      </c>
      <c r="N304" s="339" t="s">
        <v>5905</v>
      </c>
      <c r="O304" s="332" t="s">
        <v>5906</v>
      </c>
      <c r="P304" s="345"/>
      <c r="Q304" s="6094" t="s">
        <v>5708</v>
      </c>
      <c r="R304" s="322" t="s">
        <v>5350</v>
      </c>
      <c r="S304" s="346"/>
      <c r="T304" s="347">
        <v>2444</v>
      </c>
      <c r="U304" s="326">
        <v>0</v>
      </c>
      <c r="V304" s="348">
        <f t="shared" si="108"/>
        <v>2444</v>
      </c>
      <c r="W304" s="347">
        <v>3056</v>
      </c>
      <c r="X304" s="326">
        <v>0</v>
      </c>
      <c r="Y304" s="348">
        <f t="shared" si="109"/>
        <v>3056</v>
      </c>
      <c r="Z304" s="347">
        <v>611</v>
      </c>
      <c r="AA304" s="326">
        <v>0</v>
      </c>
      <c r="AB304" s="348">
        <f t="shared" si="110"/>
        <v>611</v>
      </c>
      <c r="AC304" s="820"/>
      <c r="AD304" s="821"/>
      <c r="AE304" s="822"/>
      <c r="AF304" s="820"/>
      <c r="AG304" s="821"/>
      <c r="AH304" s="822"/>
      <c r="AI304" s="482">
        <f t="shared" si="111"/>
        <v>6111</v>
      </c>
      <c r="AJ304" s="326">
        <f t="shared" si="112"/>
        <v>0</v>
      </c>
      <c r="AK304" s="3917">
        <v>0</v>
      </c>
      <c r="AL304" s="349">
        <f t="shared" si="113"/>
        <v>6111</v>
      </c>
      <c r="AM304" s="2002" t="s">
        <v>1061</v>
      </c>
      <c r="AN304" s="3357">
        <v>43546</v>
      </c>
      <c r="AO304" s="695" t="s">
        <v>6546</v>
      </c>
      <c r="AP304" s="2722" t="s">
        <v>5807</v>
      </c>
      <c r="AQ304" s="2723">
        <v>1.0247219999999999</v>
      </c>
      <c r="AR304" s="333">
        <f t="shared" si="114"/>
        <v>2444</v>
      </c>
      <c r="AS304" s="330">
        <f t="shared" si="115"/>
        <v>3056</v>
      </c>
      <c r="AT304" s="330">
        <f t="shared" si="116"/>
        <v>611</v>
      </c>
      <c r="AU304" s="849"/>
      <c r="AV304" s="849"/>
      <c r="AW304" s="3156">
        <f t="shared" si="100"/>
        <v>6111</v>
      </c>
      <c r="AX304" s="3140"/>
      <c r="BB304" s="267"/>
      <c r="BC304" s="4117">
        <f t="shared" si="107"/>
        <v>0</v>
      </c>
      <c r="BD304" s="4117">
        <f t="shared" si="101"/>
        <v>0</v>
      </c>
    </row>
    <row r="305" spans="1:56" ht="38.25">
      <c r="A305" s="2418" t="s">
        <v>11135</v>
      </c>
      <c r="B305" s="338" t="s">
        <v>3958</v>
      </c>
      <c r="C305" s="321">
        <v>0</v>
      </c>
      <c r="D305" s="323">
        <v>42901</v>
      </c>
      <c r="E305" s="3051" t="s">
        <v>6385</v>
      </c>
      <c r="F305" s="324" t="s">
        <v>4154</v>
      </c>
      <c r="G305" s="2621">
        <v>1.0111000000000001</v>
      </c>
      <c r="H305" s="332" t="s">
        <v>4699</v>
      </c>
      <c r="I305" s="339" t="s">
        <v>1436</v>
      </c>
      <c r="J305" s="322" t="s">
        <v>1437</v>
      </c>
      <c r="K305" s="340">
        <v>44362</v>
      </c>
      <c r="L305" s="339" t="s">
        <v>4700</v>
      </c>
      <c r="M305" s="322" t="s">
        <v>1957</v>
      </c>
      <c r="N305" s="339" t="s">
        <v>6540</v>
      </c>
      <c r="O305" s="332" t="s">
        <v>6235</v>
      </c>
      <c r="P305" s="345"/>
      <c r="Q305" s="322" t="s">
        <v>4701</v>
      </c>
      <c r="R305" s="322" t="s">
        <v>939</v>
      </c>
      <c r="S305" s="346"/>
      <c r="T305" s="347">
        <v>6794</v>
      </c>
      <c r="U305" s="326">
        <v>0</v>
      </c>
      <c r="V305" s="348">
        <f t="shared" si="108"/>
        <v>6794</v>
      </c>
      <c r="W305" s="347">
        <v>8493</v>
      </c>
      <c r="X305" s="326">
        <v>0</v>
      </c>
      <c r="Y305" s="348">
        <f t="shared" si="109"/>
        <v>8493</v>
      </c>
      <c r="Z305" s="347">
        <v>1699</v>
      </c>
      <c r="AA305" s="326">
        <v>0</v>
      </c>
      <c r="AB305" s="348">
        <f t="shared" si="110"/>
        <v>1699</v>
      </c>
      <c r="AC305" s="820"/>
      <c r="AD305" s="821"/>
      <c r="AE305" s="822"/>
      <c r="AF305" s="820"/>
      <c r="AG305" s="821"/>
      <c r="AH305" s="822"/>
      <c r="AI305" s="482">
        <f t="shared" si="111"/>
        <v>16986</v>
      </c>
      <c r="AJ305" s="326">
        <f t="shared" si="112"/>
        <v>0</v>
      </c>
      <c r="AK305" s="3917">
        <v>0</v>
      </c>
      <c r="AL305" s="349">
        <f t="shared" si="113"/>
        <v>16986</v>
      </c>
      <c r="AM305" s="2002" t="s">
        <v>1061</v>
      </c>
      <c r="AN305" s="3357">
        <v>43546</v>
      </c>
      <c r="AO305" s="695" t="s">
        <v>6547</v>
      </c>
      <c r="AP305" s="2722" t="s">
        <v>5807</v>
      </c>
      <c r="AQ305" s="2723">
        <v>1.0247219999999999</v>
      </c>
      <c r="AR305" s="333">
        <f t="shared" si="114"/>
        <v>6886</v>
      </c>
      <c r="AS305" s="330">
        <f t="shared" si="115"/>
        <v>8607</v>
      </c>
      <c r="AT305" s="330">
        <f t="shared" si="116"/>
        <v>1722</v>
      </c>
      <c r="AU305" s="849"/>
      <c r="AV305" s="849"/>
      <c r="AW305" s="3156">
        <f t="shared" si="100"/>
        <v>17215</v>
      </c>
      <c r="AX305" s="3140"/>
      <c r="BB305" s="267"/>
      <c r="BC305" s="4117">
        <f t="shared" si="107"/>
        <v>0</v>
      </c>
      <c r="BD305" s="4117">
        <f t="shared" si="101"/>
        <v>0</v>
      </c>
    </row>
    <row r="306" spans="1:56" ht="63.75">
      <c r="A306" s="2418" t="s">
        <v>11135</v>
      </c>
      <c r="B306" s="1569" t="s">
        <v>4250</v>
      </c>
      <c r="C306" s="1570">
        <v>1</v>
      </c>
      <c r="D306" s="1571" t="s">
        <v>4253</v>
      </c>
      <c r="E306" s="3057" t="s">
        <v>6385</v>
      </c>
      <c r="F306" s="1572" t="s">
        <v>4154</v>
      </c>
      <c r="G306" s="2622">
        <v>1.0111000000000001</v>
      </c>
      <c r="H306" s="1573" t="s">
        <v>4236</v>
      </c>
      <c r="I306" s="339" t="s">
        <v>1433</v>
      </c>
      <c r="J306" s="322" t="s">
        <v>1434</v>
      </c>
      <c r="K306" s="340">
        <v>44184</v>
      </c>
      <c r="L306" s="1574" t="s">
        <v>4237</v>
      </c>
      <c r="M306" s="322" t="s">
        <v>3621</v>
      </c>
      <c r="N306" s="339" t="s">
        <v>4238</v>
      </c>
      <c r="O306" s="332" t="s">
        <v>6219</v>
      </c>
      <c r="P306" s="345" t="s">
        <v>7269</v>
      </c>
      <c r="Q306" s="322" t="s">
        <v>4239</v>
      </c>
      <c r="R306" s="322" t="s">
        <v>4249</v>
      </c>
      <c r="S306" s="1576" t="s">
        <v>3476</v>
      </c>
      <c r="T306" s="347">
        <v>29628</v>
      </c>
      <c r="U306" s="326">
        <v>29628</v>
      </c>
      <c r="V306" s="348">
        <f t="shared" si="108"/>
        <v>0</v>
      </c>
      <c r="W306" s="347">
        <v>-2066</v>
      </c>
      <c r="X306" s="326">
        <v>-2066</v>
      </c>
      <c r="Y306" s="348">
        <f t="shared" si="109"/>
        <v>0</v>
      </c>
      <c r="Z306" s="347">
        <v>9262</v>
      </c>
      <c r="AA306" s="326">
        <v>9262</v>
      </c>
      <c r="AB306" s="348">
        <f t="shared" si="110"/>
        <v>0</v>
      </c>
      <c r="AC306" s="820"/>
      <c r="AD306" s="821"/>
      <c r="AE306" s="822"/>
      <c r="AF306" s="820"/>
      <c r="AG306" s="821"/>
      <c r="AH306" s="822"/>
      <c r="AI306" s="482">
        <f t="shared" si="111"/>
        <v>36824</v>
      </c>
      <c r="AJ306" s="326">
        <f t="shared" si="112"/>
        <v>36824</v>
      </c>
      <c r="AK306" s="3899"/>
      <c r="AL306" s="349">
        <f t="shared" si="113"/>
        <v>0</v>
      </c>
      <c r="AM306" s="337" t="s">
        <v>7275</v>
      </c>
      <c r="AN306" s="327"/>
      <c r="AO306" s="328"/>
      <c r="AP306" s="2722" t="s">
        <v>5807</v>
      </c>
      <c r="AQ306" s="2723">
        <v>1.0247219999999999</v>
      </c>
      <c r="AR306" s="333">
        <f t="shared" si="114"/>
        <v>0</v>
      </c>
      <c r="AS306" s="330">
        <f t="shared" si="115"/>
        <v>0</v>
      </c>
      <c r="AT306" s="330">
        <f t="shared" si="116"/>
        <v>0</v>
      </c>
      <c r="AU306" s="849"/>
      <c r="AV306" s="849"/>
      <c r="AW306" s="3156">
        <f t="shared" si="100"/>
        <v>0</v>
      </c>
      <c r="AX306" s="3140"/>
      <c r="BA306" s="267"/>
      <c r="BB306" s="267"/>
      <c r="BC306" s="4117">
        <f t="shared" si="107"/>
        <v>37320</v>
      </c>
      <c r="BD306" s="4117">
        <f t="shared" si="101"/>
        <v>0</v>
      </c>
    </row>
    <row r="307" spans="1:56" ht="89.25">
      <c r="A307" s="5964" t="s">
        <v>11141</v>
      </c>
      <c r="B307" s="338" t="s">
        <v>6492</v>
      </c>
      <c r="C307" s="321">
        <v>0</v>
      </c>
      <c r="D307" s="323">
        <v>43131</v>
      </c>
      <c r="E307" s="3051" t="s">
        <v>6385</v>
      </c>
      <c r="F307" s="324" t="s">
        <v>5915</v>
      </c>
      <c r="G307" s="2621">
        <v>1.0119899999999999</v>
      </c>
      <c r="H307" s="332" t="s">
        <v>6485</v>
      </c>
      <c r="I307" s="2398" t="s">
        <v>5127</v>
      </c>
      <c r="J307" s="2399" t="s">
        <v>4306</v>
      </c>
      <c r="K307" s="2400">
        <v>43860</v>
      </c>
      <c r="L307" s="339" t="s">
        <v>5260</v>
      </c>
      <c r="M307" s="322" t="s">
        <v>5261</v>
      </c>
      <c r="N307" s="339" t="s">
        <v>5262</v>
      </c>
      <c r="O307" s="332" t="s">
        <v>6276</v>
      </c>
      <c r="P307" s="345"/>
      <c r="Q307" s="6094" t="s">
        <v>4878</v>
      </c>
      <c r="R307" s="322" t="s">
        <v>1046</v>
      </c>
      <c r="S307" s="346"/>
      <c r="T307" s="347">
        <v>2331</v>
      </c>
      <c r="U307" s="326">
        <v>0</v>
      </c>
      <c r="V307" s="348">
        <f t="shared" si="108"/>
        <v>2331</v>
      </c>
      <c r="W307" s="347">
        <v>2914</v>
      </c>
      <c r="X307" s="326">
        <v>0</v>
      </c>
      <c r="Y307" s="348">
        <f t="shared" si="109"/>
        <v>2914</v>
      </c>
      <c r="Z307" s="347">
        <v>833</v>
      </c>
      <c r="AA307" s="326">
        <v>0</v>
      </c>
      <c r="AB307" s="348">
        <f t="shared" si="110"/>
        <v>833</v>
      </c>
      <c r="AC307" s="820"/>
      <c r="AD307" s="821"/>
      <c r="AE307" s="822"/>
      <c r="AF307" s="820"/>
      <c r="AG307" s="821"/>
      <c r="AH307" s="822"/>
      <c r="AI307" s="482">
        <f t="shared" si="111"/>
        <v>6078</v>
      </c>
      <c r="AJ307" s="326">
        <f t="shared" si="112"/>
        <v>0</v>
      </c>
      <c r="AK307" s="3917">
        <v>0</v>
      </c>
      <c r="AL307" s="349">
        <f t="shared" si="113"/>
        <v>6078</v>
      </c>
      <c r="AM307" s="2002" t="s">
        <v>1061</v>
      </c>
      <c r="AN307" s="3357">
        <v>43549</v>
      </c>
      <c r="AO307" s="695" t="s">
        <v>6551</v>
      </c>
      <c r="AP307" s="2722" t="s">
        <v>5807</v>
      </c>
      <c r="AQ307" s="2723">
        <v>1.0247219999999999</v>
      </c>
      <c r="AR307" s="333">
        <f t="shared" si="114"/>
        <v>2360</v>
      </c>
      <c r="AS307" s="330">
        <f t="shared" si="115"/>
        <v>2951</v>
      </c>
      <c r="AT307" s="330">
        <f t="shared" si="116"/>
        <v>843</v>
      </c>
      <c r="AU307" s="849"/>
      <c r="AV307" s="849"/>
      <c r="AW307" s="3156">
        <f t="shared" si="100"/>
        <v>6154</v>
      </c>
      <c r="AX307" s="3140"/>
      <c r="BB307" s="267"/>
      <c r="BC307" s="4117">
        <f t="shared" si="107"/>
        <v>0</v>
      </c>
      <c r="BD307" s="4117">
        <f t="shared" si="101"/>
        <v>0</v>
      </c>
    </row>
    <row r="308" spans="1:56" ht="76.5">
      <c r="A308" s="2418" t="s">
        <v>11135</v>
      </c>
      <c r="B308" s="338" t="s">
        <v>6499</v>
      </c>
      <c r="C308" s="321">
        <v>0</v>
      </c>
      <c r="D308" s="323">
        <v>42117</v>
      </c>
      <c r="E308" s="829" t="s">
        <v>6387</v>
      </c>
      <c r="F308" s="830" t="s">
        <v>4932</v>
      </c>
      <c r="G308" s="2621">
        <v>1</v>
      </c>
      <c r="H308" s="332" t="s">
        <v>3038</v>
      </c>
      <c r="I308" s="339" t="s">
        <v>1433</v>
      </c>
      <c r="J308" s="322" t="s">
        <v>1434</v>
      </c>
      <c r="K308" s="3220" t="s">
        <v>4367</v>
      </c>
      <c r="L308" s="339" t="s">
        <v>3039</v>
      </c>
      <c r="M308" s="322" t="s">
        <v>3040</v>
      </c>
      <c r="N308" s="339" t="s">
        <v>3041</v>
      </c>
      <c r="O308" s="332" t="s">
        <v>6185</v>
      </c>
      <c r="P308" s="345"/>
      <c r="Q308" s="322" t="s">
        <v>3042</v>
      </c>
      <c r="R308" s="322" t="s">
        <v>3043</v>
      </c>
      <c r="S308" s="346"/>
      <c r="T308" s="347">
        <v>2341</v>
      </c>
      <c r="U308" s="326">
        <v>0</v>
      </c>
      <c r="V308" s="348">
        <f t="shared" si="108"/>
        <v>2341</v>
      </c>
      <c r="W308" s="347">
        <v>413</v>
      </c>
      <c r="X308" s="326">
        <v>0</v>
      </c>
      <c r="Y308" s="348">
        <f t="shared" si="109"/>
        <v>413</v>
      </c>
      <c r="Z308" s="347">
        <v>0</v>
      </c>
      <c r="AA308" s="326">
        <v>0</v>
      </c>
      <c r="AB308" s="348">
        <f t="shared" si="110"/>
        <v>0</v>
      </c>
      <c r="AC308" s="820"/>
      <c r="AD308" s="821"/>
      <c r="AE308" s="822"/>
      <c r="AF308" s="820"/>
      <c r="AG308" s="821"/>
      <c r="AH308" s="822"/>
      <c r="AI308" s="482">
        <f t="shared" si="111"/>
        <v>2754</v>
      </c>
      <c r="AJ308" s="326">
        <f t="shared" si="112"/>
        <v>0</v>
      </c>
      <c r="AK308" s="3917">
        <v>0</v>
      </c>
      <c r="AL308" s="349">
        <f t="shared" si="113"/>
        <v>2754</v>
      </c>
      <c r="AM308" s="2002" t="s">
        <v>1061</v>
      </c>
      <c r="AN308" s="3357">
        <v>43552</v>
      </c>
      <c r="AO308" s="695" t="s">
        <v>6583</v>
      </c>
      <c r="AP308" s="2722" t="s">
        <v>5807</v>
      </c>
      <c r="AQ308" s="2723">
        <v>1.0247219999999999</v>
      </c>
      <c r="AR308" s="333">
        <f t="shared" si="114"/>
        <v>2399</v>
      </c>
      <c r="AS308" s="330">
        <f t="shared" si="115"/>
        <v>423</v>
      </c>
      <c r="AT308" s="330">
        <f t="shared" si="116"/>
        <v>0</v>
      </c>
      <c r="AU308" s="849"/>
      <c r="AV308" s="849"/>
      <c r="AW308" s="3221">
        <f t="shared" si="100"/>
        <v>2822</v>
      </c>
      <c r="AX308" s="3140"/>
      <c r="BB308" s="267"/>
      <c r="BC308" s="4117">
        <f t="shared" si="107"/>
        <v>0</v>
      </c>
      <c r="BD308" s="4117">
        <f t="shared" si="101"/>
        <v>0</v>
      </c>
    </row>
    <row r="309" spans="1:56" ht="76.5">
      <c r="A309" s="5964" t="s">
        <v>11140</v>
      </c>
      <c r="B309" s="338" t="s">
        <v>6565</v>
      </c>
      <c r="C309" s="321">
        <v>0</v>
      </c>
      <c r="D309" s="323" t="s">
        <v>6545</v>
      </c>
      <c r="E309" s="3051" t="s">
        <v>6385</v>
      </c>
      <c r="F309" s="1203" t="s">
        <v>6544</v>
      </c>
      <c r="G309" s="2669">
        <v>114</v>
      </c>
      <c r="H309" s="332" t="s">
        <v>4685</v>
      </c>
      <c r="I309" s="339" t="s">
        <v>4686</v>
      </c>
      <c r="J309" s="322" t="s">
        <v>4306</v>
      </c>
      <c r="K309" s="340">
        <v>43635</v>
      </c>
      <c r="L309" s="339" t="s">
        <v>4687</v>
      </c>
      <c r="M309" s="322" t="s">
        <v>4688</v>
      </c>
      <c r="N309" s="339" t="s">
        <v>4689</v>
      </c>
      <c r="O309" s="332" t="s">
        <v>6234</v>
      </c>
      <c r="P309" s="345" t="s">
        <v>6566</v>
      </c>
      <c r="Q309" s="6094" t="s">
        <v>4332</v>
      </c>
      <c r="R309" s="322" t="s">
        <v>1046</v>
      </c>
      <c r="S309" s="346"/>
      <c r="T309" s="347">
        <v>465</v>
      </c>
      <c r="U309" s="326">
        <v>0</v>
      </c>
      <c r="V309" s="348">
        <f t="shared" si="108"/>
        <v>465</v>
      </c>
      <c r="W309" s="347">
        <v>582</v>
      </c>
      <c r="X309" s="326">
        <v>0</v>
      </c>
      <c r="Y309" s="348">
        <f t="shared" si="109"/>
        <v>582</v>
      </c>
      <c r="Z309" s="347">
        <v>166</v>
      </c>
      <c r="AA309" s="326">
        <v>0</v>
      </c>
      <c r="AB309" s="348">
        <f t="shared" si="110"/>
        <v>166</v>
      </c>
      <c r="AC309" s="820"/>
      <c r="AD309" s="821"/>
      <c r="AE309" s="822"/>
      <c r="AF309" s="820"/>
      <c r="AG309" s="821"/>
      <c r="AH309" s="822"/>
      <c r="AI309" s="482">
        <f t="shared" si="111"/>
        <v>1213</v>
      </c>
      <c r="AJ309" s="326">
        <f t="shared" si="112"/>
        <v>0</v>
      </c>
      <c r="AK309" s="3917">
        <v>0</v>
      </c>
      <c r="AL309" s="349">
        <f t="shared" si="113"/>
        <v>1213</v>
      </c>
      <c r="AM309" s="2002" t="s">
        <v>1061</v>
      </c>
      <c r="AN309" s="3357">
        <v>43552</v>
      </c>
      <c r="AO309" s="695" t="s">
        <v>6584</v>
      </c>
      <c r="AP309" s="3222" t="s">
        <v>6543</v>
      </c>
      <c r="AQ309" s="3223">
        <v>114</v>
      </c>
      <c r="AR309" s="333">
        <f t="shared" si="114"/>
        <v>465</v>
      </c>
      <c r="AS309" s="330">
        <f t="shared" si="115"/>
        <v>582</v>
      </c>
      <c r="AT309" s="330">
        <f t="shared" si="116"/>
        <v>166</v>
      </c>
      <c r="AU309" s="849"/>
      <c r="AV309" s="849"/>
      <c r="AW309" s="3156">
        <f t="shared" si="100"/>
        <v>1213</v>
      </c>
      <c r="AX309" s="3140"/>
      <c r="BB309" s="267"/>
      <c r="BC309" s="4117">
        <f t="shared" si="107"/>
        <v>0</v>
      </c>
      <c r="BD309" s="4117">
        <f t="shared" si="101"/>
        <v>0</v>
      </c>
    </row>
    <row r="310" spans="1:56" ht="76.5">
      <c r="A310" s="5964" t="s">
        <v>11140</v>
      </c>
      <c r="B310" s="338" t="s">
        <v>6513</v>
      </c>
      <c r="C310" s="321">
        <v>0</v>
      </c>
      <c r="D310" s="323">
        <v>42837</v>
      </c>
      <c r="E310" s="3051" t="s">
        <v>6385</v>
      </c>
      <c r="F310" s="324" t="s">
        <v>6512</v>
      </c>
      <c r="G310" s="3207">
        <v>114</v>
      </c>
      <c r="H310" s="332" t="s">
        <v>6480</v>
      </c>
      <c r="I310" s="339" t="s">
        <v>4507</v>
      </c>
      <c r="J310" s="322" t="s">
        <v>4306</v>
      </c>
      <c r="K310" s="340">
        <v>43567</v>
      </c>
      <c r="L310" s="339" t="s">
        <v>4508</v>
      </c>
      <c r="M310" s="322" t="s">
        <v>3899</v>
      </c>
      <c r="N310" s="339" t="s">
        <v>4509</v>
      </c>
      <c r="O310" s="332" t="s">
        <v>6229</v>
      </c>
      <c r="P310" s="345" t="s">
        <v>6511</v>
      </c>
      <c r="Q310" s="6094" t="s">
        <v>4332</v>
      </c>
      <c r="R310" s="322" t="s">
        <v>1046</v>
      </c>
      <c r="S310" s="346"/>
      <c r="T310" s="347">
        <v>464</v>
      </c>
      <c r="U310" s="326">
        <v>0</v>
      </c>
      <c r="V310" s="348">
        <f t="shared" si="108"/>
        <v>464</v>
      </c>
      <c r="W310" s="347">
        <v>580</v>
      </c>
      <c r="X310" s="326">
        <v>0</v>
      </c>
      <c r="Y310" s="348">
        <f t="shared" si="109"/>
        <v>580</v>
      </c>
      <c r="Z310" s="347">
        <v>166</v>
      </c>
      <c r="AA310" s="326">
        <v>0</v>
      </c>
      <c r="AB310" s="348">
        <f t="shared" si="110"/>
        <v>166</v>
      </c>
      <c r="AC310" s="820"/>
      <c r="AD310" s="821"/>
      <c r="AE310" s="822"/>
      <c r="AF310" s="820"/>
      <c r="AG310" s="821"/>
      <c r="AH310" s="822"/>
      <c r="AI310" s="482">
        <f t="shared" si="111"/>
        <v>1210</v>
      </c>
      <c r="AJ310" s="326">
        <f t="shared" si="112"/>
        <v>0</v>
      </c>
      <c r="AK310" s="3917">
        <v>0</v>
      </c>
      <c r="AL310" s="349">
        <f t="shared" si="113"/>
        <v>1210</v>
      </c>
      <c r="AM310" s="2002" t="s">
        <v>1061</v>
      </c>
      <c r="AN310" s="3357">
        <v>43552</v>
      </c>
      <c r="AO310" s="695" t="s">
        <v>6585</v>
      </c>
      <c r="AP310" s="1203" t="s">
        <v>6561</v>
      </c>
      <c r="AQ310" s="3223">
        <v>114</v>
      </c>
      <c r="AR310" s="333">
        <f t="shared" si="114"/>
        <v>464</v>
      </c>
      <c r="AS310" s="330">
        <f t="shared" si="115"/>
        <v>580</v>
      </c>
      <c r="AT310" s="330">
        <f t="shared" si="116"/>
        <v>166</v>
      </c>
      <c r="AU310" s="849"/>
      <c r="AV310" s="849"/>
      <c r="AW310" s="3156">
        <f t="shared" si="100"/>
        <v>1210</v>
      </c>
      <c r="AX310" s="3140"/>
      <c r="BB310" s="267"/>
      <c r="BC310" s="4117">
        <f t="shared" si="107"/>
        <v>0</v>
      </c>
      <c r="BD310" s="4117">
        <f t="shared" si="101"/>
        <v>0</v>
      </c>
    </row>
    <row r="311" spans="1:56" ht="76.5">
      <c r="A311" s="2418" t="s">
        <v>11135</v>
      </c>
      <c r="B311" s="338" t="s">
        <v>5712</v>
      </c>
      <c r="C311" s="321">
        <v>0</v>
      </c>
      <c r="D311" s="323">
        <v>43507</v>
      </c>
      <c r="E311" s="3051" t="s">
        <v>6386</v>
      </c>
      <c r="F311" s="324" t="s">
        <v>5757</v>
      </c>
      <c r="G311" s="2621">
        <v>1.0247219999999999</v>
      </c>
      <c r="H311" s="332" t="s">
        <v>6277</v>
      </c>
      <c r="I311" s="339" t="s">
        <v>6283</v>
      </c>
      <c r="J311" s="322" t="s">
        <v>4306</v>
      </c>
      <c r="K311" s="340">
        <v>44238</v>
      </c>
      <c r="L311" s="339" t="s">
        <v>6278</v>
      </c>
      <c r="M311" s="322" t="s">
        <v>6279</v>
      </c>
      <c r="N311" s="339" t="s">
        <v>6280</v>
      </c>
      <c r="O311" s="332" t="s">
        <v>6288</v>
      </c>
      <c r="P311" s="345"/>
      <c r="Q311" s="6094" t="s">
        <v>5708</v>
      </c>
      <c r="R311" s="322" t="s">
        <v>5350</v>
      </c>
      <c r="S311" s="346"/>
      <c r="T311" s="347">
        <v>2444</v>
      </c>
      <c r="U311" s="326">
        <v>0</v>
      </c>
      <c r="V311" s="348">
        <f t="shared" si="108"/>
        <v>2444</v>
      </c>
      <c r="W311" s="347">
        <v>3056</v>
      </c>
      <c r="X311" s="326">
        <v>0</v>
      </c>
      <c r="Y311" s="348">
        <f t="shared" si="109"/>
        <v>3056</v>
      </c>
      <c r="Z311" s="347">
        <v>611</v>
      </c>
      <c r="AA311" s="326">
        <v>0</v>
      </c>
      <c r="AB311" s="348">
        <f t="shared" si="110"/>
        <v>611</v>
      </c>
      <c r="AC311" s="820"/>
      <c r="AD311" s="821"/>
      <c r="AE311" s="822"/>
      <c r="AF311" s="820"/>
      <c r="AG311" s="821"/>
      <c r="AH311" s="822"/>
      <c r="AI311" s="482">
        <f t="shared" si="111"/>
        <v>6111</v>
      </c>
      <c r="AJ311" s="326">
        <f t="shared" si="112"/>
        <v>0</v>
      </c>
      <c r="AK311" s="3917">
        <v>0</v>
      </c>
      <c r="AL311" s="349">
        <f t="shared" si="113"/>
        <v>6111</v>
      </c>
      <c r="AM311" s="2002" t="s">
        <v>909</v>
      </c>
      <c r="AN311" s="3357">
        <v>43552</v>
      </c>
      <c r="AO311" s="695" t="s">
        <v>6586</v>
      </c>
      <c r="AP311" s="2722" t="s">
        <v>5807</v>
      </c>
      <c r="AQ311" s="2723">
        <v>1.0247219999999999</v>
      </c>
      <c r="AR311" s="333">
        <f t="shared" si="114"/>
        <v>2444</v>
      </c>
      <c r="AS311" s="330">
        <f t="shared" si="115"/>
        <v>3056</v>
      </c>
      <c r="AT311" s="330">
        <f t="shared" si="116"/>
        <v>611</v>
      </c>
      <c r="AU311" s="849"/>
      <c r="AV311" s="849"/>
      <c r="AW311" s="3156">
        <f t="shared" si="100"/>
        <v>6111</v>
      </c>
      <c r="AX311" s="3140"/>
      <c r="BB311" s="267"/>
      <c r="BC311" s="4117">
        <f t="shared" si="107"/>
        <v>0</v>
      </c>
      <c r="BD311" s="4117">
        <f t="shared" si="101"/>
        <v>0</v>
      </c>
    </row>
    <row r="312" spans="1:56" ht="76.5">
      <c r="A312" s="2418" t="s">
        <v>11135</v>
      </c>
      <c r="B312" s="338" t="s">
        <v>5711</v>
      </c>
      <c r="C312" s="321">
        <v>0</v>
      </c>
      <c r="D312" s="323">
        <v>43494</v>
      </c>
      <c r="E312" s="3051" t="s">
        <v>6386</v>
      </c>
      <c r="F312" s="324" t="s">
        <v>5757</v>
      </c>
      <c r="G312" s="2621">
        <v>1.0247219999999999</v>
      </c>
      <c r="H312" s="332" t="s">
        <v>6159</v>
      </c>
      <c r="I312" s="339" t="s">
        <v>6282</v>
      </c>
      <c r="J312" s="322" t="s">
        <v>4306</v>
      </c>
      <c r="K312" s="340">
        <v>44225</v>
      </c>
      <c r="L312" s="339" t="s">
        <v>313</v>
      </c>
      <c r="M312" s="322" t="s">
        <v>6078</v>
      </c>
      <c r="N312" s="339" t="s">
        <v>6160</v>
      </c>
      <c r="O312" s="332" t="s">
        <v>6161</v>
      </c>
      <c r="P312" s="345"/>
      <c r="Q312" s="6094" t="s">
        <v>5708</v>
      </c>
      <c r="R312" s="322" t="s">
        <v>5350</v>
      </c>
      <c r="S312" s="346" t="s">
        <v>5972</v>
      </c>
      <c r="T312" s="347">
        <v>2444</v>
      </c>
      <c r="U312" s="326">
        <v>0</v>
      </c>
      <c r="V312" s="348">
        <f t="shared" si="108"/>
        <v>2444</v>
      </c>
      <c r="W312" s="347">
        <v>3056</v>
      </c>
      <c r="X312" s="326">
        <v>0</v>
      </c>
      <c r="Y312" s="348">
        <f t="shared" si="109"/>
        <v>3056</v>
      </c>
      <c r="Z312" s="347">
        <v>0</v>
      </c>
      <c r="AA312" s="326">
        <v>0</v>
      </c>
      <c r="AB312" s="348">
        <f t="shared" si="110"/>
        <v>0</v>
      </c>
      <c r="AC312" s="820"/>
      <c r="AD312" s="821"/>
      <c r="AE312" s="822"/>
      <c r="AF312" s="820"/>
      <c r="AG312" s="821"/>
      <c r="AH312" s="822"/>
      <c r="AI312" s="482">
        <f t="shared" si="111"/>
        <v>5500</v>
      </c>
      <c r="AJ312" s="326">
        <f t="shared" si="112"/>
        <v>0</v>
      </c>
      <c r="AK312" s="3917">
        <v>0</v>
      </c>
      <c r="AL312" s="349">
        <f t="shared" si="113"/>
        <v>5500</v>
      </c>
      <c r="AM312" s="2002" t="s">
        <v>909</v>
      </c>
      <c r="AN312" s="3357">
        <v>43552</v>
      </c>
      <c r="AO312" s="695" t="s">
        <v>6587</v>
      </c>
      <c r="AP312" s="2722" t="s">
        <v>5807</v>
      </c>
      <c r="AQ312" s="2723">
        <v>1.0247219999999999</v>
      </c>
      <c r="AR312" s="333">
        <f t="shared" si="114"/>
        <v>2444</v>
      </c>
      <c r="AS312" s="330">
        <f t="shared" si="115"/>
        <v>3056</v>
      </c>
      <c r="AT312" s="330">
        <f t="shared" si="116"/>
        <v>0</v>
      </c>
      <c r="AU312" s="849"/>
      <c r="AV312" s="849"/>
      <c r="AW312" s="3156">
        <f t="shared" si="100"/>
        <v>5500</v>
      </c>
      <c r="AX312" s="3140"/>
      <c r="BB312" s="267"/>
      <c r="BC312" s="4117">
        <f t="shared" si="107"/>
        <v>0</v>
      </c>
      <c r="BD312" s="4117">
        <f t="shared" si="101"/>
        <v>0</v>
      </c>
    </row>
    <row r="313" spans="1:56" ht="76.5">
      <c r="A313" s="2418" t="s">
        <v>11135</v>
      </c>
      <c r="B313" s="338" t="s">
        <v>5716</v>
      </c>
      <c r="C313" s="321">
        <v>0</v>
      </c>
      <c r="D313" s="323">
        <v>43543</v>
      </c>
      <c r="E313" s="3051" t="s">
        <v>6386</v>
      </c>
      <c r="F313" s="324" t="s">
        <v>5757</v>
      </c>
      <c r="G313" s="2621">
        <v>1.0247219999999999</v>
      </c>
      <c r="H313" s="332" t="s">
        <v>6524</v>
      </c>
      <c r="I313" s="339" t="s">
        <v>6527</v>
      </c>
      <c r="J313" s="322" t="s">
        <v>4306</v>
      </c>
      <c r="K313" s="340">
        <v>44274</v>
      </c>
      <c r="L313" s="339" t="s">
        <v>6529</v>
      </c>
      <c r="M313" s="322" t="s">
        <v>6530</v>
      </c>
      <c r="N313" s="339" t="s">
        <v>6535</v>
      </c>
      <c r="O313" s="332" t="s">
        <v>6536</v>
      </c>
      <c r="P313" s="345"/>
      <c r="Q313" s="6094" t="s">
        <v>5708</v>
      </c>
      <c r="R313" s="322" t="s">
        <v>5350</v>
      </c>
      <c r="S313" s="346"/>
      <c r="T313" s="347">
        <v>2444</v>
      </c>
      <c r="U313" s="326">
        <v>0</v>
      </c>
      <c r="V313" s="348">
        <f t="shared" si="108"/>
        <v>2444</v>
      </c>
      <c r="W313" s="347">
        <v>3056</v>
      </c>
      <c r="X313" s="326">
        <v>0</v>
      </c>
      <c r="Y313" s="348">
        <f t="shared" si="109"/>
        <v>3056</v>
      </c>
      <c r="Z313" s="347">
        <v>611</v>
      </c>
      <c r="AA313" s="326">
        <v>0</v>
      </c>
      <c r="AB313" s="348">
        <f t="shared" si="110"/>
        <v>611</v>
      </c>
      <c r="AC313" s="820"/>
      <c r="AD313" s="821"/>
      <c r="AE313" s="822"/>
      <c r="AF313" s="820"/>
      <c r="AG313" s="821"/>
      <c r="AH313" s="822"/>
      <c r="AI313" s="482">
        <f t="shared" si="111"/>
        <v>6111</v>
      </c>
      <c r="AJ313" s="326">
        <f t="shared" si="112"/>
        <v>0</v>
      </c>
      <c r="AK313" s="3917">
        <v>0</v>
      </c>
      <c r="AL313" s="349">
        <f t="shared" si="113"/>
        <v>6111</v>
      </c>
      <c r="AM313" s="2002" t="s">
        <v>909</v>
      </c>
      <c r="AN313" s="3357">
        <v>43552</v>
      </c>
      <c r="AO313" s="695" t="s">
        <v>6588</v>
      </c>
      <c r="AP313" s="2722" t="s">
        <v>5807</v>
      </c>
      <c r="AQ313" s="2723">
        <v>1.0247219999999999</v>
      </c>
      <c r="AR313" s="333">
        <f t="shared" si="114"/>
        <v>2444</v>
      </c>
      <c r="AS313" s="330">
        <f t="shared" si="115"/>
        <v>3056</v>
      </c>
      <c r="AT313" s="330">
        <f t="shared" si="116"/>
        <v>611</v>
      </c>
      <c r="AU313" s="849"/>
      <c r="AV313" s="849"/>
      <c r="AW313" s="3156">
        <f t="shared" si="100"/>
        <v>6111</v>
      </c>
      <c r="AX313" s="3140"/>
      <c r="BB313" s="267"/>
      <c r="BC313" s="4117">
        <f t="shared" si="107"/>
        <v>0</v>
      </c>
      <c r="BD313" s="4117">
        <f t="shared" si="101"/>
        <v>0</v>
      </c>
    </row>
    <row r="314" spans="1:56" ht="76.5">
      <c r="A314" s="5964" t="s">
        <v>11140</v>
      </c>
      <c r="B314" s="338" t="s">
        <v>6559</v>
      </c>
      <c r="C314" s="321">
        <v>0</v>
      </c>
      <c r="D314" s="323">
        <v>42757</v>
      </c>
      <c r="E314" s="3051" t="s">
        <v>6385</v>
      </c>
      <c r="F314" s="1203" t="s">
        <v>6558</v>
      </c>
      <c r="G314" s="2669">
        <v>114</v>
      </c>
      <c r="H314" s="332" t="s">
        <v>5233</v>
      </c>
      <c r="I314" s="339" t="s">
        <v>5239</v>
      </c>
      <c r="J314" s="322" t="s">
        <v>4306</v>
      </c>
      <c r="K314" s="340">
        <v>43482</v>
      </c>
      <c r="L314" s="339" t="s">
        <v>5240</v>
      </c>
      <c r="M314" s="322" t="s">
        <v>5241</v>
      </c>
      <c r="N314" s="339" t="s">
        <v>5243</v>
      </c>
      <c r="O314" s="332" t="s">
        <v>6275</v>
      </c>
      <c r="P314" s="345" t="s">
        <v>6557</v>
      </c>
      <c r="Q314" s="6094" t="s">
        <v>5234</v>
      </c>
      <c r="R314" s="322" t="s">
        <v>1100</v>
      </c>
      <c r="S314" s="346"/>
      <c r="T314" s="347">
        <v>469</v>
      </c>
      <c r="U314" s="326">
        <v>0</v>
      </c>
      <c r="V314" s="348">
        <f t="shared" si="108"/>
        <v>469</v>
      </c>
      <c r="W314" s="347">
        <v>586</v>
      </c>
      <c r="X314" s="326">
        <v>0</v>
      </c>
      <c r="Y314" s="348">
        <f t="shared" si="109"/>
        <v>586</v>
      </c>
      <c r="Z314" s="347">
        <v>167</v>
      </c>
      <c r="AA314" s="326">
        <v>0</v>
      </c>
      <c r="AB314" s="348">
        <f t="shared" si="110"/>
        <v>167</v>
      </c>
      <c r="AC314" s="820"/>
      <c r="AD314" s="821"/>
      <c r="AE314" s="822"/>
      <c r="AF314" s="820"/>
      <c r="AG314" s="821"/>
      <c r="AH314" s="822"/>
      <c r="AI314" s="482">
        <f t="shared" si="111"/>
        <v>1222</v>
      </c>
      <c r="AJ314" s="326">
        <f t="shared" si="112"/>
        <v>0</v>
      </c>
      <c r="AK314" s="3917">
        <v>0</v>
      </c>
      <c r="AL314" s="349">
        <f t="shared" si="113"/>
        <v>1222</v>
      </c>
      <c r="AM314" s="2002" t="s">
        <v>909</v>
      </c>
      <c r="AN314" s="3357">
        <v>43552</v>
      </c>
      <c r="AO314" s="695" t="s">
        <v>6593</v>
      </c>
      <c r="AP314" s="3222" t="s">
        <v>6558</v>
      </c>
      <c r="AQ314" s="3223">
        <v>114</v>
      </c>
      <c r="AR314" s="333">
        <f t="shared" si="114"/>
        <v>469</v>
      </c>
      <c r="AS314" s="330">
        <f t="shared" si="115"/>
        <v>586</v>
      </c>
      <c r="AT314" s="330">
        <f t="shared" si="116"/>
        <v>167</v>
      </c>
      <c r="AU314" s="849"/>
      <c r="AV314" s="849"/>
      <c r="AW314" s="3156">
        <f t="shared" si="100"/>
        <v>1222</v>
      </c>
      <c r="AX314" s="3140"/>
      <c r="BB314" s="267"/>
      <c r="BC314" s="4117">
        <f t="shared" si="107"/>
        <v>0</v>
      </c>
      <c r="BD314" s="4117">
        <f t="shared" si="101"/>
        <v>0</v>
      </c>
    </row>
    <row r="315" spans="1:56" ht="77.25" thickBot="1">
      <c r="A315" s="6030" t="s">
        <v>11140</v>
      </c>
      <c r="B315" s="3224" t="s">
        <v>6580</v>
      </c>
      <c r="C315" s="3225">
        <v>0</v>
      </c>
      <c r="D315" s="3226">
        <v>42885</v>
      </c>
      <c r="E315" s="3226" t="s">
        <v>6385</v>
      </c>
      <c r="F315" s="3227" t="s">
        <v>6512</v>
      </c>
      <c r="G315" s="3228">
        <v>114</v>
      </c>
      <c r="H315" s="3229" t="s">
        <v>6481</v>
      </c>
      <c r="I315" s="3230" t="s">
        <v>4619</v>
      </c>
      <c r="J315" s="3231" t="s">
        <v>4306</v>
      </c>
      <c r="K315" s="3232">
        <v>43615</v>
      </c>
      <c r="L315" s="3230" t="s">
        <v>4620</v>
      </c>
      <c r="M315" s="3231" t="s">
        <v>4621</v>
      </c>
      <c r="N315" s="3230" t="s">
        <v>4622</v>
      </c>
      <c r="O315" s="3229" t="s">
        <v>6232</v>
      </c>
      <c r="P315" s="3233" t="s">
        <v>6579</v>
      </c>
      <c r="Q315" s="6101" t="s">
        <v>4332</v>
      </c>
      <c r="R315" s="3231" t="s">
        <v>1046</v>
      </c>
      <c r="S315" s="3234"/>
      <c r="T315" s="3235">
        <v>465</v>
      </c>
      <c r="U315" s="3236">
        <v>0</v>
      </c>
      <c r="V315" s="3237">
        <f t="shared" si="108"/>
        <v>465</v>
      </c>
      <c r="W315" s="3235">
        <v>581</v>
      </c>
      <c r="X315" s="3236">
        <v>0</v>
      </c>
      <c r="Y315" s="3237">
        <f t="shared" si="109"/>
        <v>581</v>
      </c>
      <c r="Z315" s="3235">
        <v>166</v>
      </c>
      <c r="AA315" s="3236">
        <v>0</v>
      </c>
      <c r="AB315" s="3237">
        <f t="shared" si="110"/>
        <v>166</v>
      </c>
      <c r="AC315" s="3238"/>
      <c r="AD315" s="3239"/>
      <c r="AE315" s="3240"/>
      <c r="AF315" s="3238"/>
      <c r="AG315" s="3239"/>
      <c r="AH315" s="3240"/>
      <c r="AI315" s="3241">
        <f t="shared" si="111"/>
        <v>1212</v>
      </c>
      <c r="AJ315" s="3236">
        <f t="shared" si="112"/>
        <v>0</v>
      </c>
      <c r="AK315" s="3918">
        <v>0</v>
      </c>
      <c r="AL315" s="3242">
        <f t="shared" si="113"/>
        <v>1212</v>
      </c>
      <c r="AM315" s="3583" t="s">
        <v>909</v>
      </c>
      <c r="AN315" s="3584">
        <v>43552</v>
      </c>
      <c r="AO315" s="3585" t="s">
        <v>6594</v>
      </c>
      <c r="AP315" s="3243" t="s">
        <v>6558</v>
      </c>
      <c r="AQ315" s="3244">
        <v>114</v>
      </c>
      <c r="AR315" s="3211">
        <f>ROUND($AQ315/$G315*V315,0)+0.4</f>
        <v>465.4</v>
      </c>
      <c r="AS315" s="3212">
        <f t="shared" si="115"/>
        <v>581</v>
      </c>
      <c r="AT315" s="3212">
        <f t="shared" si="116"/>
        <v>166</v>
      </c>
      <c r="AU315" s="3213"/>
      <c r="AV315" s="3213"/>
      <c r="AW315" s="3245">
        <f t="shared" si="100"/>
        <v>1212.4000000000001</v>
      </c>
      <c r="AX315" s="3246"/>
      <c r="AY315" s="764" t="s">
        <v>6514</v>
      </c>
      <c r="AZ315" s="1662">
        <f>SUM(AW298:AW315)</f>
        <v>83802.399999999994</v>
      </c>
      <c r="BA315" s="1727">
        <f>AZ315</f>
        <v>83802.399999999994</v>
      </c>
      <c r="BB315" s="267"/>
      <c r="BC315" s="4117">
        <f t="shared" si="107"/>
        <v>0</v>
      </c>
      <c r="BD315" s="4117">
        <f t="shared" si="101"/>
        <v>0</v>
      </c>
    </row>
    <row r="316" spans="1:56" ht="76.5">
      <c r="A316" s="5978" t="s">
        <v>11141</v>
      </c>
      <c r="B316" s="1538" t="s">
        <v>6482</v>
      </c>
      <c r="C316" s="1509">
        <v>0</v>
      </c>
      <c r="D316" s="1510">
        <v>42905</v>
      </c>
      <c r="E316" s="3053" t="s">
        <v>6385</v>
      </c>
      <c r="F316" s="1511" t="s">
        <v>4154</v>
      </c>
      <c r="G316" s="2663">
        <v>1.0111000000000001</v>
      </c>
      <c r="H316" s="1513" t="s">
        <v>4680</v>
      </c>
      <c r="I316" s="1514" t="s">
        <v>4681</v>
      </c>
      <c r="J316" s="1515" t="s">
        <v>4306</v>
      </c>
      <c r="K316" s="1516">
        <v>43635</v>
      </c>
      <c r="L316" s="1514" t="s">
        <v>4682</v>
      </c>
      <c r="M316" s="1515" t="s">
        <v>4683</v>
      </c>
      <c r="N316" s="1514" t="s">
        <v>4684</v>
      </c>
      <c r="O316" s="1513" t="s">
        <v>6233</v>
      </c>
      <c r="P316" s="1517"/>
      <c r="Q316" s="6094" t="s">
        <v>4332</v>
      </c>
      <c r="R316" s="1515" t="s">
        <v>1046</v>
      </c>
      <c r="S316" s="1518"/>
      <c r="T316" s="1519">
        <v>2294</v>
      </c>
      <c r="U316" s="1504">
        <v>0</v>
      </c>
      <c r="V316" s="1520">
        <f t="shared" si="108"/>
        <v>2294</v>
      </c>
      <c r="W316" s="1519">
        <v>2868</v>
      </c>
      <c r="X316" s="1504">
        <v>0</v>
      </c>
      <c r="Y316" s="1520">
        <f t="shared" si="109"/>
        <v>2868</v>
      </c>
      <c r="Z316" s="1519">
        <v>819</v>
      </c>
      <c r="AA316" s="1504">
        <v>0</v>
      </c>
      <c r="AB316" s="1520">
        <f t="shared" si="110"/>
        <v>819</v>
      </c>
      <c r="AC316" s="820"/>
      <c r="AD316" s="821"/>
      <c r="AE316" s="822"/>
      <c r="AF316" s="820"/>
      <c r="AG316" s="821"/>
      <c r="AH316" s="822"/>
      <c r="AI316" s="1503">
        <f t="shared" si="111"/>
        <v>5981</v>
      </c>
      <c r="AJ316" s="1504">
        <f t="shared" si="112"/>
        <v>0</v>
      </c>
      <c r="AK316" s="3919">
        <v>0</v>
      </c>
      <c r="AL316" s="1505">
        <f t="shared" si="113"/>
        <v>5981</v>
      </c>
      <c r="AM316" s="1508" t="s">
        <v>1061</v>
      </c>
      <c r="AN316" s="3401">
        <v>43556</v>
      </c>
      <c r="AO316" s="3402" t="s">
        <v>6597</v>
      </c>
      <c r="AP316" s="2664" t="s">
        <v>5807</v>
      </c>
      <c r="AQ316" s="2806">
        <v>1.0247219999999999</v>
      </c>
      <c r="AR316" s="1506">
        <f t="shared" ref="AR316:AR330" si="117">ROUND($AQ316/$G316*V316,0)</f>
        <v>2325</v>
      </c>
      <c r="AS316" s="1507">
        <f t="shared" si="115"/>
        <v>2907</v>
      </c>
      <c r="AT316" s="1507">
        <f t="shared" si="116"/>
        <v>830</v>
      </c>
      <c r="AU316" s="849"/>
      <c r="AV316" s="849"/>
      <c r="AW316" s="3247">
        <f t="shared" si="100"/>
        <v>6062</v>
      </c>
      <c r="AX316" s="3146"/>
      <c r="BB316" s="267"/>
      <c r="BC316" s="4117">
        <f t="shared" si="107"/>
        <v>0</v>
      </c>
      <c r="BD316" s="4117">
        <f t="shared" si="101"/>
        <v>0</v>
      </c>
    </row>
    <row r="317" spans="1:56" ht="76.5">
      <c r="A317" s="5978" t="s">
        <v>11140</v>
      </c>
      <c r="B317" s="1538" t="s">
        <v>6503</v>
      </c>
      <c r="C317" s="1509">
        <v>0</v>
      </c>
      <c r="D317" s="1510" t="s">
        <v>6509</v>
      </c>
      <c r="E317" s="3053" t="s">
        <v>6385</v>
      </c>
      <c r="F317" s="1511" t="s">
        <v>6501</v>
      </c>
      <c r="G317" s="2663">
        <v>114</v>
      </c>
      <c r="H317" s="1513" t="s">
        <v>5486</v>
      </c>
      <c r="I317" s="1514" t="s">
        <v>5487</v>
      </c>
      <c r="J317" s="1515" t="s">
        <v>4306</v>
      </c>
      <c r="K317" s="1516">
        <v>43959</v>
      </c>
      <c r="L317" s="1514" t="s">
        <v>5488</v>
      </c>
      <c r="M317" s="1515" t="s">
        <v>5489</v>
      </c>
      <c r="N317" s="1514" t="s">
        <v>5490</v>
      </c>
      <c r="O317" s="1515" t="s">
        <v>5489</v>
      </c>
      <c r="P317" s="1517" t="s">
        <v>6500</v>
      </c>
      <c r="Q317" s="6094" t="s">
        <v>5349</v>
      </c>
      <c r="R317" s="1515" t="s">
        <v>5350</v>
      </c>
      <c r="S317" s="1518"/>
      <c r="T317" s="1519">
        <v>473</v>
      </c>
      <c r="U317" s="1504">
        <v>0</v>
      </c>
      <c r="V317" s="1520">
        <f t="shared" si="108"/>
        <v>473</v>
      </c>
      <c r="W317" s="1519">
        <v>591</v>
      </c>
      <c r="X317" s="1504">
        <v>0</v>
      </c>
      <c r="Y317" s="1520">
        <f t="shared" si="109"/>
        <v>591</v>
      </c>
      <c r="Z317" s="1519">
        <v>168</v>
      </c>
      <c r="AA317" s="1504">
        <v>0</v>
      </c>
      <c r="AB317" s="1520">
        <f t="shared" si="110"/>
        <v>168</v>
      </c>
      <c r="AC317" s="820"/>
      <c r="AD317" s="821"/>
      <c r="AE317" s="822"/>
      <c r="AF317" s="820"/>
      <c r="AG317" s="821"/>
      <c r="AH317" s="822"/>
      <c r="AI317" s="1503">
        <f t="shared" si="111"/>
        <v>1232</v>
      </c>
      <c r="AJ317" s="1504">
        <f t="shared" si="112"/>
        <v>0</v>
      </c>
      <c r="AK317" s="3919">
        <v>0</v>
      </c>
      <c r="AL317" s="1505">
        <f t="shared" si="113"/>
        <v>1232</v>
      </c>
      <c r="AM317" s="1508" t="s">
        <v>1061</v>
      </c>
      <c r="AN317" s="3401">
        <v>43556</v>
      </c>
      <c r="AO317" s="3402" t="s">
        <v>6598</v>
      </c>
      <c r="AP317" s="2139" t="s">
        <v>6560</v>
      </c>
      <c r="AQ317" s="3248">
        <v>114</v>
      </c>
      <c r="AR317" s="1506">
        <f t="shared" si="117"/>
        <v>473</v>
      </c>
      <c r="AS317" s="1507">
        <f t="shared" si="115"/>
        <v>591</v>
      </c>
      <c r="AT317" s="1507">
        <f t="shared" si="116"/>
        <v>168</v>
      </c>
      <c r="AU317" s="849"/>
      <c r="AV317" s="849"/>
      <c r="AW317" s="3247">
        <f t="shared" si="100"/>
        <v>1232</v>
      </c>
      <c r="AX317" s="3146"/>
      <c r="BB317" s="267"/>
      <c r="BC317" s="4117">
        <f t="shared" si="107"/>
        <v>0</v>
      </c>
      <c r="BD317" s="4117">
        <f t="shared" si="101"/>
        <v>0</v>
      </c>
    </row>
    <row r="318" spans="1:56" ht="76.5">
      <c r="A318" s="5978" t="s">
        <v>11142</v>
      </c>
      <c r="B318" s="1538" t="s">
        <v>8434</v>
      </c>
      <c r="C318" s="1509">
        <v>0</v>
      </c>
      <c r="D318" s="1510">
        <v>42949</v>
      </c>
      <c r="E318" s="3053" t="s">
        <v>6385</v>
      </c>
      <c r="F318" s="3249" t="s">
        <v>6569</v>
      </c>
      <c r="G318" s="3250">
        <v>114</v>
      </c>
      <c r="H318" s="1513" t="s">
        <v>4785</v>
      </c>
      <c r="I318" s="1514" t="s">
        <v>4809</v>
      </c>
      <c r="J318" s="1515" t="s">
        <v>4306</v>
      </c>
      <c r="K318" s="1516">
        <v>43679</v>
      </c>
      <c r="L318" s="1514" t="s">
        <v>4787</v>
      </c>
      <c r="M318" s="1515" t="s">
        <v>4788</v>
      </c>
      <c r="N318" s="1514" t="s">
        <v>4789</v>
      </c>
      <c r="O318" s="1513" t="s">
        <v>6239</v>
      </c>
      <c r="P318" s="1517" t="s">
        <v>6564</v>
      </c>
      <c r="Q318" s="6094" t="s">
        <v>4332</v>
      </c>
      <c r="R318" s="1515" t="s">
        <v>1046</v>
      </c>
      <c r="S318" s="1518"/>
      <c r="T318" s="1519">
        <v>467</v>
      </c>
      <c r="U318" s="1504">
        <v>0</v>
      </c>
      <c r="V318" s="1520">
        <f t="shared" si="108"/>
        <v>467</v>
      </c>
      <c r="W318" s="1519">
        <v>584</v>
      </c>
      <c r="X318" s="1504">
        <v>0</v>
      </c>
      <c r="Y318" s="1520">
        <f t="shared" si="109"/>
        <v>584</v>
      </c>
      <c r="Z318" s="1519">
        <v>167</v>
      </c>
      <c r="AA318" s="1504">
        <v>0</v>
      </c>
      <c r="AB318" s="1520">
        <f t="shared" si="110"/>
        <v>167</v>
      </c>
      <c r="AC318" s="820"/>
      <c r="AD318" s="821"/>
      <c r="AE318" s="822"/>
      <c r="AF318" s="820"/>
      <c r="AG318" s="821"/>
      <c r="AH318" s="822"/>
      <c r="AI318" s="1503">
        <f t="shared" si="111"/>
        <v>1218</v>
      </c>
      <c r="AJ318" s="1504">
        <f t="shared" si="112"/>
        <v>0</v>
      </c>
      <c r="AK318" s="3919">
        <v>0</v>
      </c>
      <c r="AL318" s="1505">
        <f t="shared" si="113"/>
        <v>1218</v>
      </c>
      <c r="AM318" s="1508" t="s">
        <v>1061</v>
      </c>
      <c r="AN318" s="3401">
        <v>43556</v>
      </c>
      <c r="AO318" s="3402" t="s">
        <v>6600</v>
      </c>
      <c r="AP318" s="3251" t="s">
        <v>6558</v>
      </c>
      <c r="AQ318" s="3248">
        <v>114</v>
      </c>
      <c r="AR318" s="1506">
        <f t="shared" si="117"/>
        <v>467</v>
      </c>
      <c r="AS318" s="1507">
        <f t="shared" si="115"/>
        <v>584</v>
      </c>
      <c r="AT318" s="1507">
        <f t="shared" si="116"/>
        <v>167</v>
      </c>
      <c r="AU318" s="849"/>
      <c r="AV318" s="849"/>
      <c r="AW318" s="3247">
        <f t="shared" si="100"/>
        <v>1218</v>
      </c>
      <c r="AX318" s="3146"/>
      <c r="BB318" s="267"/>
      <c r="BC318" s="4117">
        <f t="shared" si="107"/>
        <v>0</v>
      </c>
      <c r="BD318" s="4117">
        <f t="shared" si="101"/>
        <v>0</v>
      </c>
    </row>
    <row r="319" spans="1:56" ht="51">
      <c r="A319" s="5981" t="s">
        <v>11135</v>
      </c>
      <c r="B319" s="1538" t="s">
        <v>4526</v>
      </c>
      <c r="C319" s="1509">
        <v>0</v>
      </c>
      <c r="D319" s="1510">
        <v>43080</v>
      </c>
      <c r="E319" s="3053" t="s">
        <v>6385</v>
      </c>
      <c r="F319" s="1511" t="s">
        <v>5915</v>
      </c>
      <c r="G319" s="2663">
        <v>1.0119899999999999</v>
      </c>
      <c r="H319" s="1513" t="s">
        <v>5163</v>
      </c>
      <c r="I319" s="1514" t="s">
        <v>1436</v>
      </c>
      <c r="J319" s="1515" t="s">
        <v>1437</v>
      </c>
      <c r="K319" s="1516">
        <v>43810</v>
      </c>
      <c r="L319" s="1514" t="s">
        <v>5164</v>
      </c>
      <c r="M319" s="1515" t="s">
        <v>5165</v>
      </c>
      <c r="N319" s="1514" t="s">
        <v>5172</v>
      </c>
      <c r="O319" s="1513" t="s">
        <v>6250</v>
      </c>
      <c r="P319" s="1517"/>
      <c r="Q319" s="1515" t="s">
        <v>5166</v>
      </c>
      <c r="R319" s="1515" t="s">
        <v>3883</v>
      </c>
      <c r="S319" s="1518"/>
      <c r="T319" s="1519">
        <v>129212</v>
      </c>
      <c r="U319" s="1504">
        <v>0</v>
      </c>
      <c r="V319" s="1520">
        <f t="shared" si="108"/>
        <v>129212</v>
      </c>
      <c r="W319" s="1519">
        <v>161515</v>
      </c>
      <c r="X319" s="1504">
        <v>0</v>
      </c>
      <c r="Y319" s="1520">
        <f t="shared" si="109"/>
        <v>161515</v>
      </c>
      <c r="Z319" s="1519">
        <v>32302</v>
      </c>
      <c r="AA319" s="1504">
        <v>0</v>
      </c>
      <c r="AB319" s="1520">
        <f t="shared" si="110"/>
        <v>32302</v>
      </c>
      <c r="AC319" s="820"/>
      <c r="AD319" s="821"/>
      <c r="AE319" s="822"/>
      <c r="AF319" s="820"/>
      <c r="AG319" s="821"/>
      <c r="AH319" s="822"/>
      <c r="AI319" s="1503">
        <f t="shared" si="111"/>
        <v>323029</v>
      </c>
      <c r="AJ319" s="1504">
        <f t="shared" si="112"/>
        <v>0</v>
      </c>
      <c r="AK319" s="3919">
        <v>0</v>
      </c>
      <c r="AL319" s="1505">
        <f t="shared" si="113"/>
        <v>323029</v>
      </c>
      <c r="AM319" s="1508" t="s">
        <v>1061</v>
      </c>
      <c r="AN319" s="3401">
        <v>43557</v>
      </c>
      <c r="AO319" s="3402" t="s">
        <v>6601</v>
      </c>
      <c r="AP319" s="2664" t="s">
        <v>5807</v>
      </c>
      <c r="AQ319" s="2806">
        <v>1.0247219999999999</v>
      </c>
      <c r="AR319" s="1506">
        <f t="shared" si="117"/>
        <v>130838</v>
      </c>
      <c r="AS319" s="1507">
        <f t="shared" si="115"/>
        <v>163547</v>
      </c>
      <c r="AT319" s="1507">
        <f t="shared" si="116"/>
        <v>32708</v>
      </c>
      <c r="AU319" s="849"/>
      <c r="AV319" s="849"/>
      <c r="AW319" s="3247">
        <f t="shared" si="100"/>
        <v>327093</v>
      </c>
      <c r="AX319" s="3146"/>
      <c r="BB319" s="267"/>
      <c r="BC319" s="4117">
        <f t="shared" si="107"/>
        <v>0</v>
      </c>
      <c r="BD319" s="4117">
        <f t="shared" si="101"/>
        <v>0</v>
      </c>
    </row>
    <row r="320" spans="1:56" ht="63.75">
      <c r="A320" s="5981" t="s">
        <v>11135</v>
      </c>
      <c r="B320" s="1538" t="s">
        <v>6612</v>
      </c>
      <c r="C320" s="1509">
        <v>0</v>
      </c>
      <c r="D320" s="1510">
        <v>42117</v>
      </c>
      <c r="E320" s="2300" t="s">
        <v>6387</v>
      </c>
      <c r="F320" s="2497" t="s">
        <v>4932</v>
      </c>
      <c r="G320" s="2663">
        <v>1</v>
      </c>
      <c r="H320" s="1513" t="s">
        <v>3038</v>
      </c>
      <c r="I320" s="1514" t="s">
        <v>1433</v>
      </c>
      <c r="J320" s="1515" t="s">
        <v>1434</v>
      </c>
      <c r="K320" s="3254" t="s">
        <v>4367</v>
      </c>
      <c r="L320" s="1514" t="s">
        <v>3039</v>
      </c>
      <c r="M320" s="1515" t="s">
        <v>3040</v>
      </c>
      <c r="N320" s="1514" t="s">
        <v>3041</v>
      </c>
      <c r="O320" s="1513" t="s">
        <v>6185</v>
      </c>
      <c r="P320" s="1517"/>
      <c r="Q320" s="1515" t="s">
        <v>3042</v>
      </c>
      <c r="R320" s="1515" t="s">
        <v>3043</v>
      </c>
      <c r="S320" s="1518"/>
      <c r="T320" s="1519">
        <v>2341</v>
      </c>
      <c r="U320" s="1504">
        <v>0</v>
      </c>
      <c r="V320" s="1520">
        <f t="shared" si="108"/>
        <v>2341</v>
      </c>
      <c r="W320" s="1519">
        <v>413</v>
      </c>
      <c r="X320" s="1504">
        <v>0</v>
      </c>
      <c r="Y320" s="1520">
        <f t="shared" si="109"/>
        <v>413</v>
      </c>
      <c r="Z320" s="1519">
        <v>0</v>
      </c>
      <c r="AA320" s="1504">
        <v>0</v>
      </c>
      <c r="AB320" s="1520">
        <f t="shared" si="110"/>
        <v>0</v>
      </c>
      <c r="AC320" s="820"/>
      <c r="AD320" s="821"/>
      <c r="AE320" s="822"/>
      <c r="AF320" s="820"/>
      <c r="AG320" s="821"/>
      <c r="AH320" s="822"/>
      <c r="AI320" s="1503">
        <f t="shared" si="111"/>
        <v>2754</v>
      </c>
      <c r="AJ320" s="1504">
        <f t="shared" si="112"/>
        <v>0</v>
      </c>
      <c r="AK320" s="3919">
        <v>0</v>
      </c>
      <c r="AL320" s="1505">
        <f t="shared" si="113"/>
        <v>2754</v>
      </c>
      <c r="AM320" s="1508" t="s">
        <v>6609</v>
      </c>
      <c r="AN320" s="3401">
        <v>43557</v>
      </c>
      <c r="AO320" s="3402" t="s">
        <v>6610</v>
      </c>
      <c r="AP320" s="2664" t="s">
        <v>5807</v>
      </c>
      <c r="AQ320" s="2806">
        <v>1.0247219999999999</v>
      </c>
      <c r="AR320" s="1506">
        <f t="shared" si="117"/>
        <v>2399</v>
      </c>
      <c r="AS320" s="1507">
        <f t="shared" si="115"/>
        <v>423</v>
      </c>
      <c r="AT320" s="1507">
        <f t="shared" si="116"/>
        <v>0</v>
      </c>
      <c r="AU320" s="849"/>
      <c r="AV320" s="849"/>
      <c r="AW320" s="3252">
        <f t="shared" si="100"/>
        <v>2822</v>
      </c>
      <c r="AX320" s="3146"/>
      <c r="BB320" s="267"/>
      <c r="BC320" s="4117">
        <f t="shared" si="107"/>
        <v>0</v>
      </c>
      <c r="BD320" s="4117">
        <f t="shared" si="101"/>
        <v>0</v>
      </c>
    </row>
    <row r="321" spans="1:57" ht="51">
      <c r="A321" s="5981" t="s">
        <v>11135</v>
      </c>
      <c r="B321" s="1538" t="s">
        <v>6611</v>
      </c>
      <c r="C321" s="1509">
        <v>0</v>
      </c>
      <c r="D321" s="1510">
        <v>42117</v>
      </c>
      <c r="E321" s="2300" t="s">
        <v>6387</v>
      </c>
      <c r="F321" s="2497" t="s">
        <v>4932</v>
      </c>
      <c r="G321" s="2663">
        <v>1</v>
      </c>
      <c r="H321" s="1513" t="s">
        <v>3038</v>
      </c>
      <c r="I321" s="1514" t="s">
        <v>1433</v>
      </c>
      <c r="J321" s="1515" t="s">
        <v>1434</v>
      </c>
      <c r="K321" s="3254" t="s">
        <v>4367</v>
      </c>
      <c r="L321" s="1514" t="s">
        <v>3039</v>
      </c>
      <c r="M321" s="1515" t="s">
        <v>3040</v>
      </c>
      <c r="N321" s="1514" t="s">
        <v>3041</v>
      </c>
      <c r="O321" s="1513" t="s">
        <v>6185</v>
      </c>
      <c r="P321" s="1517"/>
      <c r="Q321" s="1515" t="s">
        <v>3042</v>
      </c>
      <c r="R321" s="1515" t="s">
        <v>3043</v>
      </c>
      <c r="S321" s="1518"/>
      <c r="T321" s="3255">
        <v>-2341</v>
      </c>
      <c r="U321" s="1504">
        <v>0</v>
      </c>
      <c r="V321" s="3256">
        <f t="shared" si="108"/>
        <v>-2341</v>
      </c>
      <c r="W321" s="3255">
        <v>-413</v>
      </c>
      <c r="X321" s="1504">
        <v>0</v>
      </c>
      <c r="Y321" s="3256">
        <f t="shared" si="109"/>
        <v>-413</v>
      </c>
      <c r="Z321" s="1519">
        <v>0</v>
      </c>
      <c r="AA321" s="1504">
        <v>0</v>
      </c>
      <c r="AB321" s="1520">
        <f t="shared" si="110"/>
        <v>0</v>
      </c>
      <c r="AC321" s="820"/>
      <c r="AD321" s="821"/>
      <c r="AE321" s="822"/>
      <c r="AF321" s="820"/>
      <c r="AG321" s="821"/>
      <c r="AH321" s="822"/>
      <c r="AI321" s="3253">
        <f t="shared" si="111"/>
        <v>-2754</v>
      </c>
      <c r="AJ321" s="1504">
        <f t="shared" si="112"/>
        <v>0</v>
      </c>
      <c r="AK321" s="3919">
        <v>0</v>
      </c>
      <c r="AL321" s="3302">
        <f t="shared" si="113"/>
        <v>-2754</v>
      </c>
      <c r="AM321" s="3586" t="s">
        <v>6613</v>
      </c>
      <c r="AN321" s="3587">
        <v>43565</v>
      </c>
      <c r="AO321" s="3588" t="s">
        <v>6614</v>
      </c>
      <c r="AP321" s="3251" t="s">
        <v>5807</v>
      </c>
      <c r="AQ321" s="3248">
        <v>1.0247219999999999</v>
      </c>
      <c r="AR321" s="1506">
        <f t="shared" si="117"/>
        <v>-2399</v>
      </c>
      <c r="AS321" s="1507">
        <f t="shared" si="115"/>
        <v>-423</v>
      </c>
      <c r="AT321" s="1507">
        <f t="shared" si="116"/>
        <v>0</v>
      </c>
      <c r="AU321" s="849"/>
      <c r="AV321" s="849"/>
      <c r="AW321" s="3252">
        <f t="shared" si="100"/>
        <v>-2822</v>
      </c>
      <c r="AX321" s="3146"/>
      <c r="BB321" s="267"/>
      <c r="BC321" s="4117">
        <f t="shared" si="107"/>
        <v>0</v>
      </c>
      <c r="BD321" s="4117">
        <f t="shared" si="101"/>
        <v>0</v>
      </c>
      <c r="BE321" s="4111">
        <f>AW321</f>
        <v>-2822</v>
      </c>
    </row>
    <row r="322" spans="1:57" ht="89.25">
      <c r="A322" s="5981" t="s">
        <v>11135</v>
      </c>
      <c r="B322" s="1538" t="s">
        <v>4536</v>
      </c>
      <c r="C322" s="1509">
        <v>0</v>
      </c>
      <c r="D322" s="1510">
        <v>43236</v>
      </c>
      <c r="E322" s="3053" t="s">
        <v>6385</v>
      </c>
      <c r="F322" s="1511" t="s">
        <v>5915</v>
      </c>
      <c r="G322" s="2663">
        <v>1.0119899999999999</v>
      </c>
      <c r="H322" s="1513" t="s">
        <v>5518</v>
      </c>
      <c r="I322" s="1514" t="s">
        <v>1433</v>
      </c>
      <c r="J322" s="1515" t="s">
        <v>1434</v>
      </c>
      <c r="K322" s="1516">
        <v>45430</v>
      </c>
      <c r="L322" s="1514" t="s">
        <v>5519</v>
      </c>
      <c r="M322" s="1515" t="s">
        <v>5520</v>
      </c>
      <c r="N322" s="1514" t="s">
        <v>5521</v>
      </c>
      <c r="O322" s="1513" t="s">
        <v>6303</v>
      </c>
      <c r="P322" s="1517"/>
      <c r="Q322" s="1515" t="s">
        <v>5524</v>
      </c>
      <c r="R322" s="1515" t="s">
        <v>5522</v>
      </c>
      <c r="S322" s="1518" t="s">
        <v>5523</v>
      </c>
      <c r="T322" s="1519">
        <v>5746</v>
      </c>
      <c r="U322" s="1504">
        <v>0</v>
      </c>
      <c r="V322" s="1520">
        <f t="shared" si="108"/>
        <v>5746</v>
      </c>
      <c r="W322" s="1519">
        <v>1190</v>
      </c>
      <c r="X322" s="1504">
        <v>0</v>
      </c>
      <c r="Y322" s="1520">
        <f t="shared" si="109"/>
        <v>1190</v>
      </c>
      <c r="Z322" s="1519">
        <v>13544</v>
      </c>
      <c r="AA322" s="1504">
        <v>0</v>
      </c>
      <c r="AB322" s="1520">
        <f t="shared" si="110"/>
        <v>13544</v>
      </c>
      <c r="AC322" s="820"/>
      <c r="AD322" s="821"/>
      <c r="AE322" s="822"/>
      <c r="AF322" s="820"/>
      <c r="AG322" s="821"/>
      <c r="AH322" s="822"/>
      <c r="AI322" s="1503">
        <f t="shared" si="111"/>
        <v>20480</v>
      </c>
      <c r="AJ322" s="1504">
        <f t="shared" si="112"/>
        <v>0</v>
      </c>
      <c r="AK322" s="3919">
        <v>0</v>
      </c>
      <c r="AL322" s="1505">
        <f t="shared" si="113"/>
        <v>20480</v>
      </c>
      <c r="AM322" s="1508" t="s">
        <v>1061</v>
      </c>
      <c r="AN322" s="3401">
        <v>43567</v>
      </c>
      <c r="AO322" s="3402">
        <v>45877</v>
      </c>
      <c r="AP322" s="2664" t="s">
        <v>5807</v>
      </c>
      <c r="AQ322" s="2806">
        <v>1.0247219999999999</v>
      </c>
      <c r="AR322" s="1506">
        <f t="shared" si="117"/>
        <v>5818</v>
      </c>
      <c r="AS322" s="1507">
        <f t="shared" si="115"/>
        <v>1205</v>
      </c>
      <c r="AT322" s="1507">
        <f t="shared" si="116"/>
        <v>13714</v>
      </c>
      <c r="AU322" s="849"/>
      <c r="AV322" s="849"/>
      <c r="AW322" s="3247">
        <f t="shared" si="100"/>
        <v>20737</v>
      </c>
      <c r="AX322" s="3146"/>
      <c r="BB322" s="267"/>
      <c r="BC322" s="4117">
        <f t="shared" si="107"/>
        <v>0</v>
      </c>
      <c r="BD322" s="4117">
        <f t="shared" si="101"/>
        <v>0</v>
      </c>
    </row>
    <row r="323" spans="1:57" ht="76.5">
      <c r="A323" s="5981" t="s">
        <v>11135</v>
      </c>
      <c r="B323" s="1538" t="s">
        <v>5718</v>
      </c>
      <c r="C323" s="1509">
        <v>0</v>
      </c>
      <c r="D323" s="1510">
        <v>43563</v>
      </c>
      <c r="E323" s="3053" t="s">
        <v>6386</v>
      </c>
      <c r="F323" s="1511" t="s">
        <v>5757</v>
      </c>
      <c r="G323" s="2663">
        <v>1.0247219999999999</v>
      </c>
      <c r="H323" s="1513" t="s">
        <v>6603</v>
      </c>
      <c r="I323" s="1514" t="s">
        <v>6604</v>
      </c>
      <c r="J323" s="1515" t="s">
        <v>4306</v>
      </c>
      <c r="K323" s="1516">
        <v>44294</v>
      </c>
      <c r="L323" s="1514" t="s">
        <v>6605</v>
      </c>
      <c r="M323" s="1515" t="s">
        <v>6606</v>
      </c>
      <c r="N323" s="1514" t="s">
        <v>6607</v>
      </c>
      <c r="O323" s="1513" t="s">
        <v>6608</v>
      </c>
      <c r="P323" s="1517"/>
      <c r="Q323" s="6094" t="s">
        <v>5708</v>
      </c>
      <c r="R323" s="1515" t="s">
        <v>5350</v>
      </c>
      <c r="S323" s="1518"/>
      <c r="T323" s="1519">
        <v>2444</v>
      </c>
      <c r="U323" s="1504">
        <v>0</v>
      </c>
      <c r="V323" s="1520">
        <f t="shared" si="108"/>
        <v>2444</v>
      </c>
      <c r="W323" s="1519">
        <v>3056</v>
      </c>
      <c r="X323" s="1504">
        <v>0</v>
      </c>
      <c r="Y323" s="1520">
        <f t="shared" si="109"/>
        <v>3056</v>
      </c>
      <c r="Z323" s="1519">
        <v>611</v>
      </c>
      <c r="AA323" s="1504">
        <v>0</v>
      </c>
      <c r="AB323" s="1520">
        <f t="shared" si="110"/>
        <v>611</v>
      </c>
      <c r="AC323" s="820"/>
      <c r="AD323" s="821"/>
      <c r="AE323" s="822"/>
      <c r="AF323" s="820"/>
      <c r="AG323" s="821"/>
      <c r="AH323" s="822"/>
      <c r="AI323" s="1503">
        <f t="shared" si="111"/>
        <v>6111</v>
      </c>
      <c r="AJ323" s="1504">
        <f t="shared" si="112"/>
        <v>0</v>
      </c>
      <c r="AK323" s="3919">
        <v>0</v>
      </c>
      <c r="AL323" s="1505">
        <f t="shared" si="113"/>
        <v>6111</v>
      </c>
      <c r="AM323" s="1508" t="s">
        <v>1061</v>
      </c>
      <c r="AN323" s="3401">
        <v>43567</v>
      </c>
      <c r="AO323" s="3402" t="s">
        <v>6617</v>
      </c>
      <c r="AP323" s="2664" t="s">
        <v>5807</v>
      </c>
      <c r="AQ323" s="2806">
        <v>1.0247219999999999</v>
      </c>
      <c r="AR323" s="1506">
        <f t="shared" si="117"/>
        <v>2444</v>
      </c>
      <c r="AS323" s="1507">
        <f t="shared" si="115"/>
        <v>3056</v>
      </c>
      <c r="AT323" s="1507">
        <f t="shared" si="116"/>
        <v>611</v>
      </c>
      <c r="AU323" s="849"/>
      <c r="AV323" s="849"/>
      <c r="AW323" s="3247">
        <f t="shared" si="100"/>
        <v>6111</v>
      </c>
      <c r="AX323" s="3146"/>
      <c r="BB323" s="267"/>
      <c r="BC323" s="4117">
        <f t="shared" si="107"/>
        <v>0</v>
      </c>
      <c r="BD323" s="4117">
        <f t="shared" si="101"/>
        <v>0</v>
      </c>
    </row>
    <row r="324" spans="1:57" ht="63.75">
      <c r="A324" s="5981" t="s">
        <v>11135</v>
      </c>
      <c r="B324" s="1538" t="s">
        <v>6616</v>
      </c>
      <c r="C324" s="1509">
        <v>0</v>
      </c>
      <c r="D324" s="1510">
        <v>42608</v>
      </c>
      <c r="E324" s="3053" t="s">
        <v>6387</v>
      </c>
      <c r="F324" s="1511" t="s">
        <v>4154</v>
      </c>
      <c r="G324" s="2663">
        <v>1.0111000000000001</v>
      </c>
      <c r="H324" s="1513" t="s">
        <v>4023</v>
      </c>
      <c r="I324" s="1514" t="s">
        <v>1433</v>
      </c>
      <c r="J324" s="1515" t="s">
        <v>1434</v>
      </c>
      <c r="K324" s="1516">
        <v>44069</v>
      </c>
      <c r="L324" s="1514" t="s">
        <v>4021</v>
      </c>
      <c r="M324" s="1515" t="s">
        <v>2102</v>
      </c>
      <c r="N324" s="1514" t="s">
        <v>4016</v>
      </c>
      <c r="O324" s="1513" t="s">
        <v>6215</v>
      </c>
      <c r="P324" s="1517" t="s">
        <v>2760</v>
      </c>
      <c r="Q324" s="1515" t="s">
        <v>4019</v>
      </c>
      <c r="R324" s="1515" t="s">
        <v>4020</v>
      </c>
      <c r="S324" s="1518"/>
      <c r="T324" s="1519">
        <v>2912</v>
      </c>
      <c r="U324" s="1504">
        <v>0</v>
      </c>
      <c r="V324" s="1520">
        <f t="shared" si="108"/>
        <v>2912</v>
      </c>
      <c r="W324" s="1519">
        <v>3640</v>
      </c>
      <c r="X324" s="1504">
        <v>0</v>
      </c>
      <c r="Y324" s="1520">
        <f t="shared" si="109"/>
        <v>3640</v>
      </c>
      <c r="Z324" s="1519">
        <v>728</v>
      </c>
      <c r="AA324" s="1504">
        <v>0</v>
      </c>
      <c r="AB324" s="1520">
        <f t="shared" si="110"/>
        <v>728</v>
      </c>
      <c r="AC324" s="820"/>
      <c r="AD324" s="821"/>
      <c r="AE324" s="822"/>
      <c r="AF324" s="820"/>
      <c r="AG324" s="821"/>
      <c r="AH324" s="822"/>
      <c r="AI324" s="1503">
        <f t="shared" si="111"/>
        <v>7280</v>
      </c>
      <c r="AJ324" s="1504">
        <f t="shared" si="112"/>
        <v>0</v>
      </c>
      <c r="AK324" s="3919">
        <v>0</v>
      </c>
      <c r="AL324" s="1505">
        <f t="shared" si="113"/>
        <v>7280</v>
      </c>
      <c r="AM324" s="1508" t="s">
        <v>1061</v>
      </c>
      <c r="AN324" s="3401">
        <v>43570</v>
      </c>
      <c r="AO324" s="3402" t="s">
        <v>6625</v>
      </c>
      <c r="AP324" s="2664" t="s">
        <v>5807</v>
      </c>
      <c r="AQ324" s="2806">
        <v>1.0247219999999999</v>
      </c>
      <c r="AR324" s="1506">
        <f t="shared" si="117"/>
        <v>2951</v>
      </c>
      <c r="AS324" s="1507">
        <f t="shared" si="115"/>
        <v>3689</v>
      </c>
      <c r="AT324" s="1507">
        <f t="shared" si="116"/>
        <v>738</v>
      </c>
      <c r="AU324" s="849"/>
      <c r="AV324" s="849"/>
      <c r="AW324" s="3257">
        <f t="shared" ref="AW324:AW366" si="118">SUM(AR324:AV324)</f>
        <v>7378</v>
      </c>
      <c r="AX324" s="3146"/>
      <c r="BB324" s="267"/>
      <c r="BC324" s="4117">
        <f t="shared" si="107"/>
        <v>0</v>
      </c>
      <c r="BD324" s="4117">
        <f t="shared" ref="BD324:BD387" si="119">ROUND($AK324*$AQ324/$G324,0)</f>
        <v>0</v>
      </c>
    </row>
    <row r="325" spans="1:57" ht="63.75">
      <c r="A325" s="5981" t="s">
        <v>11135</v>
      </c>
      <c r="B325" s="1538" t="s">
        <v>2923</v>
      </c>
      <c r="C325" s="1509">
        <v>0</v>
      </c>
      <c r="D325" s="1510">
        <v>42219</v>
      </c>
      <c r="E325" s="2300" t="s">
        <v>6387</v>
      </c>
      <c r="F325" s="2497" t="s">
        <v>4932</v>
      </c>
      <c r="G325" s="2663">
        <v>1</v>
      </c>
      <c r="H325" s="1513" t="s">
        <v>6596</v>
      </c>
      <c r="I325" s="1514" t="s">
        <v>1433</v>
      </c>
      <c r="J325" s="1515" t="s">
        <v>1434</v>
      </c>
      <c r="K325" s="1516">
        <v>43680</v>
      </c>
      <c r="L325" s="1514" t="s">
        <v>3204</v>
      </c>
      <c r="M325" s="1515" t="s">
        <v>3205</v>
      </c>
      <c r="N325" s="1514" t="s">
        <v>3206</v>
      </c>
      <c r="O325" s="1513" t="s">
        <v>6190</v>
      </c>
      <c r="P325" s="1517"/>
      <c r="Q325" s="1515" t="s">
        <v>3207</v>
      </c>
      <c r="R325" s="1515" t="s">
        <v>3114</v>
      </c>
      <c r="S325" s="1518"/>
      <c r="T325" s="1519">
        <v>13440</v>
      </c>
      <c r="U325" s="1504">
        <v>0</v>
      </c>
      <c r="V325" s="1520">
        <f t="shared" si="108"/>
        <v>13440</v>
      </c>
      <c r="W325" s="1519">
        <v>16800</v>
      </c>
      <c r="X325" s="1504">
        <v>0</v>
      </c>
      <c r="Y325" s="1520">
        <f t="shared" si="109"/>
        <v>16800</v>
      </c>
      <c r="Z325" s="1519">
        <v>3360</v>
      </c>
      <c r="AA325" s="1504">
        <v>0</v>
      </c>
      <c r="AB325" s="1520">
        <f t="shared" si="110"/>
        <v>3360</v>
      </c>
      <c r="AC325" s="820"/>
      <c r="AD325" s="821"/>
      <c r="AE325" s="822"/>
      <c r="AF325" s="820"/>
      <c r="AG325" s="821"/>
      <c r="AH325" s="822"/>
      <c r="AI325" s="1503">
        <f t="shared" si="111"/>
        <v>33600</v>
      </c>
      <c r="AJ325" s="1504">
        <f t="shared" si="112"/>
        <v>0</v>
      </c>
      <c r="AK325" s="3919">
        <v>0</v>
      </c>
      <c r="AL325" s="1505">
        <f t="shared" si="113"/>
        <v>33600</v>
      </c>
      <c r="AM325" s="1508" t="s">
        <v>1061</v>
      </c>
      <c r="AN325" s="3401">
        <v>43578</v>
      </c>
      <c r="AO325" s="3402" t="s">
        <v>6624</v>
      </c>
      <c r="AP325" s="2664" t="s">
        <v>5807</v>
      </c>
      <c r="AQ325" s="2806">
        <v>1.0247219999999999</v>
      </c>
      <c r="AR325" s="1506">
        <f t="shared" si="117"/>
        <v>13772</v>
      </c>
      <c r="AS325" s="1507">
        <f t="shared" si="115"/>
        <v>17215</v>
      </c>
      <c r="AT325" s="1507">
        <f t="shared" si="116"/>
        <v>3443</v>
      </c>
      <c r="AU325" s="849"/>
      <c r="AV325" s="849"/>
      <c r="AW325" s="3258">
        <f t="shared" si="118"/>
        <v>34430</v>
      </c>
      <c r="AX325" s="3146"/>
      <c r="BB325" s="267"/>
      <c r="BC325" s="4117">
        <f t="shared" si="107"/>
        <v>0</v>
      </c>
      <c r="BD325" s="4117">
        <f t="shared" si="119"/>
        <v>0</v>
      </c>
    </row>
    <row r="326" spans="1:57" ht="127.5">
      <c r="A326" s="5978" t="s">
        <v>11141</v>
      </c>
      <c r="B326" s="1538" t="s">
        <v>6635</v>
      </c>
      <c r="C326" s="1509">
        <v>0</v>
      </c>
      <c r="D326" s="1510">
        <v>42982</v>
      </c>
      <c r="E326" s="3053" t="s">
        <v>6385</v>
      </c>
      <c r="F326" s="1511" t="s">
        <v>4154</v>
      </c>
      <c r="G326" s="2663">
        <v>1.0111000000000001</v>
      </c>
      <c r="H326" s="3272" t="s">
        <v>4874</v>
      </c>
      <c r="I326" s="1514" t="s">
        <v>6595</v>
      </c>
      <c r="J326" s="1515" t="s">
        <v>4306</v>
      </c>
      <c r="K326" s="1516">
        <v>43705</v>
      </c>
      <c r="L326" s="1514" t="s">
        <v>4875</v>
      </c>
      <c r="M326" s="1515" t="s">
        <v>4876</v>
      </c>
      <c r="N326" s="1514" t="s">
        <v>4877</v>
      </c>
      <c r="O326" s="1513" t="s">
        <v>6243</v>
      </c>
      <c r="P326" s="1517" t="s">
        <v>4944</v>
      </c>
      <c r="Q326" s="6094" t="s">
        <v>4878</v>
      </c>
      <c r="R326" s="1515" t="s">
        <v>1046</v>
      </c>
      <c r="S326" s="1518"/>
      <c r="T326" s="1519">
        <v>2304</v>
      </c>
      <c r="U326" s="1504">
        <v>0</v>
      </c>
      <c r="V326" s="1520">
        <f t="shared" si="108"/>
        <v>2304</v>
      </c>
      <c r="W326" s="1519">
        <v>2881</v>
      </c>
      <c r="X326" s="1504">
        <v>0</v>
      </c>
      <c r="Y326" s="1520">
        <f t="shared" si="109"/>
        <v>2881</v>
      </c>
      <c r="Z326" s="1519">
        <v>823</v>
      </c>
      <c r="AA326" s="1504">
        <v>0</v>
      </c>
      <c r="AB326" s="1520">
        <f t="shared" si="110"/>
        <v>823</v>
      </c>
      <c r="AC326" s="820"/>
      <c r="AD326" s="821"/>
      <c r="AE326" s="822"/>
      <c r="AF326" s="820"/>
      <c r="AG326" s="821"/>
      <c r="AH326" s="822"/>
      <c r="AI326" s="1503">
        <f t="shared" si="111"/>
        <v>6008</v>
      </c>
      <c r="AJ326" s="1504">
        <f t="shared" si="112"/>
        <v>0</v>
      </c>
      <c r="AK326" s="3919">
        <v>0</v>
      </c>
      <c r="AL326" s="1505">
        <f t="shared" si="113"/>
        <v>6008</v>
      </c>
      <c r="AM326" s="1508" t="s">
        <v>1061</v>
      </c>
      <c r="AN326" s="3401">
        <v>43584</v>
      </c>
      <c r="AO326" s="3402" t="s">
        <v>6640</v>
      </c>
      <c r="AP326" s="2664" t="s">
        <v>5807</v>
      </c>
      <c r="AQ326" s="2806">
        <v>1.0247219999999999</v>
      </c>
      <c r="AR326" s="1506">
        <f t="shared" si="117"/>
        <v>2335</v>
      </c>
      <c r="AS326" s="1507">
        <f t="shared" si="115"/>
        <v>2920</v>
      </c>
      <c r="AT326" s="1507">
        <f t="shared" si="116"/>
        <v>834</v>
      </c>
      <c r="AU326" s="849"/>
      <c r="AV326" s="849"/>
      <c r="AW326" s="3247">
        <f t="shared" si="118"/>
        <v>6089</v>
      </c>
      <c r="AX326" s="3146"/>
      <c r="BB326" s="267"/>
      <c r="BC326" s="4117">
        <f t="shared" si="107"/>
        <v>0</v>
      </c>
      <c r="BD326" s="4117">
        <f t="shared" si="119"/>
        <v>0</v>
      </c>
    </row>
    <row r="327" spans="1:57" ht="77.25" thickBot="1">
      <c r="A327" s="6031" t="s">
        <v>11135</v>
      </c>
      <c r="B327" s="3274" t="s">
        <v>6644</v>
      </c>
      <c r="C327" s="3275">
        <v>0</v>
      </c>
      <c r="D327" s="3276">
        <v>43423</v>
      </c>
      <c r="E327" s="3276" t="s">
        <v>6386</v>
      </c>
      <c r="F327" s="3277" t="s">
        <v>5757</v>
      </c>
      <c r="G327" s="3278">
        <v>1.0247219999999999</v>
      </c>
      <c r="H327" s="3279" t="s">
        <v>6015</v>
      </c>
      <c r="I327" s="3280" t="s">
        <v>6016</v>
      </c>
      <c r="J327" s="3281" t="s">
        <v>4306</v>
      </c>
      <c r="K327" s="3282">
        <v>44154</v>
      </c>
      <c r="L327" s="3280" t="s">
        <v>6017</v>
      </c>
      <c r="M327" s="3281" t="s">
        <v>6018</v>
      </c>
      <c r="N327" s="3280" t="s">
        <v>6019</v>
      </c>
      <c r="O327" s="3279" t="s">
        <v>6289</v>
      </c>
      <c r="P327" s="3283"/>
      <c r="Q327" s="6101" t="s">
        <v>5708</v>
      </c>
      <c r="R327" s="3281" t="s">
        <v>5350</v>
      </c>
      <c r="S327" s="3284" t="s">
        <v>5972</v>
      </c>
      <c r="T327" s="3285">
        <v>2444</v>
      </c>
      <c r="U327" s="3286">
        <v>0</v>
      </c>
      <c r="V327" s="3287">
        <f t="shared" si="108"/>
        <v>2444</v>
      </c>
      <c r="W327" s="3285">
        <v>3056</v>
      </c>
      <c r="X327" s="3286">
        <v>0</v>
      </c>
      <c r="Y327" s="3287">
        <f t="shared" si="109"/>
        <v>3056</v>
      </c>
      <c r="Z327" s="3285">
        <v>0</v>
      </c>
      <c r="AA327" s="3286">
        <v>0</v>
      </c>
      <c r="AB327" s="3287">
        <f t="shared" si="110"/>
        <v>0</v>
      </c>
      <c r="AC327" s="3238"/>
      <c r="AD327" s="3239"/>
      <c r="AE327" s="3288"/>
      <c r="AF327" s="3238"/>
      <c r="AG327" s="3239"/>
      <c r="AH327" s="3288"/>
      <c r="AI327" s="3289">
        <f t="shared" si="111"/>
        <v>5500</v>
      </c>
      <c r="AJ327" s="3286">
        <f t="shared" si="112"/>
        <v>0</v>
      </c>
      <c r="AK327" s="3916">
        <v>0</v>
      </c>
      <c r="AL327" s="3290">
        <f t="shared" si="113"/>
        <v>5500</v>
      </c>
      <c r="AM327" s="3589" t="s">
        <v>1061</v>
      </c>
      <c r="AN327" s="3590">
        <v>43585</v>
      </c>
      <c r="AO327" s="3591" t="s">
        <v>6641</v>
      </c>
      <c r="AP327" s="3291" t="s">
        <v>5807</v>
      </c>
      <c r="AQ327" s="3292">
        <v>1.0247219999999999</v>
      </c>
      <c r="AR327" s="3293">
        <f t="shared" si="117"/>
        <v>2444</v>
      </c>
      <c r="AS327" s="3294">
        <f t="shared" si="115"/>
        <v>3056</v>
      </c>
      <c r="AT327" s="3294">
        <f t="shared" si="116"/>
        <v>0</v>
      </c>
      <c r="AU327" s="3213"/>
      <c r="AV327" s="3213"/>
      <c r="AW327" s="3295">
        <f t="shared" si="118"/>
        <v>5500</v>
      </c>
      <c r="AX327" s="3296"/>
      <c r="AY327" s="1498" t="s">
        <v>6599</v>
      </c>
      <c r="AZ327" s="2118">
        <f>SUM(AW316:AW327)</f>
        <v>415850</v>
      </c>
      <c r="BA327" s="1727">
        <f>AZ327</f>
        <v>415850</v>
      </c>
      <c r="BB327" s="267"/>
      <c r="BC327" s="4117">
        <f t="shared" si="107"/>
        <v>0</v>
      </c>
      <c r="BD327" s="4117">
        <f t="shared" si="119"/>
        <v>0</v>
      </c>
    </row>
    <row r="328" spans="1:57" ht="89.25">
      <c r="A328" s="5964" t="s">
        <v>11141</v>
      </c>
      <c r="B328" s="338" t="s">
        <v>6677</v>
      </c>
      <c r="C328" s="321">
        <v>0</v>
      </c>
      <c r="D328" s="323">
        <v>42823</v>
      </c>
      <c r="E328" s="3051" t="s">
        <v>6385</v>
      </c>
      <c r="F328" s="324" t="s">
        <v>4154</v>
      </c>
      <c r="G328" s="2621">
        <v>1.0111000000000001</v>
      </c>
      <c r="H328" s="332" t="s">
        <v>4478</v>
      </c>
      <c r="I328" s="339" t="s">
        <v>4479</v>
      </c>
      <c r="J328" s="322" t="s">
        <v>4306</v>
      </c>
      <c r="K328" s="340">
        <v>43553</v>
      </c>
      <c r="L328" s="339" t="s">
        <v>4480</v>
      </c>
      <c r="M328" s="322" t="s">
        <v>4481</v>
      </c>
      <c r="N328" s="339" t="s">
        <v>4482</v>
      </c>
      <c r="O328" s="332" t="s">
        <v>6227</v>
      </c>
      <c r="P328" s="345" t="s">
        <v>6679</v>
      </c>
      <c r="Q328" s="6094" t="s">
        <v>4332</v>
      </c>
      <c r="R328" s="322" t="s">
        <v>1046</v>
      </c>
      <c r="S328" s="346"/>
      <c r="T328" s="347">
        <v>2288</v>
      </c>
      <c r="U328" s="326">
        <v>0</v>
      </c>
      <c r="V328" s="348">
        <f t="shared" si="108"/>
        <v>2288</v>
      </c>
      <c r="W328" s="347">
        <v>2860</v>
      </c>
      <c r="X328" s="326">
        <v>0</v>
      </c>
      <c r="Y328" s="348">
        <f t="shared" si="109"/>
        <v>2860</v>
      </c>
      <c r="Z328" s="347">
        <v>817</v>
      </c>
      <c r="AA328" s="326">
        <v>0</v>
      </c>
      <c r="AB328" s="348">
        <f t="shared" si="110"/>
        <v>817</v>
      </c>
      <c r="AC328" s="820"/>
      <c r="AD328" s="821"/>
      <c r="AE328" s="822"/>
      <c r="AF328" s="820"/>
      <c r="AG328" s="821"/>
      <c r="AH328" s="822"/>
      <c r="AI328" s="482">
        <f t="shared" si="111"/>
        <v>5965</v>
      </c>
      <c r="AJ328" s="326">
        <f t="shared" si="112"/>
        <v>0</v>
      </c>
      <c r="AK328" s="3917">
        <v>0</v>
      </c>
      <c r="AL328" s="349">
        <f t="shared" si="113"/>
        <v>5965</v>
      </c>
      <c r="AM328" s="2002" t="s">
        <v>1061</v>
      </c>
      <c r="AN328" s="3357">
        <v>43586</v>
      </c>
      <c r="AO328" s="695" t="s">
        <v>6645</v>
      </c>
      <c r="AP328" s="2722" t="s">
        <v>5807</v>
      </c>
      <c r="AQ328" s="2723">
        <v>1.0247219999999999</v>
      </c>
      <c r="AR328" s="333">
        <f t="shared" si="117"/>
        <v>2319</v>
      </c>
      <c r="AS328" s="330">
        <f t="shared" si="115"/>
        <v>2899</v>
      </c>
      <c r="AT328" s="330">
        <f t="shared" si="116"/>
        <v>828</v>
      </c>
      <c r="AU328" s="849"/>
      <c r="AV328" s="849"/>
      <c r="AW328" s="3156">
        <f t="shared" si="118"/>
        <v>6046</v>
      </c>
      <c r="AX328" s="3140"/>
      <c r="BB328" s="267"/>
      <c r="BC328" s="4117">
        <f t="shared" si="107"/>
        <v>0</v>
      </c>
      <c r="BD328" s="4117">
        <f t="shared" si="119"/>
        <v>0</v>
      </c>
    </row>
    <row r="329" spans="1:57" ht="76.5">
      <c r="A329" s="5964" t="s">
        <v>11141</v>
      </c>
      <c r="B329" s="338" t="s">
        <v>6643</v>
      </c>
      <c r="C329" s="321">
        <v>0</v>
      </c>
      <c r="D329" s="323">
        <v>43304</v>
      </c>
      <c r="E329" s="3051" t="s">
        <v>6385</v>
      </c>
      <c r="F329" s="324" t="s">
        <v>5757</v>
      </c>
      <c r="G329" s="2621">
        <v>1.0247219999999999</v>
      </c>
      <c r="H329" s="332" t="s">
        <v>6488</v>
      </c>
      <c r="I329" s="339" t="s">
        <v>5772</v>
      </c>
      <c r="J329" s="322" t="s">
        <v>4306</v>
      </c>
      <c r="K329" s="340">
        <v>44035</v>
      </c>
      <c r="L329" s="339" t="s">
        <v>5773</v>
      </c>
      <c r="M329" s="322" t="s">
        <v>5528</v>
      </c>
      <c r="N329" s="339" t="s">
        <v>5774</v>
      </c>
      <c r="O329" s="332" t="s">
        <v>5775</v>
      </c>
      <c r="P329" s="345"/>
      <c r="Q329" s="6094" t="s">
        <v>5708</v>
      </c>
      <c r="R329" s="322" t="s">
        <v>5350</v>
      </c>
      <c r="S329" s="346"/>
      <c r="T329" s="347">
        <v>2334</v>
      </c>
      <c r="U329" s="326">
        <v>0</v>
      </c>
      <c r="V329" s="348">
        <f t="shared" si="108"/>
        <v>2334</v>
      </c>
      <c r="W329" s="347">
        <v>2917</v>
      </c>
      <c r="X329" s="326">
        <v>0</v>
      </c>
      <c r="Y329" s="348">
        <f t="shared" si="109"/>
        <v>2917</v>
      </c>
      <c r="Z329" s="347">
        <v>833</v>
      </c>
      <c r="AA329" s="326">
        <v>0</v>
      </c>
      <c r="AB329" s="348">
        <f t="shared" si="110"/>
        <v>833</v>
      </c>
      <c r="AC329" s="820"/>
      <c r="AD329" s="821"/>
      <c r="AE329" s="822"/>
      <c r="AF329" s="820"/>
      <c r="AG329" s="821"/>
      <c r="AH329" s="822"/>
      <c r="AI329" s="482">
        <f t="shared" si="111"/>
        <v>6084</v>
      </c>
      <c r="AJ329" s="326">
        <f t="shared" si="112"/>
        <v>0</v>
      </c>
      <c r="AK329" s="3917">
        <v>0</v>
      </c>
      <c r="AL329" s="349">
        <f t="shared" si="113"/>
        <v>6084</v>
      </c>
      <c r="AM329" s="2002" t="s">
        <v>1061</v>
      </c>
      <c r="AN329" s="3357">
        <v>43586</v>
      </c>
      <c r="AO329" s="695" t="s">
        <v>6646</v>
      </c>
      <c r="AP329" s="2722" t="s">
        <v>5807</v>
      </c>
      <c r="AQ329" s="2723">
        <v>1.0247219999999999</v>
      </c>
      <c r="AR329" s="333">
        <f t="shared" si="117"/>
        <v>2334</v>
      </c>
      <c r="AS329" s="330">
        <f t="shared" si="115"/>
        <v>2917</v>
      </c>
      <c r="AT329" s="330">
        <f t="shared" si="116"/>
        <v>833</v>
      </c>
      <c r="AU329" s="849"/>
      <c r="AV329" s="849"/>
      <c r="AW329" s="3156">
        <f t="shared" si="118"/>
        <v>6084</v>
      </c>
      <c r="AX329" s="3140"/>
      <c r="BA329" s="267"/>
      <c r="BB329" s="267"/>
      <c r="BC329" s="4117">
        <f t="shared" si="107"/>
        <v>0</v>
      </c>
      <c r="BD329" s="4117">
        <f t="shared" si="119"/>
        <v>0</v>
      </c>
    </row>
    <row r="330" spans="1:57" ht="89.25">
      <c r="A330" s="5964" t="s">
        <v>11141</v>
      </c>
      <c r="B330" s="338" t="s">
        <v>5931</v>
      </c>
      <c r="C330" s="321">
        <v>5</v>
      </c>
      <c r="D330" s="323" t="s">
        <v>6048</v>
      </c>
      <c r="E330" s="829" t="s">
        <v>6386</v>
      </c>
      <c r="F330" s="830" t="s">
        <v>5757</v>
      </c>
      <c r="G330" s="2621">
        <v>1.0247219999999999</v>
      </c>
      <c r="H330" s="332" t="s">
        <v>6049</v>
      </c>
      <c r="I330" s="339" t="s">
        <v>4235</v>
      </c>
      <c r="J330" s="322" t="s">
        <v>1434</v>
      </c>
      <c r="K330" s="340" t="s">
        <v>4260</v>
      </c>
      <c r="L330" s="339" t="s">
        <v>1119</v>
      </c>
      <c r="M330" s="322" t="s">
        <v>3301</v>
      </c>
      <c r="N330" s="339" t="s">
        <v>4967</v>
      </c>
      <c r="O330" s="332" t="s">
        <v>6192</v>
      </c>
      <c r="P330" s="345" t="s">
        <v>6052</v>
      </c>
      <c r="Q330" s="322" t="s">
        <v>4968</v>
      </c>
      <c r="R330" s="2054" t="s">
        <v>5245</v>
      </c>
      <c r="S330" s="346"/>
      <c r="T330" s="347">
        <v>2834</v>
      </c>
      <c r="U330" s="326">
        <v>0</v>
      </c>
      <c r="V330" s="348">
        <f t="shared" ref="V330:V361" si="120">T330-U330</f>
        <v>2834</v>
      </c>
      <c r="W330" s="347">
        <v>0</v>
      </c>
      <c r="X330" s="326">
        <v>0</v>
      </c>
      <c r="Y330" s="348">
        <f t="shared" ref="Y330:Y361" si="121">W330-X330</f>
        <v>0</v>
      </c>
      <c r="Z330" s="347">
        <v>17707</v>
      </c>
      <c r="AA330" s="326">
        <v>0</v>
      </c>
      <c r="AB330" s="348">
        <f t="shared" ref="AB330:AB361" si="122">Z330-AA330</f>
        <v>17707</v>
      </c>
      <c r="AC330" s="820"/>
      <c r="AD330" s="821"/>
      <c r="AE330" s="822"/>
      <c r="AF330" s="820"/>
      <c r="AG330" s="821"/>
      <c r="AH330" s="822"/>
      <c r="AI330" s="482">
        <f t="shared" ref="AI330:AI361" si="123">T330+W330+Z330+AC330+AF330</f>
        <v>20541</v>
      </c>
      <c r="AJ330" s="326">
        <f t="shared" ref="AJ330:AJ361" si="124">U330+X330+AA330+AD330+AG330</f>
        <v>0</v>
      </c>
      <c r="AK330" s="3917">
        <v>0</v>
      </c>
      <c r="AL330" s="349">
        <f t="shared" ref="AL330:AL361" si="125">V330+Y330+AB330+AE330+AH330</f>
        <v>20541</v>
      </c>
      <c r="AM330" s="2002" t="s">
        <v>1061</v>
      </c>
      <c r="AN330" s="3357">
        <v>43588</v>
      </c>
      <c r="AO330" s="695" t="s">
        <v>6657</v>
      </c>
      <c r="AP330" s="2722" t="s">
        <v>5807</v>
      </c>
      <c r="AQ330" s="2723">
        <v>1.0247219999999999</v>
      </c>
      <c r="AR330" s="333">
        <f t="shared" si="117"/>
        <v>2834</v>
      </c>
      <c r="AS330" s="330">
        <f t="shared" si="115"/>
        <v>0</v>
      </c>
      <c r="AT330" s="330">
        <f t="shared" si="116"/>
        <v>17707</v>
      </c>
      <c r="AU330" s="849"/>
      <c r="AV330" s="849"/>
      <c r="AW330" s="3297">
        <f t="shared" si="118"/>
        <v>20541</v>
      </c>
      <c r="AX330" s="3140"/>
      <c r="BA330" s="267"/>
      <c r="BB330" s="267"/>
      <c r="BC330" s="4117">
        <f t="shared" si="107"/>
        <v>0</v>
      </c>
      <c r="BD330" s="4117">
        <f t="shared" si="119"/>
        <v>0</v>
      </c>
    </row>
    <row r="331" spans="1:57" ht="63.75">
      <c r="A331" s="2418" t="s">
        <v>11135</v>
      </c>
      <c r="B331" s="338" t="s">
        <v>5938</v>
      </c>
      <c r="C331" s="695">
        <v>3</v>
      </c>
      <c r="D331" s="3298" t="s">
        <v>6476</v>
      </c>
      <c r="E331" s="3051" t="s">
        <v>6396</v>
      </c>
      <c r="F331" s="324" t="s">
        <v>6478</v>
      </c>
      <c r="G331" s="3207">
        <v>1.0247219999999999</v>
      </c>
      <c r="H331" s="332" t="s">
        <v>6477</v>
      </c>
      <c r="I331" s="339" t="s">
        <v>1433</v>
      </c>
      <c r="J331" s="322" t="s">
        <v>1434</v>
      </c>
      <c r="K331" s="2152">
        <v>44607</v>
      </c>
      <c r="L331" s="339" t="s">
        <v>1119</v>
      </c>
      <c r="M331" s="322" t="s">
        <v>3301</v>
      </c>
      <c r="N331" s="339" t="s">
        <v>4057</v>
      </c>
      <c r="O331" s="332" t="s">
        <v>5302</v>
      </c>
      <c r="P331" s="345" t="s">
        <v>5304</v>
      </c>
      <c r="Q331" s="322" t="s">
        <v>4963</v>
      </c>
      <c r="R331" s="322" t="s">
        <v>4272</v>
      </c>
      <c r="S331" s="346"/>
      <c r="T331" s="347">
        <v>39349</v>
      </c>
      <c r="U331" s="326">
        <v>0</v>
      </c>
      <c r="V331" s="348">
        <f t="shared" si="120"/>
        <v>39349</v>
      </c>
      <c r="W331" s="347">
        <v>49187</v>
      </c>
      <c r="X331" s="326">
        <v>0</v>
      </c>
      <c r="Y331" s="348">
        <f t="shared" si="121"/>
        <v>49187</v>
      </c>
      <c r="Z331" s="347">
        <v>9837</v>
      </c>
      <c r="AA331" s="326">
        <v>0</v>
      </c>
      <c r="AB331" s="348">
        <f t="shared" si="122"/>
        <v>9837</v>
      </c>
      <c r="AC331" s="820"/>
      <c r="AD331" s="821"/>
      <c r="AE331" s="822"/>
      <c r="AF331" s="820"/>
      <c r="AG331" s="821"/>
      <c r="AH331" s="822"/>
      <c r="AI331" s="482">
        <f t="shared" si="123"/>
        <v>98373</v>
      </c>
      <c r="AJ331" s="326">
        <f t="shared" si="124"/>
        <v>0</v>
      </c>
      <c r="AK331" s="3917">
        <v>0</v>
      </c>
      <c r="AL331" s="349">
        <f t="shared" si="125"/>
        <v>98373</v>
      </c>
      <c r="AM331" s="2002" t="s">
        <v>1061</v>
      </c>
      <c r="AN331" s="3357">
        <v>43588</v>
      </c>
      <c r="AO331" s="695" t="s">
        <v>6658</v>
      </c>
      <c r="AP331" s="2722" t="s">
        <v>5807</v>
      </c>
      <c r="AQ331" s="2723">
        <v>1.0247219999999999</v>
      </c>
      <c r="AR331" s="333">
        <f>ROUNDDOWN($AQ331/$G331*V331,0)</f>
        <v>39349</v>
      </c>
      <c r="AS331" s="330">
        <f t="shared" si="115"/>
        <v>49187</v>
      </c>
      <c r="AT331" s="330">
        <f t="shared" si="116"/>
        <v>9837</v>
      </c>
      <c r="AU331" s="849"/>
      <c r="AV331" s="849"/>
      <c r="AW331" s="3297">
        <f t="shared" si="118"/>
        <v>98373</v>
      </c>
      <c r="AX331" s="3140"/>
      <c r="BA331" s="267"/>
      <c r="BB331" s="267"/>
      <c r="BC331" s="4117">
        <f t="shared" si="107"/>
        <v>0</v>
      </c>
      <c r="BD331" s="4117">
        <f t="shared" si="119"/>
        <v>0</v>
      </c>
    </row>
    <row r="332" spans="1:57" ht="51">
      <c r="A332" s="2418" t="s">
        <v>11135</v>
      </c>
      <c r="B332" s="338" t="s">
        <v>3950</v>
      </c>
      <c r="C332" s="321">
        <v>0</v>
      </c>
      <c r="D332" s="323">
        <v>42878</v>
      </c>
      <c r="E332" s="3051" t="s">
        <v>6385</v>
      </c>
      <c r="F332" s="324" t="s">
        <v>4154</v>
      </c>
      <c r="G332" s="2621">
        <v>1.0111000000000001</v>
      </c>
      <c r="H332" s="332" t="s">
        <v>4601</v>
      </c>
      <c r="I332" s="339" t="s">
        <v>1433</v>
      </c>
      <c r="J332" s="322" t="s">
        <v>1434</v>
      </c>
      <c r="K332" s="340">
        <v>44339</v>
      </c>
      <c r="L332" s="339" t="s">
        <v>4602</v>
      </c>
      <c r="M332" s="322" t="s">
        <v>4567</v>
      </c>
      <c r="N332" s="339" t="s">
        <v>4603</v>
      </c>
      <c r="O332" s="332" t="s">
        <v>6231</v>
      </c>
      <c r="P332" s="345"/>
      <c r="Q332" s="322" t="s">
        <v>4604</v>
      </c>
      <c r="R332" s="322" t="s">
        <v>4605</v>
      </c>
      <c r="S332" s="346"/>
      <c r="T332" s="347">
        <v>6794</v>
      </c>
      <c r="U332" s="326">
        <v>0</v>
      </c>
      <c r="V332" s="348">
        <f t="shared" si="120"/>
        <v>6794</v>
      </c>
      <c r="W332" s="347">
        <v>8493</v>
      </c>
      <c r="X332" s="326">
        <v>0</v>
      </c>
      <c r="Y332" s="348">
        <f t="shared" si="121"/>
        <v>8493</v>
      </c>
      <c r="Z332" s="347">
        <v>1699</v>
      </c>
      <c r="AA332" s="326">
        <v>0</v>
      </c>
      <c r="AB332" s="348">
        <f t="shared" si="122"/>
        <v>1699</v>
      </c>
      <c r="AC332" s="820"/>
      <c r="AD332" s="821"/>
      <c r="AE332" s="822"/>
      <c r="AF332" s="820"/>
      <c r="AG332" s="821"/>
      <c r="AH332" s="822"/>
      <c r="AI332" s="482">
        <f t="shared" si="123"/>
        <v>16986</v>
      </c>
      <c r="AJ332" s="326">
        <f t="shared" si="124"/>
        <v>0</v>
      </c>
      <c r="AK332" s="3917">
        <v>0</v>
      </c>
      <c r="AL332" s="349">
        <f t="shared" si="125"/>
        <v>16986</v>
      </c>
      <c r="AM332" s="2002" t="s">
        <v>1061</v>
      </c>
      <c r="AN332" s="3357">
        <v>43593</v>
      </c>
      <c r="AO332" s="695" t="s">
        <v>6683</v>
      </c>
      <c r="AP332" s="2722" t="s">
        <v>5807</v>
      </c>
      <c r="AQ332" s="2723">
        <v>1.0247219999999999</v>
      </c>
      <c r="AR332" s="333">
        <f t="shared" ref="AR332:AR349" si="126">ROUND($AQ332/$G332*V332,0)</f>
        <v>6886</v>
      </c>
      <c r="AS332" s="330">
        <f t="shared" si="115"/>
        <v>8607</v>
      </c>
      <c r="AT332" s="330">
        <f t="shared" si="116"/>
        <v>1722</v>
      </c>
      <c r="AU332" s="849"/>
      <c r="AV332" s="849"/>
      <c r="AW332" s="3156">
        <f t="shared" si="118"/>
        <v>17215</v>
      </c>
      <c r="AX332" s="3140"/>
      <c r="BA332" s="267"/>
      <c r="BB332" s="267"/>
      <c r="BC332" s="4117">
        <f t="shared" si="107"/>
        <v>0</v>
      </c>
      <c r="BD332" s="4117">
        <f t="shared" si="119"/>
        <v>0</v>
      </c>
    </row>
    <row r="333" spans="1:57" ht="51">
      <c r="A333" s="2418" t="s">
        <v>11135</v>
      </c>
      <c r="B333" s="338" t="s">
        <v>6687</v>
      </c>
      <c r="C333" s="321">
        <v>0</v>
      </c>
      <c r="D333" s="323">
        <v>42933</v>
      </c>
      <c r="E333" s="3051" t="s">
        <v>6385</v>
      </c>
      <c r="F333" s="324" t="s">
        <v>4154</v>
      </c>
      <c r="G333" s="2621">
        <v>1.0111000000000001</v>
      </c>
      <c r="H333" s="332" t="s">
        <v>4772</v>
      </c>
      <c r="I333" s="339" t="s">
        <v>1433</v>
      </c>
      <c r="J333" s="322" t="s">
        <v>1434</v>
      </c>
      <c r="K333" s="340">
        <v>44394</v>
      </c>
      <c r="L333" s="339" t="s">
        <v>4779</v>
      </c>
      <c r="M333" s="322" t="s">
        <v>3899</v>
      </c>
      <c r="N333" s="339" t="s">
        <v>4780</v>
      </c>
      <c r="O333" s="332" t="s">
        <v>6238</v>
      </c>
      <c r="P333" s="345"/>
      <c r="Q333" s="322" t="s">
        <v>4781</v>
      </c>
      <c r="R333" s="322" t="s">
        <v>1046</v>
      </c>
      <c r="S333" s="346"/>
      <c r="T333" s="347">
        <v>1299</v>
      </c>
      <c r="U333" s="326">
        <v>0</v>
      </c>
      <c r="V333" s="348">
        <f t="shared" si="120"/>
        <v>1299</v>
      </c>
      <c r="W333" s="347">
        <v>229</v>
      </c>
      <c r="X333" s="326">
        <v>0</v>
      </c>
      <c r="Y333" s="348">
        <f t="shared" si="121"/>
        <v>229</v>
      </c>
      <c r="Z333" s="347">
        <v>182</v>
      </c>
      <c r="AA333" s="326">
        <v>0</v>
      </c>
      <c r="AB333" s="348">
        <f t="shared" si="122"/>
        <v>182</v>
      </c>
      <c r="AC333" s="820"/>
      <c r="AD333" s="821"/>
      <c r="AE333" s="822"/>
      <c r="AF333" s="820"/>
      <c r="AG333" s="821"/>
      <c r="AH333" s="822"/>
      <c r="AI333" s="482">
        <f t="shared" si="123"/>
        <v>1710</v>
      </c>
      <c r="AJ333" s="326">
        <f t="shared" si="124"/>
        <v>0</v>
      </c>
      <c r="AK333" s="3917">
        <v>0</v>
      </c>
      <c r="AL333" s="349">
        <f t="shared" si="125"/>
        <v>1710</v>
      </c>
      <c r="AM333" s="2002" t="s">
        <v>1061</v>
      </c>
      <c r="AN333" s="3357">
        <v>43593</v>
      </c>
      <c r="AO333" s="695" t="s">
        <v>6685</v>
      </c>
      <c r="AP333" s="2722" t="s">
        <v>5807</v>
      </c>
      <c r="AQ333" s="2723">
        <v>1.0247219999999999</v>
      </c>
      <c r="AR333" s="333">
        <f t="shared" si="126"/>
        <v>1317</v>
      </c>
      <c r="AS333" s="330">
        <f t="shared" si="115"/>
        <v>232</v>
      </c>
      <c r="AT333" s="330">
        <f t="shared" si="116"/>
        <v>184</v>
      </c>
      <c r="AU333" s="849"/>
      <c r="AV333" s="849"/>
      <c r="AW333" s="3156">
        <f t="shared" si="118"/>
        <v>1733</v>
      </c>
      <c r="AX333" s="3140"/>
      <c r="BA333" s="267"/>
      <c r="BB333" s="267"/>
      <c r="BC333" s="4117">
        <f t="shared" si="107"/>
        <v>0</v>
      </c>
      <c r="BD333" s="4117">
        <f t="shared" si="119"/>
        <v>0</v>
      </c>
    </row>
    <row r="334" spans="1:57" ht="51">
      <c r="A334" s="2418" t="s">
        <v>11135</v>
      </c>
      <c r="B334" s="1569" t="s">
        <v>5341</v>
      </c>
      <c r="C334" s="1570">
        <v>0</v>
      </c>
      <c r="D334" s="1571">
        <v>43166</v>
      </c>
      <c r="E334" s="3057" t="s">
        <v>6385</v>
      </c>
      <c r="F334" s="1572" t="s">
        <v>5915</v>
      </c>
      <c r="G334" s="2622">
        <v>1.0119899999999999</v>
      </c>
      <c r="H334" s="1573" t="s">
        <v>5340</v>
      </c>
      <c r="I334" s="339" t="s">
        <v>1433</v>
      </c>
      <c r="J334" s="322" t="s">
        <v>1434</v>
      </c>
      <c r="K334" s="340" t="s">
        <v>4905</v>
      </c>
      <c r="L334" s="1574" t="s">
        <v>5336</v>
      </c>
      <c r="M334" s="322" t="s">
        <v>5337</v>
      </c>
      <c r="N334" s="339" t="s">
        <v>5338</v>
      </c>
      <c r="O334" s="332" t="s">
        <v>6273</v>
      </c>
      <c r="P334" s="345" t="s">
        <v>7270</v>
      </c>
      <c r="Q334" s="322" t="s">
        <v>5339</v>
      </c>
      <c r="R334" s="322" t="s">
        <v>290</v>
      </c>
      <c r="S334" s="1576" t="s">
        <v>3476</v>
      </c>
      <c r="T334" s="347">
        <v>1019</v>
      </c>
      <c r="U334" s="326">
        <v>1019</v>
      </c>
      <c r="V334" s="348">
        <f t="shared" si="120"/>
        <v>0</v>
      </c>
      <c r="W334" s="347">
        <v>0</v>
      </c>
      <c r="X334" s="326">
        <v>0</v>
      </c>
      <c r="Y334" s="348">
        <f t="shared" si="121"/>
        <v>0</v>
      </c>
      <c r="Z334" s="347">
        <v>0</v>
      </c>
      <c r="AA334" s="326">
        <v>0</v>
      </c>
      <c r="AB334" s="348">
        <f t="shared" si="122"/>
        <v>0</v>
      </c>
      <c r="AC334" s="820"/>
      <c r="AD334" s="821"/>
      <c r="AE334" s="822"/>
      <c r="AF334" s="820"/>
      <c r="AG334" s="821"/>
      <c r="AH334" s="822"/>
      <c r="AI334" s="482">
        <f t="shared" si="123"/>
        <v>1019</v>
      </c>
      <c r="AJ334" s="326">
        <f t="shared" si="124"/>
        <v>1019</v>
      </c>
      <c r="AK334" s="3899"/>
      <c r="AL334" s="349">
        <f t="shared" si="125"/>
        <v>0</v>
      </c>
      <c r="AM334" s="337" t="s">
        <v>7271</v>
      </c>
      <c r="AN334" s="327"/>
      <c r="AO334" s="328"/>
      <c r="AP334" s="2722" t="s">
        <v>5807</v>
      </c>
      <c r="AQ334" s="2723">
        <v>1.0247219999999999</v>
      </c>
      <c r="AR334" s="333">
        <f t="shared" si="126"/>
        <v>0</v>
      </c>
      <c r="AS334" s="330">
        <f t="shared" si="115"/>
        <v>0</v>
      </c>
      <c r="AT334" s="330">
        <f t="shared" si="116"/>
        <v>0</v>
      </c>
      <c r="AU334" s="849"/>
      <c r="AV334" s="849"/>
      <c r="AW334" s="3156">
        <f t="shared" si="118"/>
        <v>0</v>
      </c>
      <c r="AX334" s="3140"/>
      <c r="BA334" s="267"/>
      <c r="BB334" s="267"/>
      <c r="BC334" s="4117">
        <f t="shared" si="107"/>
        <v>1032</v>
      </c>
      <c r="BD334" s="4117">
        <f t="shared" si="119"/>
        <v>0</v>
      </c>
    </row>
    <row r="335" spans="1:57" ht="89.25">
      <c r="A335" s="5964" t="s">
        <v>11141</v>
      </c>
      <c r="B335" s="338" t="s">
        <v>6686</v>
      </c>
      <c r="C335" s="321">
        <v>0</v>
      </c>
      <c r="D335" s="323">
        <v>43059</v>
      </c>
      <c r="E335" s="3051" t="s">
        <v>6385</v>
      </c>
      <c r="F335" s="324" t="s">
        <v>5915</v>
      </c>
      <c r="G335" s="2621">
        <v>1.0119899999999999</v>
      </c>
      <c r="H335" s="332" t="s">
        <v>5097</v>
      </c>
      <c r="I335" s="339" t="s">
        <v>5089</v>
      </c>
      <c r="J335" s="322" t="s">
        <v>4306</v>
      </c>
      <c r="K335" s="340">
        <v>43789</v>
      </c>
      <c r="L335" s="339" t="s">
        <v>5090</v>
      </c>
      <c r="M335" s="322" t="s">
        <v>5091</v>
      </c>
      <c r="N335" s="339" t="s">
        <v>5092</v>
      </c>
      <c r="O335" s="332" t="s">
        <v>5093</v>
      </c>
      <c r="P335" s="345"/>
      <c r="Q335" s="6094" t="s">
        <v>4878</v>
      </c>
      <c r="R335" s="322" t="s">
        <v>1046</v>
      </c>
      <c r="S335" s="346"/>
      <c r="T335" s="347">
        <v>2315</v>
      </c>
      <c r="U335" s="326">
        <v>0</v>
      </c>
      <c r="V335" s="348">
        <f t="shared" si="120"/>
        <v>2315</v>
      </c>
      <c r="W335" s="347">
        <v>2893</v>
      </c>
      <c r="X335" s="326">
        <v>0</v>
      </c>
      <c r="Y335" s="348">
        <f t="shared" si="121"/>
        <v>2893</v>
      </c>
      <c r="Z335" s="347">
        <v>827</v>
      </c>
      <c r="AA335" s="326">
        <v>0</v>
      </c>
      <c r="AB335" s="348">
        <f t="shared" si="122"/>
        <v>827</v>
      </c>
      <c r="AC335" s="820"/>
      <c r="AD335" s="821"/>
      <c r="AE335" s="822"/>
      <c r="AF335" s="820"/>
      <c r="AG335" s="821"/>
      <c r="AH335" s="822"/>
      <c r="AI335" s="482">
        <f t="shared" si="123"/>
        <v>6035</v>
      </c>
      <c r="AJ335" s="326">
        <f t="shared" si="124"/>
        <v>0</v>
      </c>
      <c r="AK335" s="3917">
        <v>0</v>
      </c>
      <c r="AL335" s="349">
        <f t="shared" si="125"/>
        <v>6035</v>
      </c>
      <c r="AM335" s="2002" t="s">
        <v>1061</v>
      </c>
      <c r="AN335" s="3357">
        <v>43598</v>
      </c>
      <c r="AO335" s="695" t="s">
        <v>6688</v>
      </c>
      <c r="AP335" s="2722" t="s">
        <v>5807</v>
      </c>
      <c r="AQ335" s="2723">
        <v>1.0247219999999999</v>
      </c>
      <c r="AR335" s="333">
        <f t="shared" si="126"/>
        <v>2344</v>
      </c>
      <c r="AS335" s="330">
        <f t="shared" si="115"/>
        <v>2929</v>
      </c>
      <c r="AT335" s="330">
        <f t="shared" si="116"/>
        <v>837</v>
      </c>
      <c r="AU335" s="849"/>
      <c r="AV335" s="849"/>
      <c r="AW335" s="3156">
        <f t="shared" si="118"/>
        <v>6110</v>
      </c>
      <c r="AX335" s="3140"/>
      <c r="BA335" s="267"/>
      <c r="BB335" s="267"/>
      <c r="BC335" s="4117">
        <f t="shared" si="107"/>
        <v>0</v>
      </c>
      <c r="BD335" s="4117">
        <f t="shared" si="119"/>
        <v>0</v>
      </c>
    </row>
    <row r="336" spans="1:57" ht="76.5">
      <c r="A336" s="5964" t="s">
        <v>11141</v>
      </c>
      <c r="B336" s="338" t="s">
        <v>6648</v>
      </c>
      <c r="C336" s="321">
        <v>0</v>
      </c>
      <c r="D336" s="323">
        <v>43108</v>
      </c>
      <c r="E336" s="3051" t="s">
        <v>6385</v>
      </c>
      <c r="F336" s="324" t="s">
        <v>5915</v>
      </c>
      <c r="G336" s="2621">
        <v>1.0119899999999999</v>
      </c>
      <c r="H336" s="332" t="s">
        <v>5214</v>
      </c>
      <c r="I336" s="339" t="s">
        <v>5210</v>
      </c>
      <c r="J336" s="322" t="s">
        <v>4306</v>
      </c>
      <c r="K336" s="340">
        <v>43811</v>
      </c>
      <c r="L336" s="339" t="s">
        <v>5211</v>
      </c>
      <c r="M336" s="322" t="s">
        <v>5212</v>
      </c>
      <c r="N336" s="339" t="s">
        <v>5213</v>
      </c>
      <c r="O336" s="332" t="s">
        <v>6313</v>
      </c>
      <c r="P336" s="345"/>
      <c r="Q336" s="6094" t="s">
        <v>4878</v>
      </c>
      <c r="R336" s="322" t="s">
        <v>1046</v>
      </c>
      <c r="S336" s="346"/>
      <c r="T336" s="347">
        <v>2315</v>
      </c>
      <c r="U336" s="326">
        <v>0</v>
      </c>
      <c r="V336" s="348">
        <f t="shared" si="120"/>
        <v>2315</v>
      </c>
      <c r="W336" s="347">
        <v>2893</v>
      </c>
      <c r="X336" s="326">
        <v>0</v>
      </c>
      <c r="Y336" s="348">
        <f t="shared" si="121"/>
        <v>2893</v>
      </c>
      <c r="Z336" s="347">
        <v>827</v>
      </c>
      <c r="AA336" s="326">
        <v>0</v>
      </c>
      <c r="AB336" s="348">
        <f t="shared" si="122"/>
        <v>827</v>
      </c>
      <c r="AC336" s="820"/>
      <c r="AD336" s="821"/>
      <c r="AE336" s="822"/>
      <c r="AF336" s="820"/>
      <c r="AG336" s="821"/>
      <c r="AH336" s="822"/>
      <c r="AI336" s="482">
        <f t="shared" si="123"/>
        <v>6035</v>
      </c>
      <c r="AJ336" s="326">
        <f t="shared" si="124"/>
        <v>0</v>
      </c>
      <c r="AK336" s="3917">
        <v>0</v>
      </c>
      <c r="AL336" s="349">
        <f t="shared" si="125"/>
        <v>6035</v>
      </c>
      <c r="AM336" s="2002" t="s">
        <v>2977</v>
      </c>
      <c r="AN336" s="3357">
        <v>43599</v>
      </c>
      <c r="AO336" s="695" t="s">
        <v>6699</v>
      </c>
      <c r="AP336" s="2722" t="s">
        <v>5807</v>
      </c>
      <c r="AQ336" s="2723">
        <v>1.0247219999999999</v>
      </c>
      <c r="AR336" s="333">
        <f t="shared" si="126"/>
        <v>2344</v>
      </c>
      <c r="AS336" s="330">
        <f t="shared" si="115"/>
        <v>2929</v>
      </c>
      <c r="AT336" s="330">
        <f t="shared" si="116"/>
        <v>837</v>
      </c>
      <c r="AU336" s="849"/>
      <c r="AV336" s="849"/>
      <c r="AW336" s="3156">
        <f t="shared" si="118"/>
        <v>6110</v>
      </c>
      <c r="AX336" s="3140"/>
      <c r="BA336" s="267"/>
      <c r="BB336" s="267"/>
      <c r="BC336" s="4117">
        <f t="shared" si="107"/>
        <v>0</v>
      </c>
      <c r="BD336" s="4117">
        <f t="shared" si="119"/>
        <v>0</v>
      </c>
    </row>
    <row r="337" spans="1:57" ht="129.75" customHeight="1">
      <c r="A337" s="2418" t="s">
        <v>11135</v>
      </c>
      <c r="B337" s="338" t="s">
        <v>5923</v>
      </c>
      <c r="C337" s="321">
        <v>0</v>
      </c>
      <c r="D337" s="323">
        <v>43062</v>
      </c>
      <c r="E337" s="3051" t="s">
        <v>6385</v>
      </c>
      <c r="F337" s="324" t="s">
        <v>5915</v>
      </c>
      <c r="G337" s="2621">
        <v>1.0119899999999999</v>
      </c>
      <c r="H337" s="332" t="s">
        <v>5122</v>
      </c>
      <c r="I337" s="339" t="s">
        <v>1433</v>
      </c>
      <c r="J337" s="322" t="s">
        <v>1434</v>
      </c>
      <c r="K337" s="340">
        <v>44549</v>
      </c>
      <c r="L337" s="339" t="s">
        <v>5123</v>
      </c>
      <c r="M337" s="322" t="s">
        <v>4960</v>
      </c>
      <c r="N337" s="339" t="s">
        <v>5124</v>
      </c>
      <c r="O337" s="332" t="s">
        <v>6319</v>
      </c>
      <c r="P337" s="2496" t="s">
        <v>5924</v>
      </c>
      <c r="Q337" s="322" t="s">
        <v>5125</v>
      </c>
      <c r="R337" s="322" t="s">
        <v>5126</v>
      </c>
      <c r="S337" s="346"/>
      <c r="T337" s="347">
        <v>36647</v>
      </c>
      <c r="U337" s="326">
        <v>0</v>
      </c>
      <c r="V337" s="348">
        <f t="shared" si="120"/>
        <v>36647</v>
      </c>
      <c r="W337" s="347">
        <v>6467</v>
      </c>
      <c r="X337" s="326">
        <v>0</v>
      </c>
      <c r="Y337" s="348">
        <f t="shared" si="121"/>
        <v>6467</v>
      </c>
      <c r="Z337" s="2012">
        <v>-3887</v>
      </c>
      <c r="AA337" s="326">
        <v>0</v>
      </c>
      <c r="AB337" s="2013">
        <f t="shared" si="122"/>
        <v>-3887</v>
      </c>
      <c r="AC337" s="820"/>
      <c r="AD337" s="821"/>
      <c r="AE337" s="822"/>
      <c r="AF337" s="820"/>
      <c r="AG337" s="821"/>
      <c r="AH337" s="822"/>
      <c r="AI337" s="482">
        <f t="shared" si="123"/>
        <v>39227</v>
      </c>
      <c r="AJ337" s="326">
        <f t="shared" si="124"/>
        <v>0</v>
      </c>
      <c r="AK337" s="3917">
        <v>0</v>
      </c>
      <c r="AL337" s="349">
        <f t="shared" si="125"/>
        <v>39227</v>
      </c>
      <c r="AM337" s="3592" t="s">
        <v>6698</v>
      </c>
      <c r="AN337" s="3357">
        <v>43599</v>
      </c>
      <c r="AO337" s="695" t="s">
        <v>6700</v>
      </c>
      <c r="AP337" s="2722" t="s">
        <v>5807</v>
      </c>
      <c r="AQ337" s="2723">
        <v>1.0247219999999999</v>
      </c>
      <c r="AR337" s="333">
        <f t="shared" si="126"/>
        <v>37108</v>
      </c>
      <c r="AS337" s="330">
        <f>ROUND($AQ337/$G337*(Y337+AB337),0)</f>
        <v>2612</v>
      </c>
      <c r="AT337" s="330">
        <v>0</v>
      </c>
      <c r="AU337" s="849"/>
      <c r="AV337" s="849"/>
      <c r="AW337" s="3156">
        <f t="shared" si="118"/>
        <v>39720</v>
      </c>
      <c r="AX337" s="3140"/>
      <c r="BA337" s="267"/>
      <c r="BB337" s="267"/>
      <c r="BC337" s="4117">
        <f t="shared" si="107"/>
        <v>0</v>
      </c>
      <c r="BD337" s="4117">
        <f t="shared" si="119"/>
        <v>0</v>
      </c>
    </row>
    <row r="338" spans="1:57" ht="89.25">
      <c r="A338" s="5964" t="s">
        <v>11141</v>
      </c>
      <c r="B338" s="338" t="s">
        <v>6681</v>
      </c>
      <c r="C338" s="321">
        <v>0</v>
      </c>
      <c r="D338" s="323">
        <v>42823</v>
      </c>
      <c r="E338" s="3051" t="s">
        <v>6385</v>
      </c>
      <c r="F338" s="1866" t="s">
        <v>5807</v>
      </c>
      <c r="G338" s="3300">
        <v>1.0247219999999999</v>
      </c>
      <c r="H338" s="3299" t="s">
        <v>4478</v>
      </c>
      <c r="I338" s="339" t="s">
        <v>4479</v>
      </c>
      <c r="J338" s="322" t="s">
        <v>4306</v>
      </c>
      <c r="K338" s="340">
        <v>43553</v>
      </c>
      <c r="L338" s="339" t="s">
        <v>4480</v>
      </c>
      <c r="M338" s="322" t="s">
        <v>4481</v>
      </c>
      <c r="N338" s="339" t="s">
        <v>4482</v>
      </c>
      <c r="O338" s="332" t="s">
        <v>6227</v>
      </c>
      <c r="P338" s="345" t="s">
        <v>6678</v>
      </c>
      <c r="Q338" s="6094" t="s">
        <v>4332</v>
      </c>
      <c r="R338" s="322" t="s">
        <v>1046</v>
      </c>
      <c r="S338" s="3303" t="s">
        <v>6682</v>
      </c>
      <c r="T338" s="2012">
        <f>-1740+185</f>
        <v>-1555</v>
      </c>
      <c r="U338" s="326">
        <v>0</v>
      </c>
      <c r="V338" s="2013">
        <f t="shared" si="120"/>
        <v>-1555</v>
      </c>
      <c r="W338" s="2012">
        <v>-2175</v>
      </c>
      <c r="X338" s="326">
        <v>0</v>
      </c>
      <c r="Y338" s="2013">
        <f t="shared" si="121"/>
        <v>-2175</v>
      </c>
      <c r="Z338" s="2012">
        <f>-621</f>
        <v>-621</v>
      </c>
      <c r="AA338" s="326">
        <v>0</v>
      </c>
      <c r="AB338" s="2013">
        <f t="shared" si="122"/>
        <v>-621</v>
      </c>
      <c r="AC338" s="820"/>
      <c r="AD338" s="821"/>
      <c r="AE338" s="822"/>
      <c r="AF338" s="820"/>
      <c r="AG338" s="821"/>
      <c r="AH338" s="822"/>
      <c r="AI338" s="3301">
        <f t="shared" si="123"/>
        <v>-4351</v>
      </c>
      <c r="AJ338" s="326">
        <f t="shared" si="124"/>
        <v>0</v>
      </c>
      <c r="AK338" s="3917">
        <v>0</v>
      </c>
      <c r="AL338" s="2499">
        <f t="shared" si="125"/>
        <v>-4351</v>
      </c>
      <c r="AM338" s="1298" t="s">
        <v>6705</v>
      </c>
      <c r="AN338" s="3529">
        <v>43600</v>
      </c>
      <c r="AO338" s="3530" t="s">
        <v>6706</v>
      </c>
      <c r="AP338" s="3222" t="s">
        <v>5807</v>
      </c>
      <c r="AQ338" s="3223">
        <v>1.0247219999999999</v>
      </c>
      <c r="AR338" s="333">
        <f t="shared" si="126"/>
        <v>-1555</v>
      </c>
      <c r="AS338" s="330">
        <f t="shared" ref="AS338:AS349" si="127">ROUND($AQ338/$G338*Y338,0)</f>
        <v>-2175</v>
      </c>
      <c r="AT338" s="330">
        <f t="shared" ref="AT338:AT350" si="128">ROUND($AQ338/$G338*AB338,0)</f>
        <v>-621</v>
      </c>
      <c r="AU338" s="849"/>
      <c r="AV338" s="849"/>
      <c r="AW338" s="3156">
        <f t="shared" si="118"/>
        <v>-4351</v>
      </c>
      <c r="AX338" s="3145" t="s">
        <v>6707</v>
      </c>
      <c r="BA338" s="267"/>
      <c r="BB338" s="267"/>
      <c r="BC338" s="4117">
        <f t="shared" si="107"/>
        <v>0</v>
      </c>
      <c r="BD338" s="4117">
        <f t="shared" si="119"/>
        <v>0</v>
      </c>
      <c r="BE338" s="4111">
        <f>AW338</f>
        <v>-4351</v>
      </c>
    </row>
    <row r="339" spans="1:57" ht="76.5">
      <c r="A339" s="2418" t="s">
        <v>11135</v>
      </c>
      <c r="B339" s="338" t="s">
        <v>5714</v>
      </c>
      <c r="C339" s="321">
        <v>0</v>
      </c>
      <c r="D339" s="323">
        <v>43514</v>
      </c>
      <c r="E339" s="3051" t="s">
        <v>6386</v>
      </c>
      <c r="F339" s="324" t="s">
        <v>5757</v>
      </c>
      <c r="G339" s="2621">
        <v>1.0247219999999999</v>
      </c>
      <c r="H339" s="332" t="s">
        <v>6412</v>
      </c>
      <c r="I339" s="339" t="s">
        <v>6413</v>
      </c>
      <c r="J339" s="322" t="s">
        <v>4306</v>
      </c>
      <c r="K339" s="340">
        <v>44245</v>
      </c>
      <c r="L339" s="339" t="s">
        <v>6420</v>
      </c>
      <c r="M339" s="322" t="s">
        <v>4425</v>
      </c>
      <c r="N339" s="339" t="s">
        <v>6415</v>
      </c>
      <c r="O339" s="332" t="s">
        <v>6416</v>
      </c>
      <c r="P339" s="345"/>
      <c r="Q339" s="6094" t="s">
        <v>5708</v>
      </c>
      <c r="R339" s="322" t="s">
        <v>5350</v>
      </c>
      <c r="S339" s="346" t="s">
        <v>5972</v>
      </c>
      <c r="T339" s="347">
        <v>2444</v>
      </c>
      <c r="U339" s="326">
        <v>0</v>
      </c>
      <c r="V339" s="348">
        <f t="shared" si="120"/>
        <v>2444</v>
      </c>
      <c r="W339" s="347">
        <v>3056</v>
      </c>
      <c r="X339" s="326">
        <v>0</v>
      </c>
      <c r="Y339" s="348">
        <f t="shared" si="121"/>
        <v>3056</v>
      </c>
      <c r="Z339" s="347">
        <v>0</v>
      </c>
      <c r="AA339" s="326">
        <v>0</v>
      </c>
      <c r="AB339" s="348">
        <f t="shared" si="122"/>
        <v>0</v>
      </c>
      <c r="AC339" s="820"/>
      <c r="AD339" s="821"/>
      <c r="AE339" s="822"/>
      <c r="AF339" s="820"/>
      <c r="AG339" s="821"/>
      <c r="AH339" s="822"/>
      <c r="AI339" s="482">
        <f t="shared" si="123"/>
        <v>5500</v>
      </c>
      <c r="AJ339" s="326">
        <f t="shared" si="124"/>
        <v>0</v>
      </c>
      <c r="AK339" s="3917">
        <v>0</v>
      </c>
      <c r="AL339" s="349">
        <f t="shared" si="125"/>
        <v>5500</v>
      </c>
      <c r="AM339" s="2002" t="s">
        <v>1061</v>
      </c>
      <c r="AN339" s="3357">
        <v>43602</v>
      </c>
      <c r="AO339" s="695" t="s">
        <v>6720</v>
      </c>
      <c r="AP339" s="2722" t="s">
        <v>5807</v>
      </c>
      <c r="AQ339" s="2723">
        <v>1.0247219999999999</v>
      </c>
      <c r="AR339" s="333">
        <f t="shared" si="126"/>
        <v>2444</v>
      </c>
      <c r="AS339" s="330">
        <f t="shared" si="127"/>
        <v>3056</v>
      </c>
      <c r="AT339" s="330">
        <f t="shared" si="128"/>
        <v>0</v>
      </c>
      <c r="AU339" s="849"/>
      <c r="AV339" s="849"/>
      <c r="AW339" s="3156">
        <f t="shared" si="118"/>
        <v>5500</v>
      </c>
      <c r="AX339" s="3140"/>
      <c r="BA339" s="1727"/>
      <c r="BB339" s="267"/>
      <c r="BC339" s="4117">
        <f t="shared" si="107"/>
        <v>0</v>
      </c>
      <c r="BD339" s="4117">
        <f t="shared" si="119"/>
        <v>0</v>
      </c>
    </row>
    <row r="340" spans="1:57" ht="51">
      <c r="A340" s="2418" t="s">
        <v>11135</v>
      </c>
      <c r="B340" s="338" t="s">
        <v>4544</v>
      </c>
      <c r="C340" s="321">
        <v>0</v>
      </c>
      <c r="D340" s="323">
        <v>43294</v>
      </c>
      <c r="E340" s="3051" t="s">
        <v>6385</v>
      </c>
      <c r="F340" s="324" t="s">
        <v>5915</v>
      </c>
      <c r="G340" s="2621">
        <v>1.0119899999999999</v>
      </c>
      <c r="H340" s="332" t="s">
        <v>5752</v>
      </c>
      <c r="I340" s="339" t="s">
        <v>5753</v>
      </c>
      <c r="J340" s="322" t="s">
        <v>2712</v>
      </c>
      <c r="K340" s="340">
        <v>44786</v>
      </c>
      <c r="L340" s="339" t="s">
        <v>5754</v>
      </c>
      <c r="M340" s="322" t="s">
        <v>2323</v>
      </c>
      <c r="N340" s="339" t="s">
        <v>5755</v>
      </c>
      <c r="O340" s="332" t="s">
        <v>6298</v>
      </c>
      <c r="P340" s="345"/>
      <c r="Q340" s="322" t="s">
        <v>5756</v>
      </c>
      <c r="R340" s="322" t="s">
        <v>5350</v>
      </c>
      <c r="S340" s="346"/>
      <c r="T340" s="347">
        <v>20402</v>
      </c>
      <c r="U340" s="326">
        <v>0</v>
      </c>
      <c r="V340" s="348">
        <f t="shared" si="120"/>
        <v>20402</v>
      </c>
      <c r="W340" s="347">
        <v>25502</v>
      </c>
      <c r="X340" s="326">
        <v>0</v>
      </c>
      <c r="Y340" s="348">
        <f t="shared" si="121"/>
        <v>25502</v>
      </c>
      <c r="Z340" s="347">
        <v>5100</v>
      </c>
      <c r="AA340" s="326">
        <v>0</v>
      </c>
      <c r="AB340" s="348">
        <f t="shared" si="122"/>
        <v>5100</v>
      </c>
      <c r="AC340" s="820"/>
      <c r="AD340" s="821"/>
      <c r="AE340" s="822"/>
      <c r="AF340" s="820"/>
      <c r="AG340" s="821"/>
      <c r="AH340" s="822"/>
      <c r="AI340" s="482">
        <f t="shared" si="123"/>
        <v>51004</v>
      </c>
      <c r="AJ340" s="326">
        <f t="shared" si="124"/>
        <v>0</v>
      </c>
      <c r="AK340" s="3917">
        <v>0</v>
      </c>
      <c r="AL340" s="349">
        <f t="shared" si="125"/>
        <v>51004</v>
      </c>
      <c r="AM340" s="2002" t="s">
        <v>2977</v>
      </c>
      <c r="AN340" s="3357">
        <v>43605</v>
      </c>
      <c r="AO340" s="695" t="s">
        <v>6722</v>
      </c>
      <c r="AP340" s="2722" t="s">
        <v>5807</v>
      </c>
      <c r="AQ340" s="2723">
        <v>1.0247219999999999</v>
      </c>
      <c r="AR340" s="333">
        <f t="shared" si="126"/>
        <v>20659</v>
      </c>
      <c r="AS340" s="330">
        <f t="shared" si="127"/>
        <v>25823</v>
      </c>
      <c r="AT340" s="330">
        <f t="shared" si="128"/>
        <v>5164</v>
      </c>
      <c r="AU340" s="849"/>
      <c r="AV340" s="849"/>
      <c r="AW340" s="3156">
        <f t="shared" si="118"/>
        <v>51646</v>
      </c>
      <c r="AX340" s="3140"/>
      <c r="BA340" s="267"/>
      <c r="BB340" s="267"/>
      <c r="BC340" s="4117">
        <f t="shared" si="107"/>
        <v>0</v>
      </c>
      <c r="BD340" s="4117">
        <f t="shared" si="119"/>
        <v>0</v>
      </c>
    </row>
    <row r="341" spans="1:57" ht="51">
      <c r="A341" s="2418" t="s">
        <v>11135</v>
      </c>
      <c r="B341" s="338" t="s">
        <v>3554</v>
      </c>
      <c r="C341" s="321">
        <v>0</v>
      </c>
      <c r="D341" s="323">
        <v>42684</v>
      </c>
      <c r="E341" s="3051" t="s">
        <v>6385</v>
      </c>
      <c r="F341" s="324" t="s">
        <v>4154</v>
      </c>
      <c r="G341" s="2621">
        <v>1.0111000000000001</v>
      </c>
      <c r="H341" s="332" t="s">
        <v>4123</v>
      </c>
      <c r="I341" s="339" t="s">
        <v>1436</v>
      </c>
      <c r="J341" s="322" t="s">
        <v>1437</v>
      </c>
      <c r="K341" s="340">
        <v>44145</v>
      </c>
      <c r="L341" s="339" t="s">
        <v>4124</v>
      </c>
      <c r="M341" s="322" t="s">
        <v>2323</v>
      </c>
      <c r="N341" s="339" t="s">
        <v>4125</v>
      </c>
      <c r="O341" s="332" t="s">
        <v>6216</v>
      </c>
      <c r="P341" s="345"/>
      <c r="Q341" s="322" t="s">
        <v>4126</v>
      </c>
      <c r="R341" s="322" t="s">
        <v>4127</v>
      </c>
      <c r="S341" s="346"/>
      <c r="T341" s="347">
        <v>13589</v>
      </c>
      <c r="U341" s="326">
        <v>0</v>
      </c>
      <c r="V341" s="348">
        <f t="shared" si="120"/>
        <v>13589</v>
      </c>
      <c r="W341" s="347">
        <v>16987</v>
      </c>
      <c r="X341" s="326">
        <v>0</v>
      </c>
      <c r="Y341" s="348">
        <f t="shared" si="121"/>
        <v>16987</v>
      </c>
      <c r="Z341" s="347">
        <v>3397</v>
      </c>
      <c r="AA341" s="326">
        <v>0</v>
      </c>
      <c r="AB341" s="348">
        <f t="shared" si="122"/>
        <v>3397</v>
      </c>
      <c r="AC341" s="820"/>
      <c r="AD341" s="821"/>
      <c r="AE341" s="822"/>
      <c r="AF341" s="820"/>
      <c r="AG341" s="821"/>
      <c r="AH341" s="822"/>
      <c r="AI341" s="482">
        <f t="shared" si="123"/>
        <v>33973</v>
      </c>
      <c r="AJ341" s="326">
        <f t="shared" si="124"/>
        <v>0</v>
      </c>
      <c r="AK341" s="3917">
        <v>0</v>
      </c>
      <c r="AL341" s="349">
        <f t="shared" si="125"/>
        <v>33973</v>
      </c>
      <c r="AM341" s="2002" t="s">
        <v>1061</v>
      </c>
      <c r="AN341" s="3357">
        <v>43608</v>
      </c>
      <c r="AO341" s="695" t="s">
        <v>6734</v>
      </c>
      <c r="AP341" s="2722" t="s">
        <v>5807</v>
      </c>
      <c r="AQ341" s="2723">
        <v>1.0247219999999999</v>
      </c>
      <c r="AR341" s="333">
        <f t="shared" si="126"/>
        <v>13772</v>
      </c>
      <c r="AS341" s="330">
        <f t="shared" si="127"/>
        <v>17216</v>
      </c>
      <c r="AT341" s="330">
        <f t="shared" si="128"/>
        <v>3443</v>
      </c>
      <c r="AU341" s="849"/>
      <c r="AV341" s="849"/>
      <c r="AW341" s="3156">
        <f t="shared" si="118"/>
        <v>34431</v>
      </c>
      <c r="AX341" s="3140"/>
      <c r="BA341" s="267"/>
      <c r="BB341" s="267"/>
      <c r="BC341" s="4117">
        <f t="shared" si="107"/>
        <v>0</v>
      </c>
      <c r="BD341" s="4117">
        <f t="shared" si="119"/>
        <v>0</v>
      </c>
    </row>
    <row r="342" spans="1:57" ht="63.75">
      <c r="A342" s="2418" t="s">
        <v>11135</v>
      </c>
      <c r="B342" s="338" t="s">
        <v>6684</v>
      </c>
      <c r="C342" s="321">
        <v>0</v>
      </c>
      <c r="D342" s="323">
        <v>43068</v>
      </c>
      <c r="E342" s="3051" t="s">
        <v>6385</v>
      </c>
      <c r="F342" s="324" t="s">
        <v>5915</v>
      </c>
      <c r="G342" s="2621">
        <v>1.0119899999999999</v>
      </c>
      <c r="H342" s="332" t="s">
        <v>5137</v>
      </c>
      <c r="I342" s="339" t="s">
        <v>1433</v>
      </c>
      <c r="J342" s="322" t="s">
        <v>1434</v>
      </c>
      <c r="K342" s="340">
        <v>45259</v>
      </c>
      <c r="L342" s="339" t="s">
        <v>5138</v>
      </c>
      <c r="M342" s="322" t="s">
        <v>5139</v>
      </c>
      <c r="N342" s="339" t="s">
        <v>5140</v>
      </c>
      <c r="O342" s="332" t="s">
        <v>6317</v>
      </c>
      <c r="P342" s="345" t="s">
        <v>5142</v>
      </c>
      <c r="Q342" s="322" t="s">
        <v>8818</v>
      </c>
      <c r="R342" s="322" t="s">
        <v>5141</v>
      </c>
      <c r="S342" s="346"/>
      <c r="T342" s="347">
        <v>6800</v>
      </c>
      <c r="U342" s="326">
        <v>0</v>
      </c>
      <c r="V342" s="348">
        <f t="shared" si="120"/>
        <v>6800</v>
      </c>
      <c r="W342" s="347">
        <v>8501</v>
      </c>
      <c r="X342" s="326">
        <v>0</v>
      </c>
      <c r="Y342" s="348">
        <f t="shared" si="121"/>
        <v>8501</v>
      </c>
      <c r="Z342" s="347">
        <v>0</v>
      </c>
      <c r="AA342" s="326">
        <v>0</v>
      </c>
      <c r="AB342" s="348">
        <f t="shared" si="122"/>
        <v>0</v>
      </c>
      <c r="AC342" s="820"/>
      <c r="AD342" s="821"/>
      <c r="AE342" s="822"/>
      <c r="AF342" s="820"/>
      <c r="AG342" s="821"/>
      <c r="AH342" s="822"/>
      <c r="AI342" s="482">
        <f t="shared" si="123"/>
        <v>15301</v>
      </c>
      <c r="AJ342" s="326">
        <f t="shared" si="124"/>
        <v>0</v>
      </c>
      <c r="AK342" s="3917">
        <v>0</v>
      </c>
      <c r="AL342" s="349">
        <f t="shared" si="125"/>
        <v>15301</v>
      </c>
      <c r="AM342" s="2002" t="s">
        <v>1061</v>
      </c>
      <c r="AN342" s="3357">
        <v>43608</v>
      </c>
      <c r="AO342" s="695" t="s">
        <v>6739</v>
      </c>
      <c r="AP342" s="2722" t="s">
        <v>5807</v>
      </c>
      <c r="AQ342" s="2723">
        <v>1.0247219999999999</v>
      </c>
      <c r="AR342" s="333">
        <f t="shared" si="126"/>
        <v>6886</v>
      </c>
      <c r="AS342" s="330">
        <f t="shared" si="127"/>
        <v>8608</v>
      </c>
      <c r="AT342" s="330">
        <f t="shared" si="128"/>
        <v>0</v>
      </c>
      <c r="AU342" s="849"/>
      <c r="AV342" s="849"/>
      <c r="AW342" s="3156">
        <f t="shared" si="118"/>
        <v>15494</v>
      </c>
      <c r="AX342" s="3140"/>
      <c r="BA342" s="267"/>
      <c r="BB342" s="267"/>
      <c r="BC342" s="4117">
        <f t="shared" si="107"/>
        <v>0</v>
      </c>
      <c r="BD342" s="4117">
        <f t="shared" si="119"/>
        <v>0</v>
      </c>
    </row>
    <row r="343" spans="1:57" ht="76.5">
      <c r="A343" s="5964" t="s">
        <v>11141</v>
      </c>
      <c r="B343" s="338" t="s">
        <v>6735</v>
      </c>
      <c r="C343" s="321">
        <v>1</v>
      </c>
      <c r="D343" s="323" t="s">
        <v>5920</v>
      </c>
      <c r="E343" s="3051" t="s">
        <v>6385</v>
      </c>
      <c r="F343" s="324" t="s">
        <v>6407</v>
      </c>
      <c r="G343" s="2621">
        <v>1.0247219999999999</v>
      </c>
      <c r="H343" s="332" t="s">
        <v>5748</v>
      </c>
      <c r="I343" s="339" t="s">
        <v>5750</v>
      </c>
      <c r="J343" s="322" t="s">
        <v>4306</v>
      </c>
      <c r="K343" s="340">
        <v>44021</v>
      </c>
      <c r="L343" s="322" t="s">
        <v>5749</v>
      </c>
      <c r="M343" s="267" t="s">
        <v>5751</v>
      </c>
      <c r="N343" s="339" t="s">
        <v>1486</v>
      </c>
      <c r="O343" s="332" t="s">
        <v>6264</v>
      </c>
      <c r="P343" s="345" t="s">
        <v>5911</v>
      </c>
      <c r="Q343" s="6094" t="s">
        <v>5708</v>
      </c>
      <c r="R343" s="322" t="s">
        <v>5350</v>
      </c>
      <c r="S343" s="346" t="s">
        <v>5972</v>
      </c>
      <c r="T343" s="347">
        <v>2444</v>
      </c>
      <c r="U343" s="326">
        <v>0</v>
      </c>
      <c r="V343" s="348">
        <f t="shared" si="120"/>
        <v>2444</v>
      </c>
      <c r="W343" s="347">
        <v>3056</v>
      </c>
      <c r="X343" s="326">
        <v>0</v>
      </c>
      <c r="Y343" s="348">
        <f t="shared" si="121"/>
        <v>3056</v>
      </c>
      <c r="Z343" s="347">
        <v>0</v>
      </c>
      <c r="AA343" s="326">
        <v>0</v>
      </c>
      <c r="AB343" s="348">
        <f t="shared" si="122"/>
        <v>0</v>
      </c>
      <c r="AC343" s="820"/>
      <c r="AD343" s="821"/>
      <c r="AE343" s="822"/>
      <c r="AF343" s="820"/>
      <c r="AG343" s="821"/>
      <c r="AH343" s="822"/>
      <c r="AI343" s="482">
        <f t="shared" si="123"/>
        <v>5500</v>
      </c>
      <c r="AJ343" s="326">
        <f t="shared" si="124"/>
        <v>0</v>
      </c>
      <c r="AK343" s="3917">
        <v>0</v>
      </c>
      <c r="AL343" s="349">
        <f t="shared" si="125"/>
        <v>5500</v>
      </c>
      <c r="AM343" s="2002" t="s">
        <v>1061</v>
      </c>
      <c r="AN343" s="3357">
        <v>43609</v>
      </c>
      <c r="AO343" s="695" t="s">
        <v>6740</v>
      </c>
      <c r="AP343" s="2722" t="s">
        <v>5807</v>
      </c>
      <c r="AQ343" s="2723">
        <v>1.0247219999999999</v>
      </c>
      <c r="AR343" s="333">
        <f t="shared" si="126"/>
        <v>2444</v>
      </c>
      <c r="AS343" s="330">
        <f t="shared" si="127"/>
        <v>3056</v>
      </c>
      <c r="AT343" s="330">
        <f t="shared" si="128"/>
        <v>0</v>
      </c>
      <c r="AU343" s="849"/>
      <c r="AV343" s="849"/>
      <c r="AW343" s="3156">
        <f t="shared" si="118"/>
        <v>5500</v>
      </c>
      <c r="AX343" s="3140"/>
      <c r="BA343" s="267"/>
      <c r="BB343" s="267"/>
      <c r="BC343" s="4117">
        <f t="shared" ref="BC343:BC406" si="129">ROUND($AJ343*$AQ343/$G343,0)</f>
        <v>0</v>
      </c>
      <c r="BD343" s="4117">
        <f t="shared" si="119"/>
        <v>0</v>
      </c>
    </row>
    <row r="344" spans="1:57" ht="89.25">
      <c r="A344" s="2418" t="s">
        <v>11135</v>
      </c>
      <c r="B344" s="1569" t="s">
        <v>5306</v>
      </c>
      <c r="C344" s="1570">
        <v>0</v>
      </c>
      <c r="D344" s="1571">
        <v>42601</v>
      </c>
      <c r="E344" s="3041" t="s">
        <v>6384</v>
      </c>
      <c r="F344" s="1572" t="s">
        <v>4154</v>
      </c>
      <c r="G344" s="2330">
        <v>1.0111000000000001</v>
      </c>
      <c r="H344" s="1573" t="s">
        <v>4003</v>
      </c>
      <c r="I344" s="339" t="s">
        <v>1433</v>
      </c>
      <c r="J344" s="322" t="s">
        <v>1434</v>
      </c>
      <c r="K344" s="340">
        <v>44062</v>
      </c>
      <c r="L344" s="1574" t="s">
        <v>5307</v>
      </c>
      <c r="M344" s="322" t="s">
        <v>3692</v>
      </c>
      <c r="N344" s="339" t="s">
        <v>3693</v>
      </c>
      <c r="O344" s="332" t="s">
        <v>3694</v>
      </c>
      <c r="P344" s="345" t="s">
        <v>7265</v>
      </c>
      <c r="Q344" s="322" t="s">
        <v>4007</v>
      </c>
      <c r="R344" s="322" t="s">
        <v>4005</v>
      </c>
      <c r="S344" s="1599" t="s">
        <v>4011</v>
      </c>
      <c r="T344" s="347">
        <v>5203</v>
      </c>
      <c r="U344" s="326">
        <f>T344</f>
        <v>5203</v>
      </c>
      <c r="V344" s="348">
        <f t="shared" si="120"/>
        <v>0</v>
      </c>
      <c r="W344" s="347">
        <v>918</v>
      </c>
      <c r="X344" s="326">
        <f>W344</f>
        <v>918</v>
      </c>
      <c r="Y344" s="348">
        <f t="shared" si="121"/>
        <v>0</v>
      </c>
      <c r="Z344" s="347">
        <v>5100</v>
      </c>
      <c r="AA344" s="326">
        <f>Z344</f>
        <v>5100</v>
      </c>
      <c r="AB344" s="348">
        <f t="shared" si="122"/>
        <v>0</v>
      </c>
      <c r="AC344" s="820"/>
      <c r="AD344" s="821"/>
      <c r="AE344" s="822"/>
      <c r="AF344" s="820"/>
      <c r="AG344" s="821"/>
      <c r="AH344" s="822"/>
      <c r="AI344" s="482">
        <f t="shared" si="123"/>
        <v>11221</v>
      </c>
      <c r="AJ344" s="1593">
        <f t="shared" si="124"/>
        <v>11221</v>
      </c>
      <c r="AK344" s="3899"/>
      <c r="AL344" s="349">
        <f t="shared" si="125"/>
        <v>0</v>
      </c>
      <c r="AM344" s="337" t="s">
        <v>7266</v>
      </c>
      <c r="AN344" s="327"/>
      <c r="AO344" s="328"/>
      <c r="AP344" s="2722" t="s">
        <v>5807</v>
      </c>
      <c r="AQ344" s="2723">
        <v>1.0247219999999999</v>
      </c>
      <c r="AR344" s="333">
        <f t="shared" si="126"/>
        <v>0</v>
      </c>
      <c r="AS344" s="330">
        <f t="shared" si="127"/>
        <v>0</v>
      </c>
      <c r="AT344" s="330">
        <f t="shared" si="128"/>
        <v>0</v>
      </c>
      <c r="AU344" s="849"/>
      <c r="AV344" s="849"/>
      <c r="AW344" s="826">
        <f t="shared" si="118"/>
        <v>0</v>
      </c>
      <c r="AX344" s="3140"/>
      <c r="BA344" s="267"/>
      <c r="BB344" s="267"/>
      <c r="BC344" s="4117">
        <f t="shared" si="129"/>
        <v>11372</v>
      </c>
      <c r="BD344" s="4117">
        <f t="shared" si="119"/>
        <v>0</v>
      </c>
    </row>
    <row r="345" spans="1:57" ht="114.75">
      <c r="A345" s="5964" t="s">
        <v>11141</v>
      </c>
      <c r="B345" s="338" t="s">
        <v>6728</v>
      </c>
      <c r="C345" s="321">
        <v>0</v>
      </c>
      <c r="D345" s="323">
        <v>42807</v>
      </c>
      <c r="E345" s="3051" t="s">
        <v>6385</v>
      </c>
      <c r="F345" s="1203" t="s">
        <v>6634</v>
      </c>
      <c r="G345" s="2669">
        <v>114.1</v>
      </c>
      <c r="H345" s="332" t="s">
        <v>4411</v>
      </c>
      <c r="I345" s="339" t="s">
        <v>4412</v>
      </c>
      <c r="J345" s="322" t="s">
        <v>4306</v>
      </c>
      <c r="K345" s="340">
        <v>43537</v>
      </c>
      <c r="L345" s="339" t="s">
        <v>4415</v>
      </c>
      <c r="M345" s="322" t="s">
        <v>4413</v>
      </c>
      <c r="N345" s="339" t="s">
        <v>4414</v>
      </c>
      <c r="O345" s="332" t="s">
        <v>6224</v>
      </c>
      <c r="P345" s="345" t="s">
        <v>6733</v>
      </c>
      <c r="Q345" s="6094" t="s">
        <v>4332</v>
      </c>
      <c r="R345" s="322" t="s">
        <v>1046</v>
      </c>
      <c r="S345" s="346"/>
      <c r="T345" s="347">
        <v>580</v>
      </c>
      <c r="U345" s="326">
        <v>0</v>
      </c>
      <c r="V345" s="348">
        <f t="shared" si="120"/>
        <v>580</v>
      </c>
      <c r="W345" s="347">
        <v>641</v>
      </c>
      <c r="X345" s="326">
        <v>0</v>
      </c>
      <c r="Y345" s="348">
        <f t="shared" si="121"/>
        <v>641</v>
      </c>
      <c r="Z345" s="347"/>
      <c r="AA345" s="326">
        <v>0</v>
      </c>
      <c r="AB345" s="348">
        <f t="shared" si="122"/>
        <v>0</v>
      </c>
      <c r="AC345" s="820"/>
      <c r="AD345" s="821"/>
      <c r="AE345" s="822"/>
      <c r="AF345" s="820"/>
      <c r="AG345" s="821"/>
      <c r="AH345" s="822"/>
      <c r="AI345" s="482">
        <f t="shared" si="123"/>
        <v>1221</v>
      </c>
      <c r="AJ345" s="326">
        <f t="shared" si="124"/>
        <v>0</v>
      </c>
      <c r="AK345" s="3917">
        <v>0</v>
      </c>
      <c r="AL345" s="349">
        <f t="shared" si="125"/>
        <v>1221</v>
      </c>
      <c r="AM345" s="2002" t="s">
        <v>1061</v>
      </c>
      <c r="AN345" s="3357">
        <v>43613</v>
      </c>
      <c r="AO345" s="695" t="s">
        <v>6741</v>
      </c>
      <c r="AP345" s="3222" t="s">
        <v>6634</v>
      </c>
      <c r="AQ345" s="3314">
        <v>114.1</v>
      </c>
      <c r="AR345" s="333">
        <f t="shared" si="126"/>
        <v>580</v>
      </c>
      <c r="AS345" s="330">
        <f t="shared" si="127"/>
        <v>641</v>
      </c>
      <c r="AT345" s="330">
        <f t="shared" si="128"/>
        <v>0</v>
      </c>
      <c r="AU345" s="849"/>
      <c r="AV345" s="849"/>
      <c r="AW345" s="3156">
        <f t="shared" si="118"/>
        <v>1221</v>
      </c>
      <c r="AX345" s="3140"/>
      <c r="BA345" s="267"/>
      <c r="BB345" s="267"/>
      <c r="BC345" s="4117">
        <f t="shared" si="129"/>
        <v>0</v>
      </c>
      <c r="BD345" s="4117">
        <f t="shared" si="119"/>
        <v>0</v>
      </c>
    </row>
    <row r="346" spans="1:57" ht="90" thickBot="1">
      <c r="A346" s="6032" t="s">
        <v>11135</v>
      </c>
      <c r="B346" s="3224" t="s">
        <v>6731</v>
      </c>
      <c r="C346" s="3316">
        <v>0</v>
      </c>
      <c r="D346" s="3317">
        <v>43125</v>
      </c>
      <c r="E346" s="3317" t="s">
        <v>6385</v>
      </c>
      <c r="F346" s="3318" t="s">
        <v>5915</v>
      </c>
      <c r="G346" s="3319">
        <v>1.0119899999999999</v>
      </c>
      <c r="H346" s="3320" t="s">
        <v>5255</v>
      </c>
      <c r="I346" s="3230" t="s">
        <v>1433</v>
      </c>
      <c r="J346" s="3321" t="s">
        <v>1434</v>
      </c>
      <c r="K346" s="3322">
        <v>44586</v>
      </c>
      <c r="L346" s="3230" t="s">
        <v>5256</v>
      </c>
      <c r="M346" s="3321" t="s">
        <v>4394</v>
      </c>
      <c r="N346" s="3230" t="s">
        <v>4414</v>
      </c>
      <c r="O346" s="3320" t="s">
        <v>6330</v>
      </c>
      <c r="P346" s="3233" t="s">
        <v>6732</v>
      </c>
      <c r="Q346" s="3321" t="s">
        <v>5257</v>
      </c>
      <c r="R346" s="3321" t="s">
        <v>5258</v>
      </c>
      <c r="S346" s="3323"/>
      <c r="T346" s="3235">
        <v>0</v>
      </c>
      <c r="U346" s="3324">
        <v>0</v>
      </c>
      <c r="V346" s="3325">
        <f t="shared" si="120"/>
        <v>0</v>
      </c>
      <c r="W346" s="3235">
        <v>0</v>
      </c>
      <c r="X346" s="3324">
        <v>0</v>
      </c>
      <c r="Y346" s="3325">
        <f t="shared" si="121"/>
        <v>0</v>
      </c>
      <c r="Z346" s="3235">
        <v>383</v>
      </c>
      <c r="AA346" s="3324">
        <v>0</v>
      </c>
      <c r="AB346" s="3325">
        <f t="shared" si="122"/>
        <v>383</v>
      </c>
      <c r="AC346" s="3238"/>
      <c r="AD346" s="3326"/>
      <c r="AE346" s="3327"/>
      <c r="AF346" s="3238"/>
      <c r="AG346" s="3326"/>
      <c r="AH346" s="3327"/>
      <c r="AI346" s="3241">
        <f t="shared" si="123"/>
        <v>383</v>
      </c>
      <c r="AJ346" s="3324">
        <f t="shared" si="124"/>
        <v>0</v>
      </c>
      <c r="AK346" s="3918">
        <v>0</v>
      </c>
      <c r="AL346" s="3328">
        <f t="shared" si="125"/>
        <v>383</v>
      </c>
      <c r="AM346" s="3583" t="s">
        <v>1061</v>
      </c>
      <c r="AN346" s="3593">
        <v>43613</v>
      </c>
      <c r="AO346" s="3594" t="s">
        <v>6742</v>
      </c>
      <c r="AP346" s="3329" t="s">
        <v>5807</v>
      </c>
      <c r="AQ346" s="3330">
        <v>1.0247219999999999</v>
      </c>
      <c r="AR346" s="3211">
        <f t="shared" si="126"/>
        <v>0</v>
      </c>
      <c r="AS346" s="3331">
        <f t="shared" si="127"/>
        <v>0</v>
      </c>
      <c r="AT346" s="3331">
        <f t="shared" si="128"/>
        <v>388</v>
      </c>
      <c r="AU346" s="3332"/>
      <c r="AV346" s="3332"/>
      <c r="AW346" s="3333">
        <f t="shared" si="118"/>
        <v>388</v>
      </c>
      <c r="AX346" s="3246"/>
      <c r="AY346" s="764" t="s">
        <v>6642</v>
      </c>
      <c r="AZ346" s="1662">
        <f>SUM(AW328:AW346)</f>
        <v>311761</v>
      </c>
      <c r="BA346" s="1727">
        <f>AZ346</f>
        <v>311761</v>
      </c>
      <c r="BB346" s="267"/>
      <c r="BC346" s="4117">
        <f t="shared" si="129"/>
        <v>0</v>
      </c>
      <c r="BD346" s="4117">
        <f t="shared" si="119"/>
        <v>0</v>
      </c>
    </row>
    <row r="347" spans="1:57" ht="51">
      <c r="A347" s="5981" t="s">
        <v>11135</v>
      </c>
      <c r="B347" s="1538" t="s">
        <v>4548</v>
      </c>
      <c r="C347" s="1509">
        <v>0</v>
      </c>
      <c r="D347" s="1510">
        <v>43378</v>
      </c>
      <c r="E347" s="3053" t="s">
        <v>6386</v>
      </c>
      <c r="F347" s="1511" t="s">
        <v>5757</v>
      </c>
      <c r="G347" s="2663">
        <v>1.0247219999999999</v>
      </c>
      <c r="H347" s="1513" t="s">
        <v>5957</v>
      </c>
      <c r="I347" s="1514" t="s">
        <v>1433</v>
      </c>
      <c r="J347" s="1515" t="s">
        <v>1434</v>
      </c>
      <c r="K347" s="1516">
        <v>45570</v>
      </c>
      <c r="L347" s="1514" t="s">
        <v>5960</v>
      </c>
      <c r="M347" s="1515" t="s">
        <v>5961</v>
      </c>
      <c r="N347" s="1514" t="s">
        <v>5959</v>
      </c>
      <c r="O347" s="1513" t="s">
        <v>6292</v>
      </c>
      <c r="P347" s="1517"/>
      <c r="Q347" s="1515" t="s">
        <v>5958</v>
      </c>
      <c r="R347" s="1515" t="s">
        <v>4664</v>
      </c>
      <c r="S347" s="1518"/>
      <c r="T347" s="1519">
        <v>4919</v>
      </c>
      <c r="U347" s="1504">
        <v>0</v>
      </c>
      <c r="V347" s="1520">
        <f t="shared" si="120"/>
        <v>4919</v>
      </c>
      <c r="W347" s="1519">
        <v>6148</v>
      </c>
      <c r="X347" s="1504">
        <v>0</v>
      </c>
      <c r="Y347" s="1520">
        <f t="shared" si="121"/>
        <v>6148</v>
      </c>
      <c r="Z347" s="1519">
        <v>1229</v>
      </c>
      <c r="AA347" s="1504">
        <v>0</v>
      </c>
      <c r="AB347" s="1520">
        <f t="shared" si="122"/>
        <v>1229</v>
      </c>
      <c r="AC347" s="820"/>
      <c r="AD347" s="821"/>
      <c r="AE347" s="822"/>
      <c r="AF347" s="820"/>
      <c r="AG347" s="821"/>
      <c r="AH347" s="822"/>
      <c r="AI347" s="1503">
        <f t="shared" si="123"/>
        <v>12296</v>
      </c>
      <c r="AJ347" s="1504">
        <f t="shared" si="124"/>
        <v>0</v>
      </c>
      <c r="AK347" s="3919">
        <v>0</v>
      </c>
      <c r="AL347" s="1505">
        <f t="shared" si="125"/>
        <v>12296</v>
      </c>
      <c r="AM347" s="1508" t="s">
        <v>1061</v>
      </c>
      <c r="AN347" s="3401">
        <v>43620</v>
      </c>
      <c r="AO347" s="3402" t="s">
        <v>6763</v>
      </c>
      <c r="AP347" s="2905" t="s">
        <v>5807</v>
      </c>
      <c r="AQ347" s="2906">
        <v>1.0247219999999999</v>
      </c>
      <c r="AR347" s="1506">
        <f t="shared" si="126"/>
        <v>4919</v>
      </c>
      <c r="AS347" s="1507">
        <f t="shared" si="127"/>
        <v>6148</v>
      </c>
      <c r="AT347" s="1507">
        <f t="shared" si="128"/>
        <v>1229</v>
      </c>
      <c r="AU347" s="849"/>
      <c r="AV347" s="849"/>
      <c r="AW347" s="3247">
        <f t="shared" si="118"/>
        <v>12296</v>
      </c>
      <c r="AX347" s="3146"/>
      <c r="BA347" s="267"/>
      <c r="BB347" s="267"/>
      <c r="BC347" s="4117">
        <f t="shared" si="129"/>
        <v>0</v>
      </c>
      <c r="BD347" s="4117">
        <f t="shared" si="119"/>
        <v>0</v>
      </c>
    </row>
    <row r="348" spans="1:57" ht="76.5">
      <c r="A348" s="5978" t="s">
        <v>11141</v>
      </c>
      <c r="B348" s="1538" t="s">
        <v>6760</v>
      </c>
      <c r="C348" s="1509">
        <v>0</v>
      </c>
      <c r="D348" s="1510">
        <v>43242</v>
      </c>
      <c r="E348" s="3053" t="s">
        <v>6385</v>
      </c>
      <c r="F348" s="1511" t="s">
        <v>5915</v>
      </c>
      <c r="G348" s="2663">
        <v>1.0119899999999999</v>
      </c>
      <c r="H348" s="3334" t="s">
        <v>5525</v>
      </c>
      <c r="I348" s="1514" t="s">
        <v>5530</v>
      </c>
      <c r="J348" s="1515" t="s">
        <v>4306</v>
      </c>
      <c r="K348" s="1516">
        <v>43973</v>
      </c>
      <c r="L348" s="1514" t="s">
        <v>5527</v>
      </c>
      <c r="M348" s="1515" t="s">
        <v>5528</v>
      </c>
      <c r="N348" s="1514" t="s">
        <v>5529</v>
      </c>
      <c r="O348" s="1513" t="s">
        <v>6269</v>
      </c>
      <c r="P348" s="1517" t="s">
        <v>6761</v>
      </c>
      <c r="Q348" s="6094" t="s">
        <v>5349</v>
      </c>
      <c r="R348" s="1515" t="s">
        <v>5350</v>
      </c>
      <c r="S348" s="1518"/>
      <c r="T348" s="1519">
        <v>2334</v>
      </c>
      <c r="U348" s="1504">
        <v>0</v>
      </c>
      <c r="V348" s="1520">
        <f t="shared" si="120"/>
        <v>2334</v>
      </c>
      <c r="W348" s="1519">
        <v>2917</v>
      </c>
      <c r="X348" s="1504">
        <v>0</v>
      </c>
      <c r="Y348" s="1520">
        <f t="shared" si="121"/>
        <v>2917</v>
      </c>
      <c r="Z348" s="1519">
        <v>833</v>
      </c>
      <c r="AA348" s="1504">
        <v>0</v>
      </c>
      <c r="AB348" s="1520">
        <f t="shared" si="122"/>
        <v>833</v>
      </c>
      <c r="AC348" s="820"/>
      <c r="AD348" s="821"/>
      <c r="AE348" s="822"/>
      <c r="AF348" s="820"/>
      <c r="AG348" s="821"/>
      <c r="AH348" s="822"/>
      <c r="AI348" s="1503">
        <f t="shared" si="123"/>
        <v>6084</v>
      </c>
      <c r="AJ348" s="1504">
        <f t="shared" si="124"/>
        <v>0</v>
      </c>
      <c r="AK348" s="3919">
        <v>0</v>
      </c>
      <c r="AL348" s="1505">
        <f t="shared" si="125"/>
        <v>6084</v>
      </c>
      <c r="AM348" s="1508" t="s">
        <v>1061</v>
      </c>
      <c r="AN348" s="3401">
        <v>43620</v>
      </c>
      <c r="AO348" s="3402" t="s">
        <v>6764</v>
      </c>
      <c r="AP348" s="2664" t="s">
        <v>5807</v>
      </c>
      <c r="AQ348" s="2806">
        <v>1.0247219999999999</v>
      </c>
      <c r="AR348" s="1506">
        <f t="shared" si="126"/>
        <v>2363</v>
      </c>
      <c r="AS348" s="1507">
        <f t="shared" si="127"/>
        <v>2954</v>
      </c>
      <c r="AT348" s="1507">
        <f t="shared" si="128"/>
        <v>843</v>
      </c>
      <c r="AU348" s="849"/>
      <c r="AV348" s="849"/>
      <c r="AW348" s="3247">
        <f t="shared" si="118"/>
        <v>6160</v>
      </c>
      <c r="AX348" s="3146"/>
      <c r="BA348" s="267"/>
      <c r="BB348" s="267"/>
      <c r="BC348" s="4117">
        <f t="shared" si="129"/>
        <v>0</v>
      </c>
      <c r="BD348" s="4117">
        <f t="shared" si="119"/>
        <v>0</v>
      </c>
    </row>
    <row r="349" spans="1:57" ht="76.5">
      <c r="A349" s="5978" t="s">
        <v>11140</v>
      </c>
      <c r="B349" s="1538" t="s">
        <v>6507</v>
      </c>
      <c r="C349" s="1509">
        <v>0</v>
      </c>
      <c r="D349" s="1510">
        <v>43074</v>
      </c>
      <c r="E349" s="3053" t="s">
        <v>6385</v>
      </c>
      <c r="F349" s="2139" t="s">
        <v>6558</v>
      </c>
      <c r="G349" s="2805">
        <v>114</v>
      </c>
      <c r="H349" s="1513" t="s">
        <v>5150</v>
      </c>
      <c r="I349" s="1514" t="s">
        <v>5152</v>
      </c>
      <c r="J349" s="1515" t="s">
        <v>4306</v>
      </c>
      <c r="K349" s="1516">
        <v>43804</v>
      </c>
      <c r="L349" s="1514" t="s">
        <v>5157</v>
      </c>
      <c r="M349" s="1515" t="s">
        <v>5158</v>
      </c>
      <c r="N349" s="1514" t="s">
        <v>5159</v>
      </c>
      <c r="O349" s="1513" t="s">
        <v>6249</v>
      </c>
      <c r="P349" s="1517" t="s">
        <v>6504</v>
      </c>
      <c r="Q349" s="6094" t="s">
        <v>4878</v>
      </c>
      <c r="R349" s="1515" t="s">
        <v>1046</v>
      </c>
      <c r="S349" s="1518"/>
      <c r="T349" s="1519">
        <v>469</v>
      </c>
      <c r="U349" s="1504">
        <v>0</v>
      </c>
      <c r="V349" s="1520">
        <f t="shared" si="120"/>
        <v>469</v>
      </c>
      <c r="W349" s="1519">
        <v>586</v>
      </c>
      <c r="X349" s="1504">
        <v>0</v>
      </c>
      <c r="Y349" s="1520">
        <f t="shared" si="121"/>
        <v>586</v>
      </c>
      <c r="Z349" s="1519">
        <v>167</v>
      </c>
      <c r="AA349" s="1504">
        <v>0</v>
      </c>
      <c r="AB349" s="1520">
        <f t="shared" si="122"/>
        <v>167</v>
      </c>
      <c r="AC349" s="820"/>
      <c r="AD349" s="821"/>
      <c r="AE349" s="822"/>
      <c r="AF349" s="820"/>
      <c r="AG349" s="821"/>
      <c r="AH349" s="822"/>
      <c r="AI349" s="1503">
        <f t="shared" si="123"/>
        <v>1222</v>
      </c>
      <c r="AJ349" s="1504">
        <f t="shared" si="124"/>
        <v>0</v>
      </c>
      <c r="AK349" s="3919">
        <v>0</v>
      </c>
      <c r="AL349" s="1505">
        <f t="shared" si="125"/>
        <v>1222</v>
      </c>
      <c r="AM349" s="1508" t="s">
        <v>1061</v>
      </c>
      <c r="AN349" s="3401">
        <v>43620</v>
      </c>
      <c r="AO349" s="3402" t="s">
        <v>6765</v>
      </c>
      <c r="AP349" s="3251" t="s">
        <v>6634</v>
      </c>
      <c r="AQ349" s="3248">
        <v>114.1</v>
      </c>
      <c r="AR349" s="1506">
        <f t="shared" si="126"/>
        <v>469</v>
      </c>
      <c r="AS349" s="1507">
        <f t="shared" si="127"/>
        <v>587</v>
      </c>
      <c r="AT349" s="1507">
        <f t="shared" si="128"/>
        <v>167</v>
      </c>
      <c r="AU349" s="849"/>
      <c r="AV349" s="849"/>
      <c r="AW349" s="3247">
        <f t="shared" si="118"/>
        <v>1223</v>
      </c>
      <c r="AX349" s="3146"/>
      <c r="BA349" s="267"/>
      <c r="BB349" s="267"/>
      <c r="BC349" s="4117">
        <f t="shared" si="129"/>
        <v>0</v>
      </c>
      <c r="BD349" s="4117">
        <f t="shared" si="119"/>
        <v>0</v>
      </c>
    </row>
    <row r="350" spans="1:57" ht="76.5">
      <c r="A350" s="5978" t="s">
        <v>11140</v>
      </c>
      <c r="B350" s="1538" t="s">
        <v>6636</v>
      </c>
      <c r="C350" s="1509">
        <v>0</v>
      </c>
      <c r="D350" s="1510">
        <v>42780</v>
      </c>
      <c r="E350" s="3053" t="s">
        <v>6385</v>
      </c>
      <c r="F350" s="2139" t="s">
        <v>6736</v>
      </c>
      <c r="G350" s="2805">
        <v>114.1</v>
      </c>
      <c r="H350" s="1513" t="s">
        <v>4351</v>
      </c>
      <c r="I350" s="1514" t="s">
        <v>4352</v>
      </c>
      <c r="J350" s="1515" t="s">
        <v>4306</v>
      </c>
      <c r="K350" s="1516">
        <v>43510</v>
      </c>
      <c r="L350" s="1514" t="s">
        <v>4354</v>
      </c>
      <c r="M350" s="1515" t="s">
        <v>4355</v>
      </c>
      <c r="N350" s="1514" t="s">
        <v>4356</v>
      </c>
      <c r="O350" s="1515" t="s">
        <v>4355</v>
      </c>
      <c r="P350" s="1517"/>
      <c r="Q350" s="6094" t="s">
        <v>6638</v>
      </c>
      <c r="R350" s="1515" t="s">
        <v>1046</v>
      </c>
      <c r="S350" s="1518"/>
      <c r="T350" s="1519">
        <v>579</v>
      </c>
      <c r="U350" s="1504">
        <v>0</v>
      </c>
      <c r="V350" s="1520">
        <f t="shared" si="120"/>
        <v>579</v>
      </c>
      <c r="W350" s="1519">
        <v>724</v>
      </c>
      <c r="X350" s="1504">
        <v>0</v>
      </c>
      <c r="Y350" s="1520">
        <f t="shared" si="121"/>
        <v>724</v>
      </c>
      <c r="Z350" s="1519">
        <v>207</v>
      </c>
      <c r="AA350" s="1504">
        <v>0</v>
      </c>
      <c r="AB350" s="1520">
        <f t="shared" si="122"/>
        <v>207</v>
      </c>
      <c r="AC350" s="820"/>
      <c r="AD350" s="821"/>
      <c r="AE350" s="822"/>
      <c r="AF350" s="820"/>
      <c r="AG350" s="821"/>
      <c r="AH350" s="822"/>
      <c r="AI350" s="1503">
        <f t="shared" si="123"/>
        <v>1510</v>
      </c>
      <c r="AJ350" s="1504">
        <f t="shared" si="124"/>
        <v>0</v>
      </c>
      <c r="AK350" s="3919">
        <v>0</v>
      </c>
      <c r="AL350" s="1505">
        <f t="shared" si="125"/>
        <v>1510</v>
      </c>
      <c r="AM350" s="1508" t="s">
        <v>6767</v>
      </c>
      <c r="AN350" s="3401">
        <v>43621</v>
      </c>
      <c r="AO350" s="3402" t="s">
        <v>6773</v>
      </c>
      <c r="AP350" s="3251" t="s">
        <v>6634</v>
      </c>
      <c r="AQ350" s="3248">
        <v>114.1</v>
      </c>
      <c r="AR350" s="1506">
        <f>ROUND($AQ350/$G350*V350,0)+1</f>
        <v>580</v>
      </c>
      <c r="AS350" s="1507">
        <f>ROUND($AQ350/$G350*Y350,0)+1</f>
        <v>725</v>
      </c>
      <c r="AT350" s="1507">
        <f t="shared" si="128"/>
        <v>207</v>
      </c>
      <c r="AU350" s="849"/>
      <c r="AV350" s="849"/>
      <c r="AW350" s="3247">
        <f t="shared" si="118"/>
        <v>1512</v>
      </c>
      <c r="AX350" s="3146"/>
      <c r="BA350" s="267"/>
      <c r="BB350" s="267"/>
      <c r="BC350" s="4117">
        <f t="shared" si="129"/>
        <v>0</v>
      </c>
      <c r="BD350" s="4117">
        <f t="shared" si="119"/>
        <v>0</v>
      </c>
    </row>
    <row r="351" spans="1:57" ht="89.25">
      <c r="A351" s="5978" t="s">
        <v>11141</v>
      </c>
      <c r="B351" s="1538" t="s">
        <v>6769</v>
      </c>
      <c r="C351" s="1509">
        <v>0</v>
      </c>
      <c r="D351" s="1510">
        <v>42961</v>
      </c>
      <c r="E351" s="3053" t="s">
        <v>6385</v>
      </c>
      <c r="F351" s="1511" t="s">
        <v>4154</v>
      </c>
      <c r="G351" s="2663">
        <v>1.0111000000000001</v>
      </c>
      <c r="H351" s="1513" t="s">
        <v>4826</v>
      </c>
      <c r="I351" s="1514" t="s">
        <v>4828</v>
      </c>
      <c r="J351" s="1515" t="s">
        <v>4306</v>
      </c>
      <c r="K351" s="1516">
        <v>43691</v>
      </c>
      <c r="L351" s="1514" t="s">
        <v>4829</v>
      </c>
      <c r="M351" s="1515" t="s">
        <v>4830</v>
      </c>
      <c r="N351" s="1514" t="s">
        <v>4827</v>
      </c>
      <c r="O351" s="1513" t="s">
        <v>4831</v>
      </c>
      <c r="P351" s="2215" t="s">
        <v>6771</v>
      </c>
      <c r="Q351" s="6094" t="s">
        <v>4332</v>
      </c>
      <c r="R351" s="1515" t="s">
        <v>1046</v>
      </c>
      <c r="S351" s="1518"/>
      <c r="T351" s="1519">
        <v>2304</v>
      </c>
      <c r="U351" s="1504">
        <v>0</v>
      </c>
      <c r="V351" s="1520">
        <f t="shared" si="120"/>
        <v>2304</v>
      </c>
      <c r="W351" s="1519">
        <v>2881</v>
      </c>
      <c r="X351" s="1504">
        <v>0</v>
      </c>
      <c r="Y351" s="1520">
        <f t="shared" si="121"/>
        <v>2881</v>
      </c>
      <c r="Z351" s="1519">
        <v>823</v>
      </c>
      <c r="AA351" s="1504">
        <v>0</v>
      </c>
      <c r="AB351" s="1520">
        <f t="shared" si="122"/>
        <v>823</v>
      </c>
      <c r="AC351" s="820"/>
      <c r="AD351" s="821"/>
      <c r="AE351" s="822"/>
      <c r="AF351" s="820"/>
      <c r="AG351" s="821"/>
      <c r="AH351" s="822"/>
      <c r="AI351" s="1503">
        <f t="shared" si="123"/>
        <v>6008</v>
      </c>
      <c r="AJ351" s="1504">
        <f t="shared" si="124"/>
        <v>0</v>
      </c>
      <c r="AK351" s="3919">
        <v>0</v>
      </c>
      <c r="AL351" s="1505">
        <f t="shared" si="125"/>
        <v>6008</v>
      </c>
      <c r="AM351" s="3586" t="s">
        <v>6768</v>
      </c>
      <c r="AN351" s="3587">
        <v>43621</v>
      </c>
      <c r="AO351" s="3588" t="s">
        <v>6774</v>
      </c>
      <c r="AP351" s="2664" t="s">
        <v>6770</v>
      </c>
      <c r="AQ351" s="2806">
        <v>1.0247219999999999</v>
      </c>
      <c r="AR351" s="1506">
        <f>ROUND($AQ351/$G351*V351,0)+4</f>
        <v>2339</v>
      </c>
      <c r="AS351" s="1507">
        <f>ROUND($AQ351/$G351*Y351,0)+4</f>
        <v>2924</v>
      </c>
      <c r="AT351" s="1507">
        <f>ROUND($AQ351/$G351*AB351,0)+1</f>
        <v>835</v>
      </c>
      <c r="AU351" s="849"/>
      <c r="AV351" s="849"/>
      <c r="AW351" s="3247">
        <f t="shared" si="118"/>
        <v>6098</v>
      </c>
      <c r="AX351" s="3146"/>
      <c r="BA351" s="267"/>
      <c r="BB351" s="267"/>
      <c r="BC351" s="4117">
        <f t="shared" si="129"/>
        <v>0</v>
      </c>
      <c r="BD351" s="4117">
        <f t="shared" si="119"/>
        <v>0</v>
      </c>
    </row>
    <row r="352" spans="1:57" ht="89.25">
      <c r="A352" s="5978" t="s">
        <v>11141</v>
      </c>
      <c r="B352" s="1538" t="s">
        <v>6649</v>
      </c>
      <c r="C352" s="1509">
        <v>0</v>
      </c>
      <c r="D352" s="1510">
        <v>43012</v>
      </c>
      <c r="E352" s="3053" t="s">
        <v>6385</v>
      </c>
      <c r="F352" s="1511" t="s">
        <v>5915</v>
      </c>
      <c r="G352" s="2663">
        <v>1.0119899999999999</v>
      </c>
      <c r="H352" s="1513" t="s">
        <v>4978</v>
      </c>
      <c r="I352" s="1514" t="s">
        <v>4980</v>
      </c>
      <c r="J352" s="1515" t="s">
        <v>4306</v>
      </c>
      <c r="K352" s="1516">
        <v>43742</v>
      </c>
      <c r="L352" s="1514" t="s">
        <v>4982</v>
      </c>
      <c r="M352" s="1515" t="s">
        <v>4983</v>
      </c>
      <c r="N352" s="1514" t="s">
        <v>4984</v>
      </c>
      <c r="O352" s="1515" t="s">
        <v>4983</v>
      </c>
      <c r="P352" s="1517" t="s">
        <v>6772</v>
      </c>
      <c r="Q352" s="6094" t="s">
        <v>4878</v>
      </c>
      <c r="R352" s="1515" t="s">
        <v>1046</v>
      </c>
      <c r="S352" s="1518"/>
      <c r="T352" s="1519">
        <v>2304</v>
      </c>
      <c r="U352" s="1504">
        <v>0</v>
      </c>
      <c r="V352" s="1520">
        <f t="shared" si="120"/>
        <v>2304</v>
      </c>
      <c r="W352" s="1519">
        <v>2881</v>
      </c>
      <c r="X352" s="1504">
        <v>0</v>
      </c>
      <c r="Y352" s="1520">
        <f t="shared" si="121"/>
        <v>2881</v>
      </c>
      <c r="Z352" s="1519">
        <v>823</v>
      </c>
      <c r="AA352" s="1504">
        <v>0</v>
      </c>
      <c r="AB352" s="1520">
        <f t="shared" si="122"/>
        <v>823</v>
      </c>
      <c r="AC352" s="820"/>
      <c r="AD352" s="821"/>
      <c r="AE352" s="822"/>
      <c r="AF352" s="820"/>
      <c r="AG352" s="821"/>
      <c r="AH352" s="822"/>
      <c r="AI352" s="1503">
        <f t="shared" si="123"/>
        <v>6008</v>
      </c>
      <c r="AJ352" s="1504">
        <f t="shared" si="124"/>
        <v>0</v>
      </c>
      <c r="AK352" s="3919">
        <v>0</v>
      </c>
      <c r="AL352" s="1505">
        <f t="shared" si="125"/>
        <v>6008</v>
      </c>
      <c r="AM352" s="3586" t="s">
        <v>6768</v>
      </c>
      <c r="AN352" s="3587">
        <v>43621</v>
      </c>
      <c r="AO352" s="3588" t="s">
        <v>6774</v>
      </c>
      <c r="AP352" s="2664" t="s">
        <v>6770</v>
      </c>
      <c r="AQ352" s="2806">
        <v>1.0247219999999999</v>
      </c>
      <c r="AR352" s="1506">
        <f>ROUND($AQ352/$G352*V352,0)+4</f>
        <v>2337</v>
      </c>
      <c r="AS352" s="1507">
        <f>ROUND($AQ352/$G352*Y352,0)+4</f>
        <v>2921</v>
      </c>
      <c r="AT352" s="1507">
        <f>ROUND($AQ352/$G352*AB352,0)+1</f>
        <v>834</v>
      </c>
      <c r="AU352" s="849"/>
      <c r="AV352" s="849"/>
      <c r="AW352" s="3247">
        <f t="shared" si="118"/>
        <v>6092</v>
      </c>
      <c r="AX352" s="3146"/>
      <c r="BA352" s="267"/>
      <c r="BB352" s="267"/>
      <c r="BC352" s="4117">
        <f t="shared" si="129"/>
        <v>0</v>
      </c>
      <c r="BD352" s="4117">
        <f t="shared" si="119"/>
        <v>0</v>
      </c>
    </row>
    <row r="353" spans="1:61" ht="76.5">
      <c r="A353" s="5978" t="s">
        <v>11140</v>
      </c>
      <c r="B353" s="1538" t="s">
        <v>6562</v>
      </c>
      <c r="C353" s="1509">
        <v>0</v>
      </c>
      <c r="D353" s="1510">
        <v>42757</v>
      </c>
      <c r="E353" s="3053" t="s">
        <v>6385</v>
      </c>
      <c r="F353" s="2139" t="s">
        <v>6558</v>
      </c>
      <c r="G353" s="2805">
        <v>114</v>
      </c>
      <c r="H353" s="1513" t="s">
        <v>5233</v>
      </c>
      <c r="I353" s="1514" t="s">
        <v>5239</v>
      </c>
      <c r="J353" s="1515" t="s">
        <v>4306</v>
      </c>
      <c r="K353" s="1516">
        <v>43482</v>
      </c>
      <c r="L353" s="1514" t="s">
        <v>5240</v>
      </c>
      <c r="M353" s="1515" t="s">
        <v>5241</v>
      </c>
      <c r="N353" s="1514" t="s">
        <v>5243</v>
      </c>
      <c r="O353" s="1513" t="s">
        <v>6275</v>
      </c>
      <c r="P353" s="1517" t="s">
        <v>6557</v>
      </c>
      <c r="Q353" s="6094" t="s">
        <v>5234</v>
      </c>
      <c r="R353" s="1515" t="s">
        <v>1100</v>
      </c>
      <c r="S353" s="1518"/>
      <c r="T353" s="1519">
        <v>469</v>
      </c>
      <c r="U353" s="1504">
        <v>0</v>
      </c>
      <c r="V353" s="1520">
        <f t="shared" si="120"/>
        <v>469</v>
      </c>
      <c r="W353" s="1519">
        <v>586</v>
      </c>
      <c r="X353" s="1504">
        <v>0</v>
      </c>
      <c r="Y353" s="1520">
        <f t="shared" si="121"/>
        <v>586</v>
      </c>
      <c r="Z353" s="1519">
        <v>167</v>
      </c>
      <c r="AA353" s="1504">
        <v>0</v>
      </c>
      <c r="AB353" s="1520">
        <f t="shared" si="122"/>
        <v>167</v>
      </c>
      <c r="AC353" s="820"/>
      <c r="AD353" s="821"/>
      <c r="AE353" s="822"/>
      <c r="AF353" s="820"/>
      <c r="AG353" s="821"/>
      <c r="AH353" s="822"/>
      <c r="AI353" s="1503">
        <f t="shared" si="123"/>
        <v>1222</v>
      </c>
      <c r="AJ353" s="1504">
        <f t="shared" si="124"/>
        <v>0</v>
      </c>
      <c r="AK353" s="3919">
        <v>0</v>
      </c>
      <c r="AL353" s="1505">
        <f t="shared" si="125"/>
        <v>1222</v>
      </c>
      <c r="AM353" s="1508" t="s">
        <v>1061</v>
      </c>
      <c r="AN353" s="3401">
        <v>43626</v>
      </c>
      <c r="AO353" s="3402" t="s">
        <v>6792</v>
      </c>
      <c r="AP353" s="3251" t="s">
        <v>6634</v>
      </c>
      <c r="AQ353" s="3248">
        <v>114.1</v>
      </c>
      <c r="AR353" s="1506">
        <f t="shared" ref="AR353:AR364" si="130">ROUND($AQ353/$G353*V353,0)</f>
        <v>469</v>
      </c>
      <c r="AS353" s="1507">
        <f t="shared" ref="AS353:AS364" si="131">ROUND($AQ353/$G353*Y353,0)</f>
        <v>587</v>
      </c>
      <c r="AT353" s="1507">
        <f t="shared" ref="AT353:AT358" si="132">ROUND($AQ353/$G353*AB353,0)</f>
        <v>167</v>
      </c>
      <c r="AU353" s="849"/>
      <c r="AV353" s="849"/>
      <c r="AW353" s="3247">
        <f t="shared" si="118"/>
        <v>1223</v>
      </c>
      <c r="AX353" s="3146"/>
      <c r="BA353" s="267"/>
      <c r="BB353" s="267"/>
      <c r="BC353" s="4117">
        <f t="shared" si="129"/>
        <v>0</v>
      </c>
      <c r="BD353" s="4117">
        <f t="shared" si="119"/>
        <v>0</v>
      </c>
    </row>
    <row r="354" spans="1:61" ht="76.5">
      <c r="A354" s="5978" t="s">
        <v>11140</v>
      </c>
      <c r="B354" s="1538" t="s">
        <v>6102</v>
      </c>
      <c r="C354" s="1509">
        <v>0</v>
      </c>
      <c r="D354" s="1510">
        <v>42969</v>
      </c>
      <c r="E354" s="3053" t="s">
        <v>6385</v>
      </c>
      <c r="F354" s="2139" t="s">
        <v>5160</v>
      </c>
      <c r="G354" s="2805">
        <v>111.5</v>
      </c>
      <c r="H354" s="1513" t="s">
        <v>4839</v>
      </c>
      <c r="I354" s="1514" t="s">
        <v>4840</v>
      </c>
      <c r="J354" s="1515" t="s">
        <v>4306</v>
      </c>
      <c r="K354" s="1516">
        <v>43699</v>
      </c>
      <c r="L354" s="1514" t="s">
        <v>4841</v>
      </c>
      <c r="M354" s="1515" t="s">
        <v>4842</v>
      </c>
      <c r="N354" s="1514" t="s">
        <v>4843</v>
      </c>
      <c r="O354" s="1513" t="s">
        <v>5114</v>
      </c>
      <c r="P354" s="1517"/>
      <c r="Q354" s="6094" t="s">
        <v>4332</v>
      </c>
      <c r="R354" s="1515" t="s">
        <v>1046</v>
      </c>
      <c r="S354" s="1518"/>
      <c r="T354" s="1519">
        <v>461</v>
      </c>
      <c r="U354" s="1504">
        <v>0</v>
      </c>
      <c r="V354" s="1520">
        <f t="shared" si="120"/>
        <v>461</v>
      </c>
      <c r="W354" s="1519">
        <v>576</v>
      </c>
      <c r="X354" s="1504">
        <v>0</v>
      </c>
      <c r="Y354" s="1520">
        <f t="shared" si="121"/>
        <v>576</v>
      </c>
      <c r="Z354" s="1519">
        <v>165</v>
      </c>
      <c r="AA354" s="1504">
        <v>0</v>
      </c>
      <c r="AB354" s="1520">
        <f t="shared" si="122"/>
        <v>165</v>
      </c>
      <c r="AC354" s="820"/>
      <c r="AD354" s="821"/>
      <c r="AE354" s="822"/>
      <c r="AF354" s="820"/>
      <c r="AG354" s="821"/>
      <c r="AH354" s="822"/>
      <c r="AI354" s="1503">
        <f t="shared" si="123"/>
        <v>1202</v>
      </c>
      <c r="AJ354" s="1504">
        <f t="shared" si="124"/>
        <v>0</v>
      </c>
      <c r="AK354" s="3919">
        <v>0</v>
      </c>
      <c r="AL354" s="1505">
        <f t="shared" si="125"/>
        <v>1202</v>
      </c>
      <c r="AM354" s="1508" t="s">
        <v>1061</v>
      </c>
      <c r="AN354" s="3401">
        <v>43626</v>
      </c>
      <c r="AO354" s="3402" t="s">
        <v>6793</v>
      </c>
      <c r="AP354" s="3251" t="s">
        <v>6634</v>
      </c>
      <c r="AQ354" s="3248">
        <v>114.1</v>
      </c>
      <c r="AR354" s="1506">
        <f t="shared" si="130"/>
        <v>472</v>
      </c>
      <c r="AS354" s="1507">
        <f t="shared" si="131"/>
        <v>589</v>
      </c>
      <c r="AT354" s="1507">
        <f t="shared" si="132"/>
        <v>169</v>
      </c>
      <c r="AU354" s="849"/>
      <c r="AV354" s="849"/>
      <c r="AW354" s="3247">
        <f t="shared" si="118"/>
        <v>1230</v>
      </c>
      <c r="AX354" s="3146"/>
      <c r="BA354" s="267"/>
      <c r="BB354" s="267"/>
      <c r="BC354" s="4117">
        <f t="shared" si="129"/>
        <v>0</v>
      </c>
      <c r="BD354" s="4117">
        <f t="shared" si="119"/>
        <v>0</v>
      </c>
    </row>
    <row r="355" spans="1:61" ht="76.5">
      <c r="A355" s="5981" t="s">
        <v>11135</v>
      </c>
      <c r="B355" s="1538" t="s">
        <v>5722</v>
      </c>
      <c r="C355" s="1509">
        <v>0</v>
      </c>
      <c r="D355" s="1510">
        <v>43626</v>
      </c>
      <c r="E355" s="3053" t="s">
        <v>6386</v>
      </c>
      <c r="F355" s="1511" t="s">
        <v>5757</v>
      </c>
      <c r="G355" s="2663">
        <v>1.0247219999999999</v>
      </c>
      <c r="H355" s="1513" t="s">
        <v>6775</v>
      </c>
      <c r="I355" s="1514" t="s">
        <v>6776</v>
      </c>
      <c r="J355" s="1515" t="s">
        <v>4306</v>
      </c>
      <c r="K355" s="1516">
        <v>44357</v>
      </c>
      <c r="L355" s="1514" t="s">
        <v>6777</v>
      </c>
      <c r="M355" s="1515" t="s">
        <v>6778</v>
      </c>
      <c r="N355" s="1514" t="s">
        <v>6779</v>
      </c>
      <c r="O355" s="1515" t="s">
        <v>6778</v>
      </c>
      <c r="P355" s="1517"/>
      <c r="Q355" s="6094" t="s">
        <v>5708</v>
      </c>
      <c r="R355" s="1515" t="s">
        <v>5350</v>
      </c>
      <c r="S355" s="1518"/>
      <c r="T355" s="1519">
        <v>2444</v>
      </c>
      <c r="U355" s="1504">
        <v>0</v>
      </c>
      <c r="V355" s="1520">
        <f t="shared" si="120"/>
        <v>2444</v>
      </c>
      <c r="W355" s="1519">
        <v>3056</v>
      </c>
      <c r="X355" s="1504">
        <v>0</v>
      </c>
      <c r="Y355" s="1520">
        <f t="shared" si="121"/>
        <v>3056</v>
      </c>
      <c r="Z355" s="1519">
        <v>611</v>
      </c>
      <c r="AA355" s="1504">
        <v>0</v>
      </c>
      <c r="AB355" s="1520">
        <f t="shared" si="122"/>
        <v>611</v>
      </c>
      <c r="AC355" s="820"/>
      <c r="AD355" s="821"/>
      <c r="AE355" s="822"/>
      <c r="AF355" s="820"/>
      <c r="AG355" s="821"/>
      <c r="AH355" s="822"/>
      <c r="AI355" s="1503">
        <f t="shared" si="123"/>
        <v>6111</v>
      </c>
      <c r="AJ355" s="1504">
        <f t="shared" si="124"/>
        <v>0</v>
      </c>
      <c r="AK355" s="3919">
        <v>0</v>
      </c>
      <c r="AL355" s="1505">
        <f t="shared" si="125"/>
        <v>6111</v>
      </c>
      <c r="AM355" s="1508" t="s">
        <v>1061</v>
      </c>
      <c r="AN355" s="3401">
        <v>43628</v>
      </c>
      <c r="AO355" s="3402" t="s">
        <v>6794</v>
      </c>
      <c r="AP355" s="2664" t="s">
        <v>5807</v>
      </c>
      <c r="AQ355" s="2806">
        <v>1.0247219999999999</v>
      </c>
      <c r="AR355" s="1506">
        <f t="shared" si="130"/>
        <v>2444</v>
      </c>
      <c r="AS355" s="1507">
        <f t="shared" si="131"/>
        <v>3056</v>
      </c>
      <c r="AT355" s="1507">
        <f t="shared" si="132"/>
        <v>611</v>
      </c>
      <c r="AU355" s="849"/>
      <c r="AV355" s="849"/>
      <c r="AW355" s="3247">
        <f t="shared" si="118"/>
        <v>6111</v>
      </c>
      <c r="AX355" s="3146"/>
      <c r="BA355" s="267"/>
      <c r="BB355" s="267"/>
      <c r="BC355" s="4117">
        <f t="shared" si="129"/>
        <v>0</v>
      </c>
      <c r="BD355" s="4117">
        <f t="shared" si="119"/>
        <v>0</v>
      </c>
    </row>
    <row r="356" spans="1:61" ht="76.5">
      <c r="A356" s="5981" t="s">
        <v>11135</v>
      </c>
      <c r="B356" s="1538" t="s">
        <v>5717</v>
      </c>
      <c r="C356" s="1509">
        <v>0</v>
      </c>
      <c r="D356" s="1510">
        <v>43543</v>
      </c>
      <c r="E356" s="3053" t="s">
        <v>6386</v>
      </c>
      <c r="F356" s="1511" t="s">
        <v>5757</v>
      </c>
      <c r="G356" s="2663">
        <v>1.0247219999999999</v>
      </c>
      <c r="H356" s="1513" t="s">
        <v>6525</v>
      </c>
      <c r="I356" s="1514" t="s">
        <v>6528</v>
      </c>
      <c r="J356" s="1515" t="s">
        <v>4306</v>
      </c>
      <c r="K356" s="1516">
        <v>44274</v>
      </c>
      <c r="L356" s="1514" t="s">
        <v>6531</v>
      </c>
      <c r="M356" s="1515" t="s">
        <v>6532</v>
      </c>
      <c r="N356" s="1514" t="s">
        <v>6537</v>
      </c>
      <c r="O356" s="1513" t="s">
        <v>6538</v>
      </c>
      <c r="P356" s="1517"/>
      <c r="Q356" s="6094" t="s">
        <v>5708</v>
      </c>
      <c r="R356" s="1515" t="s">
        <v>5350</v>
      </c>
      <c r="S356" s="1518"/>
      <c r="T356" s="1519">
        <v>2444</v>
      </c>
      <c r="U356" s="1504">
        <v>0</v>
      </c>
      <c r="V356" s="1520">
        <f t="shared" si="120"/>
        <v>2444</v>
      </c>
      <c r="W356" s="1519">
        <v>3056</v>
      </c>
      <c r="X356" s="1504">
        <v>0</v>
      </c>
      <c r="Y356" s="1520">
        <f t="shared" si="121"/>
        <v>3056</v>
      </c>
      <c r="Z356" s="1519">
        <v>611</v>
      </c>
      <c r="AA356" s="1504">
        <v>0</v>
      </c>
      <c r="AB356" s="1520">
        <f t="shared" si="122"/>
        <v>611</v>
      </c>
      <c r="AC356" s="820"/>
      <c r="AD356" s="821"/>
      <c r="AE356" s="822"/>
      <c r="AF356" s="820"/>
      <c r="AG356" s="821"/>
      <c r="AH356" s="822"/>
      <c r="AI356" s="1503">
        <f t="shared" si="123"/>
        <v>6111</v>
      </c>
      <c r="AJ356" s="1504">
        <f t="shared" si="124"/>
        <v>0</v>
      </c>
      <c r="AK356" s="3919">
        <v>0</v>
      </c>
      <c r="AL356" s="1505">
        <f t="shared" si="125"/>
        <v>6111</v>
      </c>
      <c r="AM356" s="1508" t="s">
        <v>1061</v>
      </c>
      <c r="AN356" s="3401">
        <v>43630</v>
      </c>
      <c r="AO356" s="3402" t="s">
        <v>6796</v>
      </c>
      <c r="AP356" s="2664" t="s">
        <v>5807</v>
      </c>
      <c r="AQ356" s="2806">
        <v>1.0247219999999999</v>
      </c>
      <c r="AR356" s="1506">
        <f t="shared" si="130"/>
        <v>2444</v>
      </c>
      <c r="AS356" s="1507">
        <f t="shared" si="131"/>
        <v>3056</v>
      </c>
      <c r="AT356" s="1507">
        <f t="shared" si="132"/>
        <v>611</v>
      </c>
      <c r="AU356" s="849"/>
      <c r="AV356" s="849"/>
      <c r="AW356" s="3247">
        <f t="shared" si="118"/>
        <v>6111</v>
      </c>
      <c r="AX356" s="3146"/>
      <c r="BA356" s="267"/>
      <c r="BB356" s="267"/>
      <c r="BC356" s="4117">
        <f t="shared" si="129"/>
        <v>0</v>
      </c>
      <c r="BD356" s="4117">
        <f t="shared" si="119"/>
        <v>0</v>
      </c>
    </row>
    <row r="357" spans="1:61" ht="102">
      <c r="A357" s="5981" t="s">
        <v>11135</v>
      </c>
      <c r="B357" s="1538" t="s">
        <v>6799</v>
      </c>
      <c r="C357" s="1509">
        <v>1</v>
      </c>
      <c r="D357" s="1510" t="s">
        <v>6441</v>
      </c>
      <c r="E357" s="3053" t="s">
        <v>6386</v>
      </c>
      <c r="F357" s="1511" t="s">
        <v>5757</v>
      </c>
      <c r="G357" s="2663">
        <v>1.0247219999999999</v>
      </c>
      <c r="H357" s="1513" t="s">
        <v>6798</v>
      </c>
      <c r="I357" s="1514" t="s">
        <v>1433</v>
      </c>
      <c r="J357" s="1515" t="s">
        <v>1434</v>
      </c>
      <c r="K357" s="1516">
        <v>45710</v>
      </c>
      <c r="L357" s="1514" t="s">
        <v>6442</v>
      </c>
      <c r="M357" s="1515" t="s">
        <v>6437</v>
      </c>
      <c r="N357" s="1514" t="s">
        <v>4395</v>
      </c>
      <c r="O357" s="1513" t="s">
        <v>6438</v>
      </c>
      <c r="P357" s="1517" t="s">
        <v>6797</v>
      </c>
      <c r="Q357" s="1515" t="s">
        <v>6440</v>
      </c>
      <c r="R357" s="1515" t="s">
        <v>6439</v>
      </c>
      <c r="S357" s="1518"/>
      <c r="T357" s="1519">
        <v>307</v>
      </c>
      <c r="U357" s="1504">
        <v>0</v>
      </c>
      <c r="V357" s="1520">
        <f t="shared" si="120"/>
        <v>307</v>
      </c>
      <c r="W357" s="1519">
        <v>53</v>
      </c>
      <c r="X357" s="1504">
        <v>0</v>
      </c>
      <c r="Y357" s="1520">
        <f t="shared" si="121"/>
        <v>53</v>
      </c>
      <c r="Z357" s="1519">
        <v>0</v>
      </c>
      <c r="AA357" s="1504">
        <v>0</v>
      </c>
      <c r="AB357" s="1520">
        <f t="shared" si="122"/>
        <v>0</v>
      </c>
      <c r="AC357" s="820"/>
      <c r="AD357" s="821"/>
      <c r="AE357" s="822"/>
      <c r="AF357" s="820"/>
      <c r="AG357" s="821"/>
      <c r="AH357" s="822"/>
      <c r="AI357" s="1503">
        <f t="shared" si="123"/>
        <v>360</v>
      </c>
      <c r="AJ357" s="1504">
        <f t="shared" si="124"/>
        <v>0</v>
      </c>
      <c r="AK357" s="3919">
        <v>0</v>
      </c>
      <c r="AL357" s="1505">
        <f t="shared" si="125"/>
        <v>360</v>
      </c>
      <c r="AM357" s="1508" t="s">
        <v>1061</v>
      </c>
      <c r="AN357" s="3401">
        <v>43634</v>
      </c>
      <c r="AO357" s="3402" t="s">
        <v>6809</v>
      </c>
      <c r="AP357" s="2664" t="s">
        <v>5807</v>
      </c>
      <c r="AQ357" s="2806">
        <v>1.0247219999999999</v>
      </c>
      <c r="AR357" s="1506">
        <f t="shared" si="130"/>
        <v>307</v>
      </c>
      <c r="AS357" s="1507">
        <f t="shared" si="131"/>
        <v>53</v>
      </c>
      <c r="AT357" s="1507">
        <f t="shared" si="132"/>
        <v>0</v>
      </c>
      <c r="AU357" s="849"/>
      <c r="AV357" s="849"/>
      <c r="AW357" s="3247">
        <f t="shared" si="118"/>
        <v>360</v>
      </c>
      <c r="AX357" s="3146"/>
      <c r="BA357" s="267"/>
      <c r="BB357" s="267"/>
      <c r="BC357" s="4117">
        <f t="shared" si="129"/>
        <v>0</v>
      </c>
      <c r="BD357" s="4117">
        <f t="shared" si="119"/>
        <v>0</v>
      </c>
    </row>
    <row r="358" spans="1:61" ht="76.5">
      <c r="A358" s="5978" t="s">
        <v>11140</v>
      </c>
      <c r="B358" s="1538" t="s">
        <v>6582</v>
      </c>
      <c r="C358" s="1509">
        <v>0</v>
      </c>
      <c r="D358" s="1510">
        <v>42885</v>
      </c>
      <c r="E358" s="3053" t="s">
        <v>6385</v>
      </c>
      <c r="F358" s="2139" t="s">
        <v>6558</v>
      </c>
      <c r="G358" s="2805">
        <v>114</v>
      </c>
      <c r="H358" s="1513" t="s">
        <v>6481</v>
      </c>
      <c r="I358" s="1514" t="s">
        <v>4619</v>
      </c>
      <c r="J358" s="1515" t="s">
        <v>4306</v>
      </c>
      <c r="K358" s="1516">
        <v>43615</v>
      </c>
      <c r="L358" s="1514" t="s">
        <v>4620</v>
      </c>
      <c r="M358" s="1515" t="s">
        <v>4621</v>
      </c>
      <c r="N358" s="1514" t="s">
        <v>4622</v>
      </c>
      <c r="O358" s="1513" t="s">
        <v>6232</v>
      </c>
      <c r="P358" s="1517" t="s">
        <v>6579</v>
      </c>
      <c r="Q358" s="6094" t="s">
        <v>4332</v>
      </c>
      <c r="R358" s="1515" t="s">
        <v>1046</v>
      </c>
      <c r="S358" s="1518"/>
      <c r="T358" s="1519">
        <v>465</v>
      </c>
      <c r="U358" s="1504">
        <v>0</v>
      </c>
      <c r="V358" s="1520">
        <f t="shared" si="120"/>
        <v>465</v>
      </c>
      <c r="W358" s="1519">
        <v>581</v>
      </c>
      <c r="X358" s="1504">
        <v>0</v>
      </c>
      <c r="Y358" s="1520">
        <f t="shared" si="121"/>
        <v>581</v>
      </c>
      <c r="Z358" s="1519">
        <v>166</v>
      </c>
      <c r="AA358" s="1504">
        <v>0</v>
      </c>
      <c r="AB358" s="1520">
        <f t="shared" si="122"/>
        <v>166</v>
      </c>
      <c r="AC358" s="820"/>
      <c r="AD358" s="821"/>
      <c r="AE358" s="822"/>
      <c r="AF358" s="820"/>
      <c r="AG358" s="821"/>
      <c r="AH358" s="822"/>
      <c r="AI358" s="1503">
        <f t="shared" si="123"/>
        <v>1212</v>
      </c>
      <c r="AJ358" s="1504">
        <f t="shared" si="124"/>
        <v>0</v>
      </c>
      <c r="AK358" s="3919">
        <v>0</v>
      </c>
      <c r="AL358" s="1505">
        <f t="shared" si="125"/>
        <v>1212</v>
      </c>
      <c r="AM358" s="1508" t="s">
        <v>1061</v>
      </c>
      <c r="AN358" s="3401">
        <v>43636</v>
      </c>
      <c r="AO358" s="3402" t="s">
        <v>6816</v>
      </c>
      <c r="AP358" s="3251" t="s">
        <v>6634</v>
      </c>
      <c r="AQ358" s="3248">
        <v>114.1</v>
      </c>
      <c r="AR358" s="1506">
        <f t="shared" si="130"/>
        <v>465</v>
      </c>
      <c r="AS358" s="1507">
        <f t="shared" si="131"/>
        <v>582</v>
      </c>
      <c r="AT358" s="1507">
        <f t="shared" si="132"/>
        <v>166</v>
      </c>
      <c r="AU358" s="849"/>
      <c r="AV358" s="849"/>
      <c r="AW358" s="3247">
        <f t="shared" si="118"/>
        <v>1213</v>
      </c>
      <c r="AX358" s="3146"/>
      <c r="BA358" s="267"/>
      <c r="BB358" s="267"/>
      <c r="BC358" s="4117">
        <f t="shared" si="129"/>
        <v>0</v>
      </c>
      <c r="BD358" s="4117">
        <f t="shared" si="119"/>
        <v>0</v>
      </c>
    </row>
    <row r="359" spans="1:61" ht="76.5">
      <c r="A359" s="5978" t="s">
        <v>11140</v>
      </c>
      <c r="B359" s="1538" t="s">
        <v>6502</v>
      </c>
      <c r="C359" s="1509">
        <v>0</v>
      </c>
      <c r="D359" s="1510">
        <v>43228</v>
      </c>
      <c r="E359" s="3053" t="s">
        <v>6385</v>
      </c>
      <c r="F359" s="2139" t="s">
        <v>6558</v>
      </c>
      <c r="G359" s="2805">
        <v>114</v>
      </c>
      <c r="H359" s="1513" t="s">
        <v>5486</v>
      </c>
      <c r="I359" s="1514" t="s">
        <v>5487</v>
      </c>
      <c r="J359" s="1515" t="s">
        <v>4306</v>
      </c>
      <c r="K359" s="1516">
        <v>43959</v>
      </c>
      <c r="L359" s="1514" t="s">
        <v>5488</v>
      </c>
      <c r="M359" s="1515" t="s">
        <v>5489</v>
      </c>
      <c r="N359" s="1514" t="s">
        <v>5490</v>
      </c>
      <c r="O359" s="1515" t="s">
        <v>5489</v>
      </c>
      <c r="P359" s="1517" t="s">
        <v>6500</v>
      </c>
      <c r="Q359" s="6094" t="s">
        <v>5349</v>
      </c>
      <c r="R359" s="1515" t="s">
        <v>5350</v>
      </c>
      <c r="S359" s="1518"/>
      <c r="T359" s="1519">
        <v>473</v>
      </c>
      <c r="U359" s="1504">
        <v>0</v>
      </c>
      <c r="V359" s="1520">
        <f t="shared" si="120"/>
        <v>473</v>
      </c>
      <c r="W359" s="1519">
        <v>591</v>
      </c>
      <c r="X359" s="1504">
        <v>0</v>
      </c>
      <c r="Y359" s="1520">
        <f t="shared" si="121"/>
        <v>591</v>
      </c>
      <c r="Z359" s="1519">
        <v>168</v>
      </c>
      <c r="AA359" s="1504">
        <v>0</v>
      </c>
      <c r="AB359" s="1520">
        <f t="shared" si="122"/>
        <v>168</v>
      </c>
      <c r="AC359" s="820"/>
      <c r="AD359" s="821"/>
      <c r="AE359" s="822"/>
      <c r="AF359" s="820"/>
      <c r="AG359" s="821"/>
      <c r="AH359" s="822"/>
      <c r="AI359" s="1503">
        <f t="shared" si="123"/>
        <v>1232</v>
      </c>
      <c r="AJ359" s="1504">
        <f t="shared" si="124"/>
        <v>0</v>
      </c>
      <c r="AK359" s="3919">
        <v>0</v>
      </c>
      <c r="AL359" s="1505">
        <f t="shared" si="125"/>
        <v>1232</v>
      </c>
      <c r="AM359" s="1508" t="s">
        <v>6845</v>
      </c>
      <c r="AN359" s="3401">
        <v>43641</v>
      </c>
      <c r="AO359" s="3402" t="s">
        <v>6835</v>
      </c>
      <c r="AP359" s="3251" t="s">
        <v>6634</v>
      </c>
      <c r="AQ359" s="3248">
        <v>114.1</v>
      </c>
      <c r="AR359" s="1506">
        <f t="shared" si="130"/>
        <v>473</v>
      </c>
      <c r="AS359" s="1507">
        <f t="shared" si="131"/>
        <v>592</v>
      </c>
      <c r="AT359" s="1507">
        <f>ROUND($AQ359/$G359*AB359,0)-1</f>
        <v>167</v>
      </c>
      <c r="AU359" s="849"/>
      <c r="AV359" s="849"/>
      <c r="AW359" s="3247">
        <f t="shared" si="118"/>
        <v>1232</v>
      </c>
      <c r="AX359" s="3146"/>
      <c r="BA359" s="267"/>
      <c r="BB359" s="267"/>
      <c r="BC359" s="4117">
        <f t="shared" si="129"/>
        <v>0</v>
      </c>
      <c r="BD359" s="4117">
        <f t="shared" si="119"/>
        <v>0</v>
      </c>
    </row>
    <row r="360" spans="1:61" ht="51">
      <c r="A360" s="5978" t="s">
        <v>11140</v>
      </c>
      <c r="B360" s="1538" t="s">
        <v>6103</v>
      </c>
      <c r="C360" s="1509">
        <v>0</v>
      </c>
      <c r="D360" s="1510">
        <v>43256</v>
      </c>
      <c r="E360" s="3053" t="s">
        <v>6385</v>
      </c>
      <c r="F360" s="2139" t="s">
        <v>5823</v>
      </c>
      <c r="G360" s="2805">
        <v>112.9</v>
      </c>
      <c r="H360" s="1513" t="s">
        <v>5634</v>
      </c>
      <c r="I360" s="1514" t="s">
        <v>1433</v>
      </c>
      <c r="J360" s="1515" t="s">
        <v>1434</v>
      </c>
      <c r="K360" s="1516">
        <v>45442</v>
      </c>
      <c r="L360" s="1514" t="s">
        <v>5635</v>
      </c>
      <c r="M360" s="1515" t="s">
        <v>5636</v>
      </c>
      <c r="N360" s="1514" t="s">
        <v>5637</v>
      </c>
      <c r="O360" s="1513" t="s">
        <v>6301</v>
      </c>
      <c r="P360" s="1517" t="s">
        <v>5828</v>
      </c>
      <c r="Q360" s="1515" t="s">
        <v>5639</v>
      </c>
      <c r="R360" s="1515" t="s">
        <v>5640</v>
      </c>
      <c r="S360" s="1518"/>
      <c r="T360" s="1519">
        <v>4065</v>
      </c>
      <c r="U360" s="1504">
        <v>0</v>
      </c>
      <c r="V360" s="1520">
        <f t="shared" si="120"/>
        <v>4065</v>
      </c>
      <c r="W360" s="1519">
        <v>717</v>
      </c>
      <c r="X360" s="1504">
        <v>0</v>
      </c>
      <c r="Y360" s="1520">
        <f t="shared" si="121"/>
        <v>717</v>
      </c>
      <c r="Z360" s="1519">
        <v>313</v>
      </c>
      <c r="AA360" s="1504">
        <v>0</v>
      </c>
      <c r="AB360" s="1520">
        <f t="shared" si="122"/>
        <v>313</v>
      </c>
      <c r="AC360" s="820"/>
      <c r="AD360" s="821"/>
      <c r="AE360" s="822"/>
      <c r="AF360" s="820"/>
      <c r="AG360" s="821"/>
      <c r="AH360" s="822"/>
      <c r="AI360" s="1503">
        <f t="shared" si="123"/>
        <v>5095</v>
      </c>
      <c r="AJ360" s="1504">
        <f t="shared" si="124"/>
        <v>0</v>
      </c>
      <c r="AK360" s="3919">
        <v>0</v>
      </c>
      <c r="AL360" s="1505">
        <f t="shared" si="125"/>
        <v>5095</v>
      </c>
      <c r="AM360" s="1508" t="s">
        <v>1061</v>
      </c>
      <c r="AN360" s="3401">
        <v>43642</v>
      </c>
      <c r="AO360" s="3402" t="s">
        <v>6844</v>
      </c>
      <c r="AP360" s="3251" t="s">
        <v>6634</v>
      </c>
      <c r="AQ360" s="3248">
        <v>114.1</v>
      </c>
      <c r="AR360" s="1506">
        <f t="shared" si="130"/>
        <v>4108</v>
      </c>
      <c r="AS360" s="1507">
        <f t="shared" si="131"/>
        <v>725</v>
      </c>
      <c r="AT360" s="1507">
        <f t="shared" ref="AT360:AT366" si="133">ROUND($AQ360/$G360*AB360,0)</f>
        <v>316</v>
      </c>
      <c r="AU360" s="849"/>
      <c r="AV360" s="849"/>
      <c r="AW360" s="3247">
        <f t="shared" si="118"/>
        <v>5149</v>
      </c>
      <c r="AX360" s="3146"/>
      <c r="BA360" s="267"/>
      <c r="BB360" s="267"/>
      <c r="BC360" s="4117">
        <f t="shared" si="129"/>
        <v>0</v>
      </c>
      <c r="BD360" s="4117">
        <f t="shared" si="119"/>
        <v>0</v>
      </c>
    </row>
    <row r="361" spans="1:61" ht="63.75">
      <c r="A361" s="5978" t="s">
        <v>11140</v>
      </c>
      <c r="B361" s="1538" t="s">
        <v>6100</v>
      </c>
      <c r="C361" s="1509" t="s">
        <v>1432</v>
      </c>
      <c r="D361" s="1510">
        <v>41464</v>
      </c>
      <c r="E361" s="3053" t="s">
        <v>6388</v>
      </c>
      <c r="F361" s="2139">
        <v>42887</v>
      </c>
      <c r="G361" s="2805">
        <v>111</v>
      </c>
      <c r="H361" s="1513" t="s">
        <v>1551</v>
      </c>
      <c r="I361" s="1514" t="s">
        <v>1433</v>
      </c>
      <c r="J361" s="1515" t="s">
        <v>1434</v>
      </c>
      <c r="K361" s="1516">
        <v>42920</v>
      </c>
      <c r="L361" s="1514" t="s">
        <v>1816</v>
      </c>
      <c r="M361" s="1515" t="s">
        <v>1799</v>
      </c>
      <c r="N361" s="1514" t="s">
        <v>1552</v>
      </c>
      <c r="O361" s="1513" t="s">
        <v>6200</v>
      </c>
      <c r="P361" s="2215" t="s">
        <v>6626</v>
      </c>
      <c r="Q361" s="1515" t="s">
        <v>1687</v>
      </c>
      <c r="R361" s="1515" t="s">
        <v>1553</v>
      </c>
      <c r="S361" s="2336" t="s">
        <v>4861</v>
      </c>
      <c r="T361" s="1519">
        <v>2108</v>
      </c>
      <c r="U361" s="1504">
        <v>0</v>
      </c>
      <c r="V361" s="1520">
        <f t="shared" si="120"/>
        <v>2108</v>
      </c>
      <c r="W361" s="1519">
        <v>2634</v>
      </c>
      <c r="X361" s="1504">
        <v>0</v>
      </c>
      <c r="Y361" s="1520">
        <f t="shared" si="121"/>
        <v>2634</v>
      </c>
      <c r="Z361" s="1519">
        <v>527</v>
      </c>
      <c r="AA361" s="1504">
        <v>0</v>
      </c>
      <c r="AB361" s="1520">
        <f t="shared" si="122"/>
        <v>527</v>
      </c>
      <c r="AC361" s="820"/>
      <c r="AD361" s="821"/>
      <c r="AE361" s="822"/>
      <c r="AF361" s="820"/>
      <c r="AG361" s="821"/>
      <c r="AH361" s="822"/>
      <c r="AI361" s="1503">
        <f t="shared" si="123"/>
        <v>5269</v>
      </c>
      <c r="AJ361" s="1504">
        <f t="shared" si="124"/>
        <v>0</v>
      </c>
      <c r="AK361" s="3919">
        <v>0</v>
      </c>
      <c r="AL361" s="1505">
        <f t="shared" si="125"/>
        <v>5269</v>
      </c>
      <c r="AM361" s="1508" t="s">
        <v>1061</v>
      </c>
      <c r="AN361" s="3401">
        <v>43643</v>
      </c>
      <c r="AO361" s="3402" t="s">
        <v>6851</v>
      </c>
      <c r="AP361" s="3251" t="s">
        <v>6634</v>
      </c>
      <c r="AQ361" s="3248">
        <v>114.1</v>
      </c>
      <c r="AR361" s="1506">
        <f t="shared" si="130"/>
        <v>2167</v>
      </c>
      <c r="AS361" s="1507">
        <f t="shared" si="131"/>
        <v>2708</v>
      </c>
      <c r="AT361" s="1507">
        <f t="shared" si="133"/>
        <v>542</v>
      </c>
      <c r="AU361" s="849"/>
      <c r="AV361" s="849"/>
      <c r="AW361" s="3247">
        <f t="shared" si="118"/>
        <v>5417</v>
      </c>
      <c r="AX361" s="3146" t="s">
        <v>1728</v>
      </c>
      <c r="BA361" s="267"/>
      <c r="BB361" s="267"/>
      <c r="BC361" s="4117">
        <f t="shared" si="129"/>
        <v>0</v>
      </c>
      <c r="BD361" s="4117">
        <f t="shared" si="119"/>
        <v>0</v>
      </c>
    </row>
    <row r="362" spans="1:61" ht="51">
      <c r="A362" s="5981" t="s">
        <v>11135</v>
      </c>
      <c r="B362" s="1538" t="s">
        <v>6639</v>
      </c>
      <c r="C362" s="1509">
        <v>0</v>
      </c>
      <c r="D362" s="1510">
        <v>43174</v>
      </c>
      <c r="E362" s="3053" t="s">
        <v>6385</v>
      </c>
      <c r="F362" s="1511" t="s">
        <v>5915</v>
      </c>
      <c r="G362" s="2663">
        <v>1.0119899999999999</v>
      </c>
      <c r="H362" s="1513" t="s">
        <v>5374</v>
      </c>
      <c r="I362" s="1514" t="s">
        <v>1433</v>
      </c>
      <c r="J362" s="1515" t="s">
        <v>1434</v>
      </c>
      <c r="K362" s="1516">
        <v>45366</v>
      </c>
      <c r="L362" s="1514" t="s">
        <v>5375</v>
      </c>
      <c r="M362" s="1515" t="s">
        <v>5376</v>
      </c>
      <c r="N362" s="1514" t="s">
        <v>5377</v>
      </c>
      <c r="O362" s="1513" t="s">
        <v>6308</v>
      </c>
      <c r="P362" s="1517"/>
      <c r="Q362" s="1515" t="s">
        <v>5380</v>
      </c>
      <c r="R362" s="1515" t="s">
        <v>5378</v>
      </c>
      <c r="S362" s="1518" t="s">
        <v>5379</v>
      </c>
      <c r="T362" s="1519">
        <v>4857</v>
      </c>
      <c r="U362" s="1504">
        <v>0</v>
      </c>
      <c r="V362" s="1520">
        <f t="shared" ref="V362:V372" si="134">T362-U362</f>
        <v>4857</v>
      </c>
      <c r="W362" s="1519">
        <v>6072</v>
      </c>
      <c r="X362" s="1504">
        <v>0</v>
      </c>
      <c r="Y362" s="1520">
        <f t="shared" ref="Y362:Y372" si="135">W362-X362</f>
        <v>6072</v>
      </c>
      <c r="Z362" s="1519">
        <v>0</v>
      </c>
      <c r="AA362" s="1504">
        <v>0</v>
      </c>
      <c r="AB362" s="1520">
        <f t="shared" ref="AB362:AB380" si="136">Z362-AA362</f>
        <v>0</v>
      </c>
      <c r="AC362" s="820"/>
      <c r="AD362" s="821"/>
      <c r="AE362" s="822"/>
      <c r="AF362" s="820"/>
      <c r="AG362" s="821"/>
      <c r="AH362" s="822"/>
      <c r="AI362" s="1503">
        <f t="shared" ref="AI362:AI372" si="137">T362+W362+Z362+AC362+AF362</f>
        <v>10929</v>
      </c>
      <c r="AJ362" s="1504">
        <f t="shared" ref="AJ362:AJ372" si="138">U362+X362+AA362+AD362+AG362</f>
        <v>0</v>
      </c>
      <c r="AK362" s="3919">
        <v>0</v>
      </c>
      <c r="AL362" s="1505">
        <f t="shared" ref="AL362:AL372" si="139">V362+Y362+AB362+AE362+AH362</f>
        <v>10929</v>
      </c>
      <c r="AM362" s="1508" t="s">
        <v>1061</v>
      </c>
      <c r="AN362" s="3401">
        <v>43643</v>
      </c>
      <c r="AO362" s="3402" t="s">
        <v>6852</v>
      </c>
      <c r="AP362" s="2664" t="s">
        <v>5807</v>
      </c>
      <c r="AQ362" s="2806">
        <v>1.0247219999999999</v>
      </c>
      <c r="AR362" s="1506">
        <f t="shared" si="130"/>
        <v>4918</v>
      </c>
      <c r="AS362" s="1507">
        <f t="shared" si="131"/>
        <v>6148</v>
      </c>
      <c r="AT362" s="1507">
        <f t="shared" si="133"/>
        <v>0</v>
      </c>
      <c r="AU362" s="849"/>
      <c r="AV362" s="849"/>
      <c r="AW362" s="3247">
        <f t="shared" si="118"/>
        <v>11066</v>
      </c>
      <c r="AX362" s="3146"/>
      <c r="BA362" s="267"/>
      <c r="BB362" s="267"/>
      <c r="BC362" s="4117">
        <f t="shared" si="129"/>
        <v>0</v>
      </c>
      <c r="BD362" s="4117">
        <f t="shared" si="119"/>
        <v>0</v>
      </c>
    </row>
    <row r="363" spans="1:61" ht="76.5">
      <c r="A363" s="5981" t="s">
        <v>11135</v>
      </c>
      <c r="B363" s="1538" t="s">
        <v>6541</v>
      </c>
      <c r="C363" s="1509">
        <v>0</v>
      </c>
      <c r="D363" s="1510">
        <v>43445</v>
      </c>
      <c r="E363" s="3053" t="s">
        <v>6386</v>
      </c>
      <c r="F363" s="1511" t="s">
        <v>5757</v>
      </c>
      <c r="G363" s="2663">
        <v>1.0247219999999999</v>
      </c>
      <c r="H363" s="1513" t="s">
        <v>6076</v>
      </c>
      <c r="I363" s="1514" t="s">
        <v>6077</v>
      </c>
      <c r="J363" s="1515" t="s">
        <v>4306</v>
      </c>
      <c r="K363" s="1516">
        <v>44176</v>
      </c>
      <c r="L363" s="1514" t="s">
        <v>313</v>
      </c>
      <c r="M363" s="1515" t="s">
        <v>6078</v>
      </c>
      <c r="N363" s="1514" t="s">
        <v>6079</v>
      </c>
      <c r="O363" s="1513" t="s">
        <v>6253</v>
      </c>
      <c r="P363" s="2215" t="s">
        <v>6157</v>
      </c>
      <c r="Q363" s="6094" t="s">
        <v>5708</v>
      </c>
      <c r="R363" s="1515" t="s">
        <v>5350</v>
      </c>
      <c r="S363" s="1518" t="s">
        <v>5972</v>
      </c>
      <c r="T363" s="1519">
        <v>2444</v>
      </c>
      <c r="U363" s="1504">
        <v>0</v>
      </c>
      <c r="V363" s="1520">
        <f t="shared" si="134"/>
        <v>2444</v>
      </c>
      <c r="W363" s="1519">
        <v>3056</v>
      </c>
      <c r="X363" s="1504">
        <v>0</v>
      </c>
      <c r="Y363" s="1520">
        <f t="shared" si="135"/>
        <v>3056</v>
      </c>
      <c r="Z363" s="1519">
        <v>0</v>
      </c>
      <c r="AA363" s="1504">
        <v>0</v>
      </c>
      <c r="AB363" s="1520">
        <f t="shared" si="136"/>
        <v>0</v>
      </c>
      <c r="AC363" s="820"/>
      <c r="AD363" s="821"/>
      <c r="AE363" s="822"/>
      <c r="AF363" s="820"/>
      <c r="AG363" s="821"/>
      <c r="AH363" s="822"/>
      <c r="AI363" s="1503">
        <f t="shared" si="137"/>
        <v>5500</v>
      </c>
      <c r="AJ363" s="1504">
        <f t="shared" si="138"/>
        <v>0</v>
      </c>
      <c r="AK363" s="3919">
        <v>0</v>
      </c>
      <c r="AL363" s="1505">
        <f t="shared" si="139"/>
        <v>5500</v>
      </c>
      <c r="AM363" s="1508" t="s">
        <v>1061</v>
      </c>
      <c r="AN363" s="3401">
        <v>43643</v>
      </c>
      <c r="AO363" s="3402" t="s">
        <v>6853</v>
      </c>
      <c r="AP363" s="2664" t="s">
        <v>5807</v>
      </c>
      <c r="AQ363" s="2806">
        <v>1.0247219999999999</v>
      </c>
      <c r="AR363" s="1506">
        <f t="shared" si="130"/>
        <v>2444</v>
      </c>
      <c r="AS363" s="1507">
        <f t="shared" si="131"/>
        <v>3056</v>
      </c>
      <c r="AT363" s="1507">
        <f t="shared" si="133"/>
        <v>0</v>
      </c>
      <c r="AU363" s="849"/>
      <c r="AV363" s="849"/>
      <c r="AW363" s="3247">
        <f t="shared" si="118"/>
        <v>5500</v>
      </c>
      <c r="AX363" s="3146"/>
      <c r="BA363" s="267"/>
      <c r="BB363" s="267"/>
      <c r="BC363" s="4117">
        <f t="shared" si="129"/>
        <v>0</v>
      </c>
      <c r="BD363" s="4117">
        <f t="shared" si="119"/>
        <v>0</v>
      </c>
    </row>
    <row r="364" spans="1:61" ht="76.5">
      <c r="A364" s="5978" t="s">
        <v>11140</v>
      </c>
      <c r="B364" s="1538" t="s">
        <v>6581</v>
      </c>
      <c r="C364" s="1509">
        <v>0</v>
      </c>
      <c r="D364" s="1510">
        <v>42837</v>
      </c>
      <c r="E364" s="3053" t="s">
        <v>6385</v>
      </c>
      <c r="F364" s="2139" t="s">
        <v>6558</v>
      </c>
      <c r="G364" s="2805">
        <v>114</v>
      </c>
      <c r="H364" s="1513" t="s">
        <v>6480</v>
      </c>
      <c r="I364" s="1514" t="s">
        <v>4507</v>
      </c>
      <c r="J364" s="1515" t="s">
        <v>4306</v>
      </c>
      <c r="K364" s="1516">
        <v>43567</v>
      </c>
      <c r="L364" s="1514" t="s">
        <v>4508</v>
      </c>
      <c r="M364" s="1515" t="s">
        <v>3899</v>
      </c>
      <c r="N364" s="1514" t="s">
        <v>4509</v>
      </c>
      <c r="O364" s="1513" t="s">
        <v>6229</v>
      </c>
      <c r="P364" s="1517" t="s">
        <v>6511</v>
      </c>
      <c r="Q364" s="6094" t="s">
        <v>4332</v>
      </c>
      <c r="R364" s="1515" t="s">
        <v>1046</v>
      </c>
      <c r="S364" s="1518"/>
      <c r="T364" s="1519">
        <v>464</v>
      </c>
      <c r="U364" s="1504">
        <v>0</v>
      </c>
      <c r="V364" s="1520">
        <f t="shared" si="134"/>
        <v>464</v>
      </c>
      <c r="W364" s="1519">
        <v>580</v>
      </c>
      <c r="X364" s="1504">
        <v>0</v>
      </c>
      <c r="Y364" s="1520">
        <f t="shared" si="135"/>
        <v>580</v>
      </c>
      <c r="Z364" s="1519">
        <v>166</v>
      </c>
      <c r="AA364" s="1504">
        <v>0</v>
      </c>
      <c r="AB364" s="1520">
        <f t="shared" si="136"/>
        <v>166</v>
      </c>
      <c r="AC364" s="820"/>
      <c r="AD364" s="821"/>
      <c r="AE364" s="822"/>
      <c r="AF364" s="820"/>
      <c r="AG364" s="821"/>
      <c r="AH364" s="822"/>
      <c r="AI364" s="1503">
        <f t="shared" si="137"/>
        <v>1210</v>
      </c>
      <c r="AJ364" s="1504">
        <f t="shared" si="138"/>
        <v>0</v>
      </c>
      <c r="AK364" s="3919">
        <v>0</v>
      </c>
      <c r="AL364" s="1505">
        <f t="shared" si="139"/>
        <v>1210</v>
      </c>
      <c r="AM364" s="1508" t="s">
        <v>1061</v>
      </c>
      <c r="AN364" s="3401">
        <v>43643</v>
      </c>
      <c r="AO364" s="3402" t="s">
        <v>6854</v>
      </c>
      <c r="AP364" s="3251" t="s">
        <v>6634</v>
      </c>
      <c r="AQ364" s="3248">
        <v>114.1</v>
      </c>
      <c r="AR364" s="1506">
        <f t="shared" si="130"/>
        <v>464</v>
      </c>
      <c r="AS364" s="1507">
        <f t="shared" si="131"/>
        <v>581</v>
      </c>
      <c r="AT364" s="1507">
        <f t="shared" si="133"/>
        <v>166</v>
      </c>
      <c r="AU364" s="849"/>
      <c r="AV364" s="849"/>
      <c r="AW364" s="3247">
        <f t="shared" si="118"/>
        <v>1211</v>
      </c>
      <c r="AX364" s="3146"/>
      <c r="BA364" s="267"/>
      <c r="BB364" s="267"/>
      <c r="BC364" s="4117">
        <f t="shared" si="129"/>
        <v>0</v>
      </c>
      <c r="BD364" s="4117">
        <f t="shared" si="119"/>
        <v>0</v>
      </c>
    </row>
    <row r="365" spans="1:61" ht="76.5">
      <c r="A365" s="5978" t="s">
        <v>11142</v>
      </c>
      <c r="B365" s="1538" t="s">
        <v>8435</v>
      </c>
      <c r="C365" s="1509">
        <v>0</v>
      </c>
      <c r="D365" s="1510">
        <v>42949</v>
      </c>
      <c r="E365" s="3053" t="s">
        <v>6385</v>
      </c>
      <c r="F365" s="3249" t="s">
        <v>6558</v>
      </c>
      <c r="G365" s="3250">
        <v>114</v>
      </c>
      <c r="H365" s="1513" t="s">
        <v>4785</v>
      </c>
      <c r="I365" s="1514" t="s">
        <v>4809</v>
      </c>
      <c r="J365" s="1515" t="s">
        <v>4306</v>
      </c>
      <c r="K365" s="1516">
        <v>43679</v>
      </c>
      <c r="L365" s="1514" t="s">
        <v>4787</v>
      </c>
      <c r="M365" s="1515" t="s">
        <v>4788</v>
      </c>
      <c r="N365" s="1514" t="s">
        <v>4789</v>
      </c>
      <c r="O365" s="1513" t="s">
        <v>6239</v>
      </c>
      <c r="P365" s="1517" t="s">
        <v>6564</v>
      </c>
      <c r="Q365" s="6094" t="s">
        <v>4332</v>
      </c>
      <c r="R365" s="1515" t="s">
        <v>1046</v>
      </c>
      <c r="S365" s="1518"/>
      <c r="T365" s="1519">
        <v>467</v>
      </c>
      <c r="U365" s="1504">
        <v>0</v>
      </c>
      <c r="V365" s="1520">
        <f t="shared" si="134"/>
        <v>467</v>
      </c>
      <c r="W365" s="1519">
        <v>584</v>
      </c>
      <c r="X365" s="1504">
        <v>0</v>
      </c>
      <c r="Y365" s="1520">
        <f t="shared" si="135"/>
        <v>584</v>
      </c>
      <c r="Z365" s="1519">
        <v>167</v>
      </c>
      <c r="AA365" s="1504">
        <v>0</v>
      </c>
      <c r="AB365" s="1520">
        <f t="shared" si="136"/>
        <v>167</v>
      </c>
      <c r="AC365" s="820"/>
      <c r="AD365" s="821"/>
      <c r="AE365" s="822"/>
      <c r="AF365" s="820"/>
      <c r="AG365" s="821"/>
      <c r="AH365" s="822"/>
      <c r="AI365" s="1503">
        <f t="shared" si="137"/>
        <v>1218</v>
      </c>
      <c r="AJ365" s="1504">
        <f t="shared" si="138"/>
        <v>0</v>
      </c>
      <c r="AK365" s="3919">
        <v>0</v>
      </c>
      <c r="AL365" s="1505">
        <f t="shared" si="139"/>
        <v>1218</v>
      </c>
      <c r="AM365" s="3586" t="s">
        <v>6855</v>
      </c>
      <c r="AN365" s="3401" t="s">
        <v>6875</v>
      </c>
      <c r="AO365" s="3402" t="s">
        <v>6856</v>
      </c>
      <c r="AP365" s="3251" t="s">
        <v>6634</v>
      </c>
      <c r="AQ365" s="3248">
        <v>114.1</v>
      </c>
      <c r="AR365" s="1506"/>
      <c r="AS365" s="1507">
        <v>433</v>
      </c>
      <c r="AT365" s="1507">
        <f t="shared" si="133"/>
        <v>167</v>
      </c>
      <c r="AU365" s="849"/>
      <c r="AV365" s="849"/>
      <c r="AW365" s="3247">
        <f t="shared" si="118"/>
        <v>600</v>
      </c>
      <c r="AX365" s="3146"/>
      <c r="BA365" s="267"/>
      <c r="BB365" s="267"/>
      <c r="BC365" s="4117">
        <f t="shared" si="129"/>
        <v>0</v>
      </c>
      <c r="BD365" s="4117">
        <f t="shared" si="119"/>
        <v>0</v>
      </c>
    </row>
    <row r="366" spans="1:61" s="307" customFormat="1" ht="77.25" thickBot="1">
      <c r="A366" s="6019" t="s">
        <v>11140</v>
      </c>
      <c r="B366" s="3723" t="s">
        <v>6568</v>
      </c>
      <c r="C366" s="4281">
        <v>0</v>
      </c>
      <c r="D366" s="4283">
        <v>42905</v>
      </c>
      <c r="E366" s="4283" t="s">
        <v>6385</v>
      </c>
      <c r="F366" s="4481" t="s">
        <v>6544</v>
      </c>
      <c r="G366" s="4482">
        <v>114</v>
      </c>
      <c r="H366" s="4467" t="s">
        <v>4685</v>
      </c>
      <c r="I366" s="3728" t="s">
        <v>4686</v>
      </c>
      <c r="J366" s="4287" t="s">
        <v>4306</v>
      </c>
      <c r="K366" s="4468">
        <v>43635</v>
      </c>
      <c r="L366" s="3728" t="s">
        <v>4687</v>
      </c>
      <c r="M366" s="4287" t="s">
        <v>4688</v>
      </c>
      <c r="N366" s="3728" t="s">
        <v>4689</v>
      </c>
      <c r="O366" s="4467" t="s">
        <v>6234</v>
      </c>
      <c r="P366" s="3731" t="s">
        <v>6566</v>
      </c>
      <c r="Q366" s="6102" t="s">
        <v>4332</v>
      </c>
      <c r="R366" s="4287" t="s">
        <v>1046</v>
      </c>
      <c r="S366" s="4469"/>
      <c r="T366" s="3733">
        <v>465</v>
      </c>
      <c r="U366" s="4292">
        <v>0</v>
      </c>
      <c r="V366" s="4470">
        <f t="shared" si="134"/>
        <v>465</v>
      </c>
      <c r="W366" s="3733">
        <v>582</v>
      </c>
      <c r="X366" s="4292">
        <v>0</v>
      </c>
      <c r="Y366" s="4470">
        <f t="shared" si="135"/>
        <v>582</v>
      </c>
      <c r="Z366" s="3733">
        <v>166</v>
      </c>
      <c r="AA366" s="4292">
        <v>0</v>
      </c>
      <c r="AB366" s="4470">
        <f t="shared" si="136"/>
        <v>166</v>
      </c>
      <c r="AC366" s="3736"/>
      <c r="AD366" s="4451"/>
      <c r="AE366" s="4452"/>
      <c r="AF366" s="3736"/>
      <c r="AG366" s="4451"/>
      <c r="AH366" s="4452"/>
      <c r="AI366" s="3739">
        <f t="shared" si="137"/>
        <v>1213</v>
      </c>
      <c r="AJ366" s="4292">
        <f t="shared" si="138"/>
        <v>0</v>
      </c>
      <c r="AK366" s="4477">
        <v>0</v>
      </c>
      <c r="AL366" s="4471">
        <f t="shared" si="139"/>
        <v>1213</v>
      </c>
      <c r="AM366" s="3741" t="s">
        <v>1061</v>
      </c>
      <c r="AN366" s="4296">
        <v>43644</v>
      </c>
      <c r="AO366" s="4297" t="s">
        <v>6862</v>
      </c>
      <c r="AP366" s="4483" t="s">
        <v>6634</v>
      </c>
      <c r="AQ366" s="4484">
        <v>114.1</v>
      </c>
      <c r="AR366" s="3744">
        <f>ROUND($AQ366/$G366*V366,0)</f>
        <v>465</v>
      </c>
      <c r="AS366" s="4300">
        <f>ROUND($AQ366/$G366*Y366,0)</f>
        <v>583</v>
      </c>
      <c r="AT366" s="4300">
        <f t="shared" si="133"/>
        <v>166</v>
      </c>
      <c r="AU366" s="4453"/>
      <c r="AV366" s="4453"/>
      <c r="AW366" s="4473">
        <f t="shared" si="118"/>
        <v>1214</v>
      </c>
      <c r="AX366" s="3747"/>
      <c r="AY366" s="4029" t="s">
        <v>6762</v>
      </c>
      <c r="AZ366" s="2118">
        <f>SUM(AW347:AW366)</f>
        <v>81018</v>
      </c>
      <c r="BA366" s="4028">
        <f>AZ366</f>
        <v>81018</v>
      </c>
      <c r="BC366" s="4118">
        <f t="shared" si="129"/>
        <v>0</v>
      </c>
      <c r="BD366" s="4118">
        <f t="shared" si="119"/>
        <v>0</v>
      </c>
      <c r="BF366" s="4523">
        <f>SUM(BA248:BA366)</f>
        <v>1641709.4</v>
      </c>
      <c r="BG366" s="4673">
        <f>SUM(BC248:BC366)</f>
        <v>54002</v>
      </c>
      <c r="BH366" s="4518">
        <f>SUM(BD248:BD366)</f>
        <v>167069</v>
      </c>
      <c r="BI366" s="4527">
        <f>SUM(BE248:BE366)</f>
        <v>-24752</v>
      </c>
    </row>
    <row r="367" spans="1:61" ht="127.5">
      <c r="A367" s="5967" t="s">
        <v>11140</v>
      </c>
      <c r="B367" s="827" t="s">
        <v>6510</v>
      </c>
      <c r="C367" s="828">
        <v>1</v>
      </c>
      <c r="D367" s="829">
        <v>42861</v>
      </c>
      <c r="E367" s="829" t="s">
        <v>6385</v>
      </c>
      <c r="F367" s="1865" t="s">
        <v>6032</v>
      </c>
      <c r="G367" s="2671">
        <v>113.4</v>
      </c>
      <c r="H367" s="832" t="s">
        <v>4557</v>
      </c>
      <c r="I367" s="833" t="s">
        <v>1433</v>
      </c>
      <c r="J367" s="834" t="s">
        <v>1434</v>
      </c>
      <c r="K367" s="835">
        <v>44322</v>
      </c>
      <c r="L367" s="833" t="s">
        <v>6131</v>
      </c>
      <c r="M367" s="834" t="s">
        <v>4558</v>
      </c>
      <c r="N367" s="833" t="s">
        <v>4559</v>
      </c>
      <c r="O367" s="832" t="s">
        <v>6333</v>
      </c>
      <c r="P367" s="836" t="s">
        <v>6133</v>
      </c>
      <c r="Q367" s="834" t="s">
        <v>4561</v>
      </c>
      <c r="R367" s="834" t="s">
        <v>6126</v>
      </c>
      <c r="S367" s="2500"/>
      <c r="T367" s="838">
        <v>1077</v>
      </c>
      <c r="U367" s="839">
        <v>0</v>
      </c>
      <c r="V367" s="840">
        <f t="shared" si="134"/>
        <v>1077</v>
      </c>
      <c r="W367" s="838">
        <v>639</v>
      </c>
      <c r="X367" s="839">
        <v>0</v>
      </c>
      <c r="Y367" s="840">
        <f t="shared" si="135"/>
        <v>639</v>
      </c>
      <c r="Z367" s="838">
        <v>66</v>
      </c>
      <c r="AA367" s="839">
        <v>0</v>
      </c>
      <c r="AB367" s="840">
        <f t="shared" si="136"/>
        <v>66</v>
      </c>
      <c r="AC367" s="838"/>
      <c r="AD367" s="839"/>
      <c r="AE367" s="840"/>
      <c r="AF367" s="838"/>
      <c r="AG367" s="839"/>
      <c r="AH367" s="840"/>
      <c r="AI367" s="841">
        <f t="shared" si="137"/>
        <v>1782</v>
      </c>
      <c r="AJ367" s="839">
        <f t="shared" si="138"/>
        <v>0</v>
      </c>
      <c r="AK367" s="3906">
        <v>0</v>
      </c>
      <c r="AL367" s="869">
        <f t="shared" si="139"/>
        <v>1782</v>
      </c>
      <c r="AM367" s="3369" t="s">
        <v>1061</v>
      </c>
      <c r="AN367" s="3360">
        <v>43647</v>
      </c>
      <c r="AO367" s="3361" t="s">
        <v>6865</v>
      </c>
      <c r="AP367" s="3696" t="s">
        <v>6634</v>
      </c>
      <c r="AQ367" s="3697">
        <v>114.1</v>
      </c>
      <c r="AR367" s="846">
        <v>0</v>
      </c>
      <c r="AS367" s="847">
        <v>0</v>
      </c>
      <c r="AT367" s="847">
        <v>0</v>
      </c>
      <c r="AU367" s="847"/>
      <c r="AV367" s="847"/>
      <c r="AW367" s="2872">
        <f>ROUND(AL367*AQ367/G367,0)</f>
        <v>1793</v>
      </c>
      <c r="AX367" s="2891"/>
      <c r="AY367" s="3635"/>
      <c r="AZ367" s="1726"/>
      <c r="BA367" s="267"/>
      <c r="BB367" s="267"/>
      <c r="BC367" s="4117">
        <f t="shared" si="129"/>
        <v>0</v>
      </c>
      <c r="BD367" s="4117">
        <f t="shared" si="119"/>
        <v>0</v>
      </c>
    </row>
    <row r="368" spans="1:61" ht="76.5">
      <c r="A368" s="6033" t="s">
        <v>11140</v>
      </c>
      <c r="B368" s="3699" t="s">
        <v>5927</v>
      </c>
      <c r="C368" s="3700">
        <v>0</v>
      </c>
      <c r="D368" s="3701">
        <v>42922</v>
      </c>
      <c r="E368" s="3701" t="s">
        <v>6385</v>
      </c>
      <c r="F368" s="3702" t="s">
        <v>6738</v>
      </c>
      <c r="G368" s="3703">
        <v>111</v>
      </c>
      <c r="H368" s="3704" t="s">
        <v>4722</v>
      </c>
      <c r="I368" s="3705" t="s">
        <v>4723</v>
      </c>
      <c r="J368" s="3706" t="s">
        <v>4306</v>
      </c>
      <c r="K368" s="3707">
        <v>43652</v>
      </c>
      <c r="L368" s="3705" t="s">
        <v>4724</v>
      </c>
      <c r="M368" s="3706" t="s">
        <v>4725</v>
      </c>
      <c r="N368" s="3705" t="s">
        <v>4726</v>
      </c>
      <c r="O368" s="3704" t="s">
        <v>4977</v>
      </c>
      <c r="P368" s="3708"/>
      <c r="Q368" s="6103" t="s">
        <v>4332</v>
      </c>
      <c r="R368" s="3706" t="s">
        <v>1046</v>
      </c>
      <c r="S368" s="3709" t="s">
        <v>5031</v>
      </c>
      <c r="T368" s="3710">
        <v>385</v>
      </c>
      <c r="U368" s="3711">
        <v>0</v>
      </c>
      <c r="V368" s="3712">
        <f t="shared" si="134"/>
        <v>385</v>
      </c>
      <c r="W368" s="3710">
        <v>480</v>
      </c>
      <c r="X368" s="3711">
        <v>0</v>
      </c>
      <c r="Y368" s="3712">
        <f t="shared" si="135"/>
        <v>480</v>
      </c>
      <c r="Z368" s="3710">
        <v>137</v>
      </c>
      <c r="AA368" s="3711">
        <v>0</v>
      </c>
      <c r="AB368" s="3712">
        <f t="shared" si="136"/>
        <v>137</v>
      </c>
      <c r="AC368" s="3710"/>
      <c r="AD368" s="3711"/>
      <c r="AE368" s="3712"/>
      <c r="AF368" s="3710"/>
      <c r="AG368" s="3711"/>
      <c r="AH368" s="3712"/>
      <c r="AI368" s="3713">
        <f t="shared" si="137"/>
        <v>1002</v>
      </c>
      <c r="AJ368" s="3711">
        <f t="shared" si="138"/>
        <v>0</v>
      </c>
      <c r="AK368" s="3917">
        <v>0</v>
      </c>
      <c r="AL368" s="3714">
        <f t="shared" si="139"/>
        <v>1002</v>
      </c>
      <c r="AM368" s="3715" t="s">
        <v>1061</v>
      </c>
      <c r="AN368" s="3716">
        <v>43647</v>
      </c>
      <c r="AO368" s="3717" t="s">
        <v>6867</v>
      </c>
      <c r="AP368" s="3718" t="s">
        <v>6634</v>
      </c>
      <c r="AQ368" s="3719">
        <v>114.1</v>
      </c>
      <c r="AR368" s="3720">
        <v>0</v>
      </c>
      <c r="AS368" s="3721">
        <v>0</v>
      </c>
      <c r="AT368" s="3721">
        <v>0</v>
      </c>
      <c r="AU368" s="3721"/>
      <c r="AV368" s="3721"/>
      <c r="AW368" s="3156">
        <f>ROUND(AL368*AQ368/G368,0)</f>
        <v>1030</v>
      </c>
      <c r="AX368" s="3722"/>
      <c r="BA368" s="267"/>
      <c r="BB368" s="267"/>
      <c r="BC368" s="4117">
        <f t="shared" si="129"/>
        <v>0</v>
      </c>
      <c r="BD368" s="4117">
        <f t="shared" si="119"/>
        <v>0</v>
      </c>
    </row>
    <row r="369" spans="1:57" ht="76.5">
      <c r="A369" s="5967" t="s">
        <v>11142</v>
      </c>
      <c r="B369" s="827" t="s">
        <v>8435</v>
      </c>
      <c r="C369" s="828">
        <v>0</v>
      </c>
      <c r="D369" s="829">
        <v>42949</v>
      </c>
      <c r="E369" s="829" t="s">
        <v>6385</v>
      </c>
      <c r="F369" s="3694" t="s">
        <v>6558</v>
      </c>
      <c r="G369" s="3695">
        <v>114</v>
      </c>
      <c r="H369" s="832" t="s">
        <v>4785</v>
      </c>
      <c r="I369" s="833" t="s">
        <v>4809</v>
      </c>
      <c r="J369" s="834" t="s">
        <v>4306</v>
      </c>
      <c r="K369" s="835">
        <v>43679</v>
      </c>
      <c r="L369" s="833" t="s">
        <v>4787</v>
      </c>
      <c r="M369" s="834" t="s">
        <v>4788</v>
      </c>
      <c r="N369" s="833" t="s">
        <v>4789</v>
      </c>
      <c r="O369" s="832" t="s">
        <v>6239</v>
      </c>
      <c r="P369" s="836" t="s">
        <v>6564</v>
      </c>
      <c r="Q369" s="6096" t="s">
        <v>4332</v>
      </c>
      <c r="R369" s="834" t="s">
        <v>1046</v>
      </c>
      <c r="S369" s="837"/>
      <c r="T369" s="838">
        <v>467</v>
      </c>
      <c r="U369" s="839">
        <v>0</v>
      </c>
      <c r="V369" s="840">
        <f t="shared" si="134"/>
        <v>467</v>
      </c>
      <c r="W369" s="838">
        <v>584</v>
      </c>
      <c r="X369" s="839">
        <v>0</v>
      </c>
      <c r="Y369" s="840">
        <f t="shared" si="135"/>
        <v>584</v>
      </c>
      <c r="Z369" s="838">
        <v>167</v>
      </c>
      <c r="AA369" s="839">
        <v>0</v>
      </c>
      <c r="AB369" s="840">
        <f t="shared" si="136"/>
        <v>167</v>
      </c>
      <c r="AC369" s="823"/>
      <c r="AD369" s="824"/>
      <c r="AE369" s="825"/>
      <c r="AF369" s="823"/>
      <c r="AG369" s="824"/>
      <c r="AH369" s="825"/>
      <c r="AI369" s="841">
        <f t="shared" si="137"/>
        <v>1218</v>
      </c>
      <c r="AJ369" s="839">
        <f t="shared" si="138"/>
        <v>0</v>
      </c>
      <c r="AK369" s="3906">
        <v>0</v>
      </c>
      <c r="AL369" s="869">
        <f t="shared" si="139"/>
        <v>1218</v>
      </c>
      <c r="AM369" s="3605" t="s">
        <v>7430</v>
      </c>
      <c r="AN369" s="3360">
        <v>43654</v>
      </c>
      <c r="AO369" s="3361" t="s">
        <v>6873</v>
      </c>
      <c r="AP369" s="3696" t="s">
        <v>6634</v>
      </c>
      <c r="AQ369" s="3697">
        <v>114.1</v>
      </c>
      <c r="AR369" s="846">
        <v>0</v>
      </c>
      <c r="AS369" s="847">
        <v>0</v>
      </c>
      <c r="AT369" s="847">
        <f>ROUND($AQ369/$G369*AB369,0)-167</f>
        <v>0</v>
      </c>
      <c r="AU369" s="848"/>
      <c r="AV369" s="848"/>
      <c r="AW369" s="2872">
        <v>600</v>
      </c>
      <c r="AX369" s="3698"/>
      <c r="BA369" s="267"/>
      <c r="BB369" s="267"/>
      <c r="BC369" s="4117">
        <f t="shared" si="129"/>
        <v>0</v>
      </c>
      <c r="BD369" s="4117">
        <f t="shared" si="119"/>
        <v>0</v>
      </c>
    </row>
    <row r="370" spans="1:57" ht="25.5">
      <c r="A370" s="2418" t="s">
        <v>11135</v>
      </c>
      <c r="B370" s="338" t="s">
        <v>5726</v>
      </c>
      <c r="C370" s="321">
        <v>0</v>
      </c>
      <c r="D370" s="323">
        <v>43643</v>
      </c>
      <c r="E370" s="3051" t="s">
        <v>6386</v>
      </c>
      <c r="F370" s="324" t="s">
        <v>5757</v>
      </c>
      <c r="G370" s="2621">
        <v>1.0247219999999999</v>
      </c>
      <c r="H370" s="332" t="s">
        <v>6857</v>
      </c>
      <c r="I370" s="339" t="s">
        <v>1433</v>
      </c>
      <c r="J370" s="322" t="s">
        <v>1434</v>
      </c>
      <c r="K370" s="340">
        <v>45835</v>
      </c>
      <c r="L370" s="339" t="s">
        <v>1573</v>
      </c>
      <c r="M370" s="322" t="s">
        <v>4746</v>
      </c>
      <c r="N370" s="339" t="s">
        <v>6858</v>
      </c>
      <c r="O370" s="332" t="s">
        <v>6859</v>
      </c>
      <c r="P370" s="345"/>
      <c r="Q370" s="322" t="s">
        <v>6861</v>
      </c>
      <c r="R370" s="322" t="s">
        <v>6860</v>
      </c>
      <c r="S370" s="346"/>
      <c r="T370" s="347">
        <v>2902</v>
      </c>
      <c r="U370" s="326">
        <v>0</v>
      </c>
      <c r="V370" s="348">
        <f t="shared" si="134"/>
        <v>2902</v>
      </c>
      <c r="W370" s="347">
        <v>512</v>
      </c>
      <c r="X370" s="326">
        <v>0</v>
      </c>
      <c r="Y370" s="348">
        <f t="shared" si="135"/>
        <v>512</v>
      </c>
      <c r="Z370" s="347">
        <v>0</v>
      </c>
      <c r="AA370" s="326">
        <v>0</v>
      </c>
      <c r="AB370" s="348">
        <f t="shared" si="136"/>
        <v>0</v>
      </c>
      <c r="AC370" s="820"/>
      <c r="AD370" s="821"/>
      <c r="AE370" s="822"/>
      <c r="AF370" s="820"/>
      <c r="AG370" s="821"/>
      <c r="AH370" s="822"/>
      <c r="AI370" s="482">
        <f t="shared" si="137"/>
        <v>3414</v>
      </c>
      <c r="AJ370" s="326">
        <f t="shared" si="138"/>
        <v>0</v>
      </c>
      <c r="AK370" s="3917">
        <v>0</v>
      </c>
      <c r="AL370" s="349">
        <f t="shared" si="139"/>
        <v>3414</v>
      </c>
      <c r="AM370" s="2002" t="s">
        <v>1061</v>
      </c>
      <c r="AN370" s="3357">
        <v>43654</v>
      </c>
      <c r="AO370" s="695" t="s">
        <v>6874</v>
      </c>
      <c r="AP370" s="2722" t="s">
        <v>5807</v>
      </c>
      <c r="AQ370" s="2723">
        <v>1.0247219999999999</v>
      </c>
      <c r="AR370" s="333">
        <v>0</v>
      </c>
      <c r="AS370" s="330">
        <v>0</v>
      </c>
      <c r="AT370" s="330">
        <f>ROUND($AQ370/$G370*AB370,0)</f>
        <v>0</v>
      </c>
      <c r="AU370" s="849"/>
      <c r="AV370" s="849"/>
      <c r="AW370" s="2872">
        <f>ROUND(AL370*AQ370/G370,0)</f>
        <v>3414</v>
      </c>
      <c r="AX370" s="3140"/>
      <c r="BA370" s="267"/>
      <c r="BB370" s="267"/>
      <c r="BC370" s="4117">
        <f t="shared" si="129"/>
        <v>0</v>
      </c>
      <c r="BD370" s="4117">
        <f t="shared" si="119"/>
        <v>0</v>
      </c>
    </row>
    <row r="371" spans="1:57" ht="76.5">
      <c r="A371" s="2418" t="s">
        <v>11135</v>
      </c>
      <c r="B371" s="338" t="s">
        <v>6881</v>
      </c>
      <c r="C371" s="321">
        <v>0</v>
      </c>
      <c r="D371" s="323">
        <v>43172</v>
      </c>
      <c r="E371" s="3051" t="s">
        <v>6385</v>
      </c>
      <c r="F371" s="324" t="s">
        <v>5915</v>
      </c>
      <c r="G371" s="2621">
        <v>1.0119899999999999</v>
      </c>
      <c r="H371" s="332" t="s">
        <v>5362</v>
      </c>
      <c r="I371" s="339" t="s">
        <v>1433</v>
      </c>
      <c r="J371" s="322" t="s">
        <v>1434</v>
      </c>
      <c r="K371" s="340">
        <v>45359</v>
      </c>
      <c r="L371" s="339" t="s">
        <v>3991</v>
      </c>
      <c r="M371" s="322" t="s">
        <v>5363</v>
      </c>
      <c r="N371" s="339" t="s">
        <v>5364</v>
      </c>
      <c r="O371" s="332" t="s">
        <v>6310</v>
      </c>
      <c r="P371" s="345"/>
      <c r="Q371" s="322" t="s">
        <v>5365</v>
      </c>
      <c r="R371" s="322" t="s">
        <v>5366</v>
      </c>
      <c r="S371" s="346" t="s">
        <v>5367</v>
      </c>
      <c r="T371" s="347">
        <v>10646</v>
      </c>
      <c r="U371" s="326">
        <v>0</v>
      </c>
      <c r="V371" s="348">
        <f t="shared" si="134"/>
        <v>10646</v>
      </c>
      <c r="W371" s="347">
        <v>2069</v>
      </c>
      <c r="X371" s="326">
        <v>0</v>
      </c>
      <c r="Y371" s="348">
        <f t="shared" si="135"/>
        <v>2069</v>
      </c>
      <c r="Z371" s="347">
        <v>14366</v>
      </c>
      <c r="AA371" s="326">
        <v>0</v>
      </c>
      <c r="AB371" s="348">
        <f t="shared" si="136"/>
        <v>14366</v>
      </c>
      <c r="AC371" s="347"/>
      <c r="AD371" s="326"/>
      <c r="AE371" s="348"/>
      <c r="AF371" s="347"/>
      <c r="AG371" s="326"/>
      <c r="AH371" s="348"/>
      <c r="AI371" s="482">
        <f t="shared" si="137"/>
        <v>27081</v>
      </c>
      <c r="AJ371" s="326">
        <f t="shared" si="138"/>
        <v>0</v>
      </c>
      <c r="AK371" s="3917">
        <v>0</v>
      </c>
      <c r="AL371" s="349">
        <f t="shared" si="139"/>
        <v>27081</v>
      </c>
      <c r="AM371" s="2002" t="s">
        <v>6882</v>
      </c>
      <c r="AN371" s="3357">
        <v>43658</v>
      </c>
      <c r="AO371" s="695" t="s">
        <v>6880</v>
      </c>
      <c r="AP371" s="2722" t="s">
        <v>5807</v>
      </c>
      <c r="AQ371" s="2723">
        <v>1.0247219999999999</v>
      </c>
      <c r="AR371" s="333">
        <v>0</v>
      </c>
      <c r="AS371" s="330">
        <v>0</v>
      </c>
      <c r="AT371" s="330">
        <v>0</v>
      </c>
      <c r="AU371" s="330">
        <v>0</v>
      </c>
      <c r="AV371" s="330">
        <v>0</v>
      </c>
      <c r="AW371" s="3156">
        <f>ROUND(AL371*AQ371/G371,0)-15000</f>
        <v>12422</v>
      </c>
      <c r="AX371" s="3140"/>
      <c r="BA371" s="267"/>
      <c r="BB371" s="267"/>
      <c r="BC371" s="4117">
        <f t="shared" si="129"/>
        <v>0</v>
      </c>
      <c r="BD371" s="4117">
        <f t="shared" si="119"/>
        <v>0</v>
      </c>
    </row>
    <row r="372" spans="1:57" ht="38.25">
      <c r="A372" s="2418" t="s">
        <v>11135</v>
      </c>
      <c r="B372" s="338" t="s">
        <v>5724</v>
      </c>
      <c r="C372" s="321">
        <v>0</v>
      </c>
      <c r="D372" s="323">
        <v>43626</v>
      </c>
      <c r="E372" s="3051" t="s">
        <v>6386</v>
      </c>
      <c r="F372" s="324" t="s">
        <v>5757</v>
      </c>
      <c r="G372" s="2621">
        <v>1.0247219999999999</v>
      </c>
      <c r="H372" s="332" t="s">
        <v>6787</v>
      </c>
      <c r="I372" s="339" t="s">
        <v>1433</v>
      </c>
      <c r="J372" s="322" t="s">
        <v>1434</v>
      </c>
      <c r="K372" s="340">
        <v>45814</v>
      </c>
      <c r="L372" s="339" t="s">
        <v>6788</v>
      </c>
      <c r="M372" s="322" t="s">
        <v>6789</v>
      </c>
      <c r="N372" s="339" t="s">
        <v>6790</v>
      </c>
      <c r="O372" s="322" t="s">
        <v>6789</v>
      </c>
      <c r="P372" s="345"/>
      <c r="Q372" s="322" t="s">
        <v>6791</v>
      </c>
      <c r="R372" s="322" t="s">
        <v>6785</v>
      </c>
      <c r="S372" s="1577" t="s">
        <v>6663</v>
      </c>
      <c r="T372" s="347">
        <v>0</v>
      </c>
      <c r="U372" s="326">
        <v>0</v>
      </c>
      <c r="V372" s="348">
        <f t="shared" si="134"/>
        <v>0</v>
      </c>
      <c r="W372" s="347">
        <v>0</v>
      </c>
      <c r="X372" s="326">
        <v>0</v>
      </c>
      <c r="Y372" s="348">
        <f t="shared" si="135"/>
        <v>0</v>
      </c>
      <c r="Z372" s="347">
        <v>1660</v>
      </c>
      <c r="AA372" s="326">
        <v>830</v>
      </c>
      <c r="AB372" s="348">
        <f t="shared" si="136"/>
        <v>830</v>
      </c>
      <c r="AC372" s="820"/>
      <c r="AD372" s="821"/>
      <c r="AE372" s="822"/>
      <c r="AF372" s="820"/>
      <c r="AG372" s="821"/>
      <c r="AH372" s="822"/>
      <c r="AI372" s="482">
        <f t="shared" si="137"/>
        <v>1660</v>
      </c>
      <c r="AJ372" s="326">
        <f t="shared" si="138"/>
        <v>830</v>
      </c>
      <c r="AK372" s="3917">
        <v>0</v>
      </c>
      <c r="AL372" s="349">
        <f t="shared" si="139"/>
        <v>830</v>
      </c>
      <c r="AM372" s="2002" t="s">
        <v>1061</v>
      </c>
      <c r="AN372" s="3357">
        <v>43662</v>
      </c>
      <c r="AO372" s="695" t="s">
        <v>6892</v>
      </c>
      <c r="AP372" s="2722" t="s">
        <v>5807</v>
      </c>
      <c r="AQ372" s="2723">
        <v>1.0247219999999999</v>
      </c>
      <c r="AR372" s="333">
        <v>0</v>
      </c>
      <c r="AS372" s="330">
        <v>0</v>
      </c>
      <c r="AT372" s="330">
        <v>0</v>
      </c>
      <c r="AU372" s="849">
        <v>0</v>
      </c>
      <c r="AV372" s="849">
        <v>0</v>
      </c>
      <c r="AW372" s="3156">
        <f t="shared" ref="AW372:AW388" si="140">ROUND(AL372*AQ372/G372,0)</f>
        <v>830</v>
      </c>
      <c r="AX372" s="3140"/>
      <c r="BA372" s="267"/>
      <c r="BB372" s="267"/>
      <c r="BC372" s="4117">
        <f t="shared" si="129"/>
        <v>830</v>
      </c>
      <c r="BD372" s="4117">
        <f t="shared" si="119"/>
        <v>0</v>
      </c>
    </row>
    <row r="373" spans="1:57" ht="76.5">
      <c r="A373" s="5966" t="s">
        <v>11135</v>
      </c>
      <c r="B373" s="827" t="s">
        <v>5727</v>
      </c>
      <c r="C373" s="828">
        <v>0</v>
      </c>
      <c r="D373" s="829">
        <v>43654</v>
      </c>
      <c r="E373" s="829" t="s">
        <v>6386</v>
      </c>
      <c r="F373" s="830" t="s">
        <v>5757</v>
      </c>
      <c r="G373" s="2620">
        <v>1.0247219999999999</v>
      </c>
      <c r="H373" s="832" t="s">
        <v>6868</v>
      </c>
      <c r="I373" s="833" t="s">
        <v>6869</v>
      </c>
      <c r="J373" s="834" t="s">
        <v>4306</v>
      </c>
      <c r="K373" s="835">
        <v>44385</v>
      </c>
      <c r="L373" s="833" t="s">
        <v>6870</v>
      </c>
      <c r="M373" s="834" t="s">
        <v>6871</v>
      </c>
      <c r="N373" s="833" t="s">
        <v>6872</v>
      </c>
      <c r="O373" s="834" t="s">
        <v>6871</v>
      </c>
      <c r="P373" s="836"/>
      <c r="Q373" s="6096" t="s">
        <v>5708</v>
      </c>
      <c r="R373" s="834" t="s">
        <v>5350</v>
      </c>
      <c r="S373" s="837"/>
      <c r="T373" s="838">
        <v>0</v>
      </c>
      <c r="U373" s="839">
        <v>0</v>
      </c>
      <c r="V373" s="840">
        <v>0</v>
      </c>
      <c r="W373" s="838">
        <v>0</v>
      </c>
      <c r="X373" s="839">
        <v>0</v>
      </c>
      <c r="Y373" s="840">
        <v>0</v>
      </c>
      <c r="Z373" s="838">
        <v>0</v>
      </c>
      <c r="AA373" s="839">
        <v>0</v>
      </c>
      <c r="AB373" s="840">
        <f t="shared" si="136"/>
        <v>0</v>
      </c>
      <c r="AC373" s="838"/>
      <c r="AD373" s="839"/>
      <c r="AE373" s="840"/>
      <c r="AF373" s="838"/>
      <c r="AG373" s="839"/>
      <c r="AH373" s="840"/>
      <c r="AI373" s="841">
        <v>5500</v>
      </c>
      <c r="AJ373" s="839">
        <f>U373+X373+AA373+AD373+AG373</f>
        <v>0</v>
      </c>
      <c r="AK373" s="3906">
        <v>0</v>
      </c>
      <c r="AL373" s="869">
        <f>AI373-AJ373</f>
        <v>5500</v>
      </c>
      <c r="AM373" s="3369" t="s">
        <v>2977</v>
      </c>
      <c r="AN373" s="3360">
        <v>43665</v>
      </c>
      <c r="AO373" s="3361" t="s">
        <v>6920</v>
      </c>
      <c r="AP373" s="2722" t="s">
        <v>5807</v>
      </c>
      <c r="AQ373" s="2723">
        <v>1.0247219999999999</v>
      </c>
      <c r="AR373" s="846">
        <v>0</v>
      </c>
      <c r="AS373" s="847">
        <v>0</v>
      </c>
      <c r="AT373" s="847">
        <v>0</v>
      </c>
      <c r="AU373" s="847">
        <v>0</v>
      </c>
      <c r="AV373" s="847">
        <v>0</v>
      </c>
      <c r="AW373" s="2872">
        <f t="shared" si="140"/>
        <v>5500</v>
      </c>
      <c r="AX373" s="3775" t="s">
        <v>6897</v>
      </c>
      <c r="BA373" s="267"/>
      <c r="BB373" s="267"/>
      <c r="BC373" s="4117">
        <f t="shared" si="129"/>
        <v>0</v>
      </c>
      <c r="BD373" s="4117">
        <f t="shared" si="119"/>
        <v>0</v>
      </c>
    </row>
    <row r="374" spans="1:57" ht="38.25">
      <c r="A374" s="2418" t="s">
        <v>11135</v>
      </c>
      <c r="B374" s="338" t="s">
        <v>3948</v>
      </c>
      <c r="C374" s="321">
        <v>0</v>
      </c>
      <c r="D374" s="323">
        <v>42874</v>
      </c>
      <c r="E374" s="3051" t="s">
        <v>6385</v>
      </c>
      <c r="F374" s="324" t="s">
        <v>4154</v>
      </c>
      <c r="G374" s="2621">
        <v>1.0111000000000001</v>
      </c>
      <c r="H374" s="332" t="s">
        <v>4585</v>
      </c>
      <c r="I374" s="339" t="s">
        <v>1436</v>
      </c>
      <c r="J374" s="322" t="s">
        <v>1437</v>
      </c>
      <c r="K374" s="340">
        <v>44334</v>
      </c>
      <c r="L374" s="339" t="s">
        <v>4586</v>
      </c>
      <c r="M374" s="322" t="s">
        <v>4587</v>
      </c>
      <c r="N374" s="339" t="s">
        <v>4588</v>
      </c>
      <c r="O374" s="332" t="s">
        <v>6332</v>
      </c>
      <c r="P374" s="345"/>
      <c r="Q374" s="322" t="s">
        <v>4234</v>
      </c>
      <c r="R374" s="322" t="s">
        <v>3892</v>
      </c>
      <c r="S374" s="346"/>
      <c r="T374" s="347">
        <v>6794</v>
      </c>
      <c r="U374" s="326">
        <v>0</v>
      </c>
      <c r="V374" s="348">
        <f t="shared" ref="V374:V380" si="141">T374-U374</f>
        <v>6794</v>
      </c>
      <c r="W374" s="347">
        <v>8493</v>
      </c>
      <c r="X374" s="326">
        <v>0</v>
      </c>
      <c r="Y374" s="348">
        <f t="shared" ref="Y374:Y380" si="142">W374-X374</f>
        <v>8493</v>
      </c>
      <c r="Z374" s="347">
        <v>1699</v>
      </c>
      <c r="AA374" s="326">
        <v>0</v>
      </c>
      <c r="AB374" s="348">
        <f t="shared" si="136"/>
        <v>1699</v>
      </c>
      <c r="AC374" s="347"/>
      <c r="AD374" s="326"/>
      <c r="AE374" s="348"/>
      <c r="AF374" s="347"/>
      <c r="AG374" s="326"/>
      <c r="AH374" s="348"/>
      <c r="AI374" s="482">
        <f>T374+W374+Z374+AC374+AF374</f>
        <v>16986</v>
      </c>
      <c r="AJ374" s="326">
        <f>U374+X374+AA374+AD374+AG374</f>
        <v>0</v>
      </c>
      <c r="AK374" s="3917">
        <v>0</v>
      </c>
      <c r="AL374" s="349">
        <f>V374+Y374+AB374+AE374+AH374</f>
        <v>16986</v>
      </c>
      <c r="AM374" s="2002" t="s">
        <v>1061</v>
      </c>
      <c r="AN374" s="3357">
        <v>43668</v>
      </c>
      <c r="AO374" s="695" t="s">
        <v>6921</v>
      </c>
      <c r="AP374" s="2722" t="s">
        <v>6894</v>
      </c>
      <c r="AQ374" s="2723">
        <v>1.047839</v>
      </c>
      <c r="AR374" s="333">
        <v>0</v>
      </c>
      <c r="AS374" s="330">
        <v>0</v>
      </c>
      <c r="AT374" s="330">
        <v>0</v>
      </c>
      <c r="AU374" s="330">
        <v>0</v>
      </c>
      <c r="AV374" s="330">
        <v>0</v>
      </c>
      <c r="AW374" s="3156">
        <f t="shared" si="140"/>
        <v>17603</v>
      </c>
      <c r="AX374" s="3140"/>
      <c r="BA374" s="267"/>
      <c r="BB374" s="267"/>
      <c r="BC374" s="4117">
        <f t="shared" si="129"/>
        <v>0</v>
      </c>
      <c r="BD374" s="4117">
        <f t="shared" si="119"/>
        <v>0</v>
      </c>
    </row>
    <row r="375" spans="1:57" ht="76.5">
      <c r="A375" s="2418" t="s">
        <v>11135</v>
      </c>
      <c r="B375" s="338" t="s">
        <v>5715</v>
      </c>
      <c r="C375" s="321">
        <v>0</v>
      </c>
      <c r="D375" s="323">
        <v>43543</v>
      </c>
      <c r="E375" s="3051" t="s">
        <v>6386</v>
      </c>
      <c r="F375" s="324" t="s">
        <v>5757</v>
      </c>
      <c r="G375" s="2621">
        <v>1.0247219999999999</v>
      </c>
      <c r="H375" s="332" t="s">
        <v>6523</v>
      </c>
      <c r="I375" s="339" t="s">
        <v>6526</v>
      </c>
      <c r="J375" s="322" t="s">
        <v>4306</v>
      </c>
      <c r="K375" s="340">
        <v>44274</v>
      </c>
      <c r="L375" s="339" t="s">
        <v>6529</v>
      </c>
      <c r="M375" s="322" t="s">
        <v>6530</v>
      </c>
      <c r="N375" s="339" t="s">
        <v>6533</v>
      </c>
      <c r="O375" s="332" t="s">
        <v>6534</v>
      </c>
      <c r="P375" s="345"/>
      <c r="Q375" s="6094" t="s">
        <v>5708</v>
      </c>
      <c r="R375" s="322" t="s">
        <v>5350</v>
      </c>
      <c r="S375" s="346"/>
      <c r="T375" s="347">
        <v>2444</v>
      </c>
      <c r="U375" s="326">
        <v>0</v>
      </c>
      <c r="V375" s="348">
        <f t="shared" si="141"/>
        <v>2444</v>
      </c>
      <c r="W375" s="347">
        <v>3056</v>
      </c>
      <c r="X375" s="326">
        <v>0</v>
      </c>
      <c r="Y375" s="348">
        <f t="shared" si="142"/>
        <v>3056</v>
      </c>
      <c r="Z375" s="347">
        <v>611</v>
      </c>
      <c r="AA375" s="326">
        <v>0</v>
      </c>
      <c r="AB375" s="348">
        <f t="shared" si="136"/>
        <v>611</v>
      </c>
      <c r="AC375" s="347"/>
      <c r="AD375" s="326"/>
      <c r="AE375" s="348"/>
      <c r="AF375" s="347"/>
      <c r="AG375" s="326"/>
      <c r="AH375" s="348"/>
      <c r="AI375" s="482">
        <f>T375+W375+Z375+AC375+AF375</f>
        <v>6111</v>
      </c>
      <c r="AJ375" s="326">
        <f>U375+X375+AA375+AD375+AG375</f>
        <v>0</v>
      </c>
      <c r="AK375" s="3917">
        <v>0</v>
      </c>
      <c r="AL375" s="349">
        <f>V375+Y375+AB375+AE375+AH375</f>
        <v>6111</v>
      </c>
      <c r="AM375" s="2002" t="s">
        <v>1061</v>
      </c>
      <c r="AN375" s="3357">
        <v>43669</v>
      </c>
      <c r="AO375" s="695" t="s">
        <v>6933</v>
      </c>
      <c r="AP375" s="2722" t="s">
        <v>6894</v>
      </c>
      <c r="AQ375" s="2723">
        <v>1.047839</v>
      </c>
      <c r="AR375" s="333">
        <v>0</v>
      </c>
      <c r="AS375" s="330">
        <v>0</v>
      </c>
      <c r="AT375" s="330">
        <v>0</v>
      </c>
      <c r="AU375" s="330">
        <v>0</v>
      </c>
      <c r="AV375" s="330">
        <v>0</v>
      </c>
      <c r="AW375" s="3156">
        <f t="shared" si="140"/>
        <v>6249</v>
      </c>
      <c r="AX375" s="3140"/>
      <c r="BA375" s="267"/>
      <c r="BB375" s="267"/>
      <c r="BC375" s="4117">
        <f t="shared" si="129"/>
        <v>0</v>
      </c>
      <c r="BD375" s="4117">
        <f t="shared" si="119"/>
        <v>0</v>
      </c>
    </row>
    <row r="376" spans="1:57" ht="63.75">
      <c r="A376" s="2418" t="s">
        <v>11135</v>
      </c>
      <c r="B376" s="338" t="s">
        <v>7069</v>
      </c>
      <c r="C376" s="321">
        <v>0</v>
      </c>
      <c r="D376" s="323">
        <v>43020</v>
      </c>
      <c r="E376" s="3051" t="s">
        <v>6385</v>
      </c>
      <c r="F376" s="324" t="s">
        <v>5915</v>
      </c>
      <c r="G376" s="2621">
        <v>1.0119899999999999</v>
      </c>
      <c r="H376" s="332" t="s">
        <v>4999</v>
      </c>
      <c r="I376" s="339" t="s">
        <v>1433</v>
      </c>
      <c r="J376" s="322" t="s">
        <v>1434</v>
      </c>
      <c r="K376" s="340">
        <v>45210</v>
      </c>
      <c r="L376" s="339" t="s">
        <v>3991</v>
      </c>
      <c r="M376" s="322" t="s">
        <v>4163</v>
      </c>
      <c r="N376" s="339" t="s">
        <v>5000</v>
      </c>
      <c r="O376" s="332" t="s">
        <v>6247</v>
      </c>
      <c r="P376" s="345"/>
      <c r="Q376" s="322" t="s">
        <v>5018</v>
      </c>
      <c r="R376" s="322" t="s">
        <v>5001</v>
      </c>
      <c r="S376" s="346" t="s">
        <v>5002</v>
      </c>
      <c r="T376" s="347">
        <v>3818</v>
      </c>
      <c r="U376" s="326">
        <v>0</v>
      </c>
      <c r="V376" s="348">
        <f t="shared" si="141"/>
        <v>3818</v>
      </c>
      <c r="W376" s="347">
        <v>8103</v>
      </c>
      <c r="X376" s="326">
        <v>0</v>
      </c>
      <c r="Y376" s="348">
        <f t="shared" si="142"/>
        <v>8103</v>
      </c>
      <c r="Z376" s="347">
        <v>11830</v>
      </c>
      <c r="AA376" s="326">
        <v>0</v>
      </c>
      <c r="AB376" s="348">
        <f t="shared" si="136"/>
        <v>11830</v>
      </c>
      <c r="AC376" s="347"/>
      <c r="AD376" s="326"/>
      <c r="AE376" s="348"/>
      <c r="AF376" s="347"/>
      <c r="AG376" s="326"/>
      <c r="AH376" s="348"/>
      <c r="AI376" s="482">
        <f>T376+W376+Z376+AC376+AF376</f>
        <v>23751</v>
      </c>
      <c r="AJ376" s="326">
        <f>U376+X376+AA376+AD376+AG376</f>
        <v>0</v>
      </c>
      <c r="AK376" s="3917">
        <v>0</v>
      </c>
      <c r="AL376" s="349">
        <f>V376+Y376+AB376+AE376+AH376</f>
        <v>23751</v>
      </c>
      <c r="AM376" s="2002" t="s">
        <v>1061</v>
      </c>
      <c r="AN376" s="3357">
        <v>43670</v>
      </c>
      <c r="AO376" s="695" t="s">
        <v>6940</v>
      </c>
      <c r="AP376" s="2722" t="s">
        <v>5807</v>
      </c>
      <c r="AQ376" s="2723">
        <v>1.0247219999999999</v>
      </c>
      <c r="AR376" s="333">
        <v>0</v>
      </c>
      <c r="AS376" s="330">
        <v>0</v>
      </c>
      <c r="AT376" s="330">
        <v>0</v>
      </c>
      <c r="AU376" s="330">
        <v>0</v>
      </c>
      <c r="AV376" s="330">
        <v>0</v>
      </c>
      <c r="AW376" s="3156">
        <f t="shared" si="140"/>
        <v>24050</v>
      </c>
      <c r="AX376" s="3775" t="s">
        <v>6895</v>
      </c>
      <c r="BA376" s="267"/>
      <c r="BB376" s="267"/>
      <c r="BC376" s="4117">
        <f t="shared" si="129"/>
        <v>0</v>
      </c>
      <c r="BD376" s="4117">
        <f t="shared" si="119"/>
        <v>0</v>
      </c>
    </row>
    <row r="377" spans="1:57" ht="76.5">
      <c r="A377" s="5964" t="s">
        <v>11141</v>
      </c>
      <c r="B377" s="338" t="s">
        <v>7068</v>
      </c>
      <c r="C377" s="321">
        <v>0</v>
      </c>
      <c r="D377" s="323">
        <v>43325</v>
      </c>
      <c r="E377" s="3051" t="s">
        <v>6385</v>
      </c>
      <c r="F377" s="324" t="s">
        <v>5757</v>
      </c>
      <c r="G377" s="2621">
        <v>1.0247219999999999</v>
      </c>
      <c r="H377" s="3209" t="s">
        <v>7070</v>
      </c>
      <c r="I377" s="339" t="s">
        <v>5813</v>
      </c>
      <c r="J377" s="322" t="s">
        <v>4306</v>
      </c>
      <c r="K377" s="340">
        <v>44056</v>
      </c>
      <c r="L377" s="339" t="s">
        <v>4687</v>
      </c>
      <c r="M377" s="322" t="s">
        <v>5814</v>
      </c>
      <c r="N377" s="339" t="s">
        <v>5815</v>
      </c>
      <c r="O377" s="332" t="s">
        <v>6175</v>
      </c>
      <c r="P377" s="345"/>
      <c r="Q377" s="6094" t="s">
        <v>5708</v>
      </c>
      <c r="R377" s="322" t="s">
        <v>5350</v>
      </c>
      <c r="S377" s="346"/>
      <c r="T377" s="347">
        <v>2344</v>
      </c>
      <c r="U377" s="326">
        <v>0</v>
      </c>
      <c r="V377" s="348">
        <f t="shared" si="141"/>
        <v>2344</v>
      </c>
      <c r="W377" s="347">
        <v>2930</v>
      </c>
      <c r="X377" s="326">
        <v>0</v>
      </c>
      <c r="Y377" s="348">
        <f t="shared" si="142"/>
        <v>2930</v>
      </c>
      <c r="Z377" s="347">
        <v>837</v>
      </c>
      <c r="AA377" s="326">
        <v>0</v>
      </c>
      <c r="AB377" s="348">
        <f t="shared" si="136"/>
        <v>837</v>
      </c>
      <c r="AC377" s="347"/>
      <c r="AD377" s="326"/>
      <c r="AE377" s="348"/>
      <c r="AF377" s="347"/>
      <c r="AG377" s="326"/>
      <c r="AH377" s="348"/>
      <c r="AI377" s="482">
        <f>T377+W377+Z377+AC377+AF377</f>
        <v>6111</v>
      </c>
      <c r="AJ377" s="326">
        <f>U377+X377+AA377+AD377+AG377</f>
        <v>0</v>
      </c>
      <c r="AK377" s="3917">
        <v>0</v>
      </c>
      <c r="AL377" s="349">
        <f>V377+Y377+AB377+AE377+AH377</f>
        <v>6111</v>
      </c>
      <c r="AM377" s="2002" t="s">
        <v>1061</v>
      </c>
      <c r="AN377" s="3357">
        <v>43671</v>
      </c>
      <c r="AO377" s="695" t="s">
        <v>6941</v>
      </c>
      <c r="AP377" s="2722" t="s">
        <v>6894</v>
      </c>
      <c r="AQ377" s="2723">
        <v>1.047839</v>
      </c>
      <c r="AR377" s="333">
        <v>0</v>
      </c>
      <c r="AS377" s="330">
        <v>0</v>
      </c>
      <c r="AT377" s="330">
        <v>0</v>
      </c>
      <c r="AU377" s="330">
        <v>0</v>
      </c>
      <c r="AV377" s="330">
        <v>0</v>
      </c>
      <c r="AW377" s="3156">
        <f t="shared" si="140"/>
        <v>6249</v>
      </c>
      <c r="AX377" s="3140"/>
      <c r="BA377" s="267"/>
      <c r="BB377" s="267"/>
      <c r="BC377" s="4117">
        <f t="shared" si="129"/>
        <v>0</v>
      </c>
      <c r="BD377" s="4117">
        <f t="shared" si="119"/>
        <v>0</v>
      </c>
    </row>
    <row r="378" spans="1:57" ht="102.75" thickBot="1">
      <c r="A378" s="6034" t="s">
        <v>11141</v>
      </c>
      <c r="B378" s="3748" t="s">
        <v>5935</v>
      </c>
      <c r="C378" s="3749">
        <v>6</v>
      </c>
      <c r="D378" s="3750" t="s">
        <v>6715</v>
      </c>
      <c r="E378" s="3792" t="s">
        <v>6386</v>
      </c>
      <c r="F378" s="3793" t="s">
        <v>5757</v>
      </c>
      <c r="G378" s="3751">
        <v>1.0247219999999999</v>
      </c>
      <c r="H378" s="3752" t="s">
        <v>6716</v>
      </c>
      <c r="I378" s="3753" t="s">
        <v>4235</v>
      </c>
      <c r="J378" s="3754" t="s">
        <v>1434</v>
      </c>
      <c r="K378" s="3755" t="s">
        <v>4260</v>
      </c>
      <c r="L378" s="3753" t="s">
        <v>1119</v>
      </c>
      <c r="M378" s="3754" t="s">
        <v>3301</v>
      </c>
      <c r="N378" s="3753" t="s">
        <v>4967</v>
      </c>
      <c r="O378" s="3752" t="s">
        <v>6192</v>
      </c>
      <c r="P378" s="3756" t="s">
        <v>6053</v>
      </c>
      <c r="Q378" s="3754" t="s">
        <v>5247</v>
      </c>
      <c r="R378" s="3794" t="s">
        <v>5245</v>
      </c>
      <c r="S378" s="3757"/>
      <c r="T378" s="3758">
        <v>3109</v>
      </c>
      <c r="U378" s="3759">
        <v>0</v>
      </c>
      <c r="V378" s="3760">
        <f t="shared" si="141"/>
        <v>3109</v>
      </c>
      <c r="W378" s="3758">
        <v>0</v>
      </c>
      <c r="X378" s="3759">
        <v>0</v>
      </c>
      <c r="Y378" s="3760">
        <f t="shared" si="142"/>
        <v>0</v>
      </c>
      <c r="Z378" s="3758">
        <v>19428</v>
      </c>
      <c r="AA378" s="3759">
        <v>0</v>
      </c>
      <c r="AB378" s="3760">
        <f t="shared" si="136"/>
        <v>19428</v>
      </c>
      <c r="AC378" s="3758"/>
      <c r="AD378" s="3759"/>
      <c r="AE378" s="3760"/>
      <c r="AF378" s="3758"/>
      <c r="AG378" s="3759"/>
      <c r="AH378" s="3760"/>
      <c r="AI378" s="3761">
        <f>T378+W378+Z378+AC378+AF378</f>
        <v>22537</v>
      </c>
      <c r="AJ378" s="3759">
        <f>U378+X378+AA378</f>
        <v>0</v>
      </c>
      <c r="AK378" s="3918">
        <v>0</v>
      </c>
      <c r="AL378" s="3762">
        <f>V378+Y378+AB378+AE378+AH378</f>
        <v>22537</v>
      </c>
      <c r="AM378" s="3763" t="s">
        <v>1061</v>
      </c>
      <c r="AN378" s="3764">
        <v>43677</v>
      </c>
      <c r="AO378" s="3765" t="s">
        <v>6984</v>
      </c>
      <c r="AP378" s="3766" t="s">
        <v>6894</v>
      </c>
      <c r="AQ378" s="3767">
        <v>1.047839</v>
      </c>
      <c r="AR378" s="3768">
        <v>0</v>
      </c>
      <c r="AS378" s="3769">
        <v>0</v>
      </c>
      <c r="AT378" s="3769">
        <v>0</v>
      </c>
      <c r="AU378" s="3769">
        <v>0</v>
      </c>
      <c r="AV378" s="3769">
        <v>0</v>
      </c>
      <c r="AW378" s="3770">
        <f t="shared" si="140"/>
        <v>23045</v>
      </c>
      <c r="AX378" s="3771"/>
      <c r="AY378" s="4031" t="s">
        <v>6866</v>
      </c>
      <c r="AZ378" s="1662">
        <f>SUM(AW367:AW378)</f>
        <v>102785</v>
      </c>
      <c r="BA378" s="4028">
        <f>AZ378</f>
        <v>102785</v>
      </c>
      <c r="BB378" s="267"/>
      <c r="BC378" s="4117">
        <f t="shared" si="129"/>
        <v>0</v>
      </c>
      <c r="BD378" s="4117">
        <f t="shared" si="119"/>
        <v>0</v>
      </c>
    </row>
    <row r="379" spans="1:57" ht="89.25">
      <c r="A379" s="6017" t="s">
        <v>11135</v>
      </c>
      <c r="B379" s="2298" t="s">
        <v>6923</v>
      </c>
      <c r="C379" s="2299">
        <v>0</v>
      </c>
      <c r="D379" s="2300">
        <v>43172</v>
      </c>
      <c r="E379" s="2300" t="s">
        <v>6385</v>
      </c>
      <c r="F379" s="2497" t="s">
        <v>6925</v>
      </c>
      <c r="G379" s="3790">
        <v>1.0247219999999999</v>
      </c>
      <c r="H379" s="2306" t="s">
        <v>5362</v>
      </c>
      <c r="I379" s="2303" t="s">
        <v>1433</v>
      </c>
      <c r="J379" s="2304" t="s">
        <v>1434</v>
      </c>
      <c r="K379" s="2305">
        <v>45359</v>
      </c>
      <c r="L379" s="2303" t="s">
        <v>3991</v>
      </c>
      <c r="M379" s="2304" t="s">
        <v>5363</v>
      </c>
      <c r="N379" s="2303" t="s">
        <v>5364</v>
      </c>
      <c r="O379" s="2306" t="s">
        <v>6310</v>
      </c>
      <c r="P379" s="3791" t="s">
        <v>6924</v>
      </c>
      <c r="Q379" s="2304" t="s">
        <v>5365</v>
      </c>
      <c r="R379" s="2304" t="s">
        <v>5366</v>
      </c>
      <c r="S379" s="2307"/>
      <c r="T379" s="2308">
        <v>10646</v>
      </c>
      <c r="U379" s="2309">
        <v>0</v>
      </c>
      <c r="V379" s="2310">
        <f t="shared" si="141"/>
        <v>10646</v>
      </c>
      <c r="W379" s="2308">
        <v>2069</v>
      </c>
      <c r="X379" s="2309">
        <v>0</v>
      </c>
      <c r="Y379" s="2310">
        <f t="shared" si="142"/>
        <v>2069</v>
      </c>
      <c r="Z379" s="2308">
        <v>14366</v>
      </c>
      <c r="AA379" s="2309">
        <v>0</v>
      </c>
      <c r="AB379" s="2310">
        <f t="shared" si="136"/>
        <v>14366</v>
      </c>
      <c r="AC379" s="2308"/>
      <c r="AD379" s="2309"/>
      <c r="AE379" s="2310"/>
      <c r="AF379" s="2308"/>
      <c r="AG379" s="2309"/>
      <c r="AH379" s="2310"/>
      <c r="AI379" s="2311">
        <v>15000</v>
      </c>
      <c r="AJ379" s="2309">
        <f>U379+X379+AA379+AD379+AG379</f>
        <v>0</v>
      </c>
      <c r="AK379" s="3914">
        <v>0</v>
      </c>
      <c r="AL379" s="2312">
        <f>AI379+AJ379</f>
        <v>15000</v>
      </c>
      <c r="AM379" s="3491" t="s">
        <v>1061</v>
      </c>
      <c r="AN379" s="3492">
        <v>43678</v>
      </c>
      <c r="AO379" s="2492" t="s">
        <v>6987</v>
      </c>
      <c r="AP379" s="2905" t="s">
        <v>5807</v>
      </c>
      <c r="AQ379" s="2906">
        <v>1.0247219999999999</v>
      </c>
      <c r="AR379" s="2313">
        <v>0</v>
      </c>
      <c r="AS379" s="2314">
        <v>0</v>
      </c>
      <c r="AT379" s="2314">
        <v>0</v>
      </c>
      <c r="AU379" s="2314">
        <v>0</v>
      </c>
      <c r="AV379" s="2314">
        <v>0</v>
      </c>
      <c r="AW379" s="2883">
        <f t="shared" si="140"/>
        <v>15000</v>
      </c>
      <c r="AX379" s="2900" t="s">
        <v>7250</v>
      </c>
      <c r="BA379" s="267"/>
      <c r="BB379" s="267"/>
      <c r="BC379" s="4117">
        <f t="shared" si="129"/>
        <v>0</v>
      </c>
      <c r="BD379" s="4117">
        <f t="shared" si="119"/>
        <v>0</v>
      </c>
    </row>
    <row r="380" spans="1:57" ht="76.5">
      <c r="A380" s="5981" t="s">
        <v>11135</v>
      </c>
      <c r="B380" s="1538" t="s">
        <v>6939</v>
      </c>
      <c r="C380" s="1509">
        <v>0</v>
      </c>
      <c r="D380" s="1510">
        <v>43514</v>
      </c>
      <c r="E380" s="3053" t="s">
        <v>6386</v>
      </c>
      <c r="F380" s="1511" t="s">
        <v>5757</v>
      </c>
      <c r="G380" s="2663">
        <v>1.0247219999999999</v>
      </c>
      <c r="H380" s="1513" t="s">
        <v>6938</v>
      </c>
      <c r="I380" s="1514" t="s">
        <v>6418</v>
      </c>
      <c r="J380" s="1515" t="s">
        <v>4306</v>
      </c>
      <c r="K380" s="1516">
        <v>44245</v>
      </c>
      <c r="L380" s="1514" t="s">
        <v>6419</v>
      </c>
      <c r="M380" s="1515" t="s">
        <v>6421</v>
      </c>
      <c r="N380" s="1514" t="s">
        <v>6422</v>
      </c>
      <c r="O380" s="1513" t="s">
        <v>6423</v>
      </c>
      <c r="P380" s="1517"/>
      <c r="Q380" s="6094" t="s">
        <v>5708</v>
      </c>
      <c r="R380" s="1515" t="s">
        <v>5350</v>
      </c>
      <c r="S380" s="1518"/>
      <c r="T380" s="1519">
        <v>2444</v>
      </c>
      <c r="U380" s="1504">
        <v>0</v>
      </c>
      <c r="V380" s="1520">
        <f t="shared" si="141"/>
        <v>2444</v>
      </c>
      <c r="W380" s="1519">
        <v>3056</v>
      </c>
      <c r="X380" s="1504">
        <v>0</v>
      </c>
      <c r="Y380" s="1520">
        <f t="shared" si="142"/>
        <v>3056</v>
      </c>
      <c r="Z380" s="1519">
        <v>611</v>
      </c>
      <c r="AA380" s="1504">
        <v>0</v>
      </c>
      <c r="AB380" s="1520">
        <f t="shared" si="136"/>
        <v>611</v>
      </c>
      <c r="AC380" s="1519"/>
      <c r="AD380" s="1504"/>
      <c r="AE380" s="1520"/>
      <c r="AF380" s="1519"/>
      <c r="AG380" s="1504"/>
      <c r="AH380" s="1520"/>
      <c r="AI380" s="1503">
        <f>T380+W380+Z380+AC380+AF380</f>
        <v>6111</v>
      </c>
      <c r="AJ380" s="1504">
        <f>U380+X380+AA380+AD380+AG380</f>
        <v>0</v>
      </c>
      <c r="AK380" s="3919">
        <v>0</v>
      </c>
      <c r="AL380" s="1505">
        <f>V380+Y380+AB380+AE380+AH380</f>
        <v>6111</v>
      </c>
      <c r="AM380" s="1508" t="s">
        <v>1061</v>
      </c>
      <c r="AN380" s="3401">
        <v>43679</v>
      </c>
      <c r="AO380" s="3402" t="s">
        <v>6988</v>
      </c>
      <c r="AP380" s="2664" t="s">
        <v>6894</v>
      </c>
      <c r="AQ380" s="2806">
        <v>1.047839</v>
      </c>
      <c r="AR380" s="1506">
        <v>0</v>
      </c>
      <c r="AS380" s="1507">
        <v>0</v>
      </c>
      <c r="AT380" s="1507">
        <v>0</v>
      </c>
      <c r="AU380" s="1507">
        <v>0</v>
      </c>
      <c r="AV380" s="1507">
        <v>0</v>
      </c>
      <c r="AW380" s="3247">
        <f t="shared" si="140"/>
        <v>6249</v>
      </c>
      <c r="AX380" s="3146"/>
      <c r="BA380" s="267"/>
      <c r="BB380" s="267"/>
      <c r="BC380" s="4117">
        <f t="shared" si="129"/>
        <v>0</v>
      </c>
      <c r="BD380" s="4117">
        <f t="shared" si="119"/>
        <v>0</v>
      </c>
    </row>
    <row r="381" spans="1:57" ht="51">
      <c r="A381" s="6017" t="s">
        <v>11135</v>
      </c>
      <c r="B381" s="1538" t="s">
        <v>5729</v>
      </c>
      <c r="C381" s="1509">
        <v>0</v>
      </c>
      <c r="D381" s="1510">
        <v>43679</v>
      </c>
      <c r="E381" s="2300" t="s">
        <v>6386</v>
      </c>
      <c r="F381" s="3798" t="s">
        <v>6893</v>
      </c>
      <c r="G381" s="3110">
        <v>1.047839</v>
      </c>
      <c r="H381" s="1513" t="s">
        <v>6990</v>
      </c>
      <c r="I381" s="1514" t="s">
        <v>1433</v>
      </c>
      <c r="J381" s="1515" t="s">
        <v>1434</v>
      </c>
      <c r="K381" s="1516">
        <v>45871</v>
      </c>
      <c r="L381" s="1514" t="s">
        <v>6991</v>
      </c>
      <c r="M381" s="1515" t="s">
        <v>1957</v>
      </c>
      <c r="N381" s="1514" t="s">
        <v>6993</v>
      </c>
      <c r="O381" s="1513" t="s">
        <v>6992</v>
      </c>
      <c r="P381" s="1517" t="s">
        <v>7630</v>
      </c>
      <c r="Q381" s="1515" t="s">
        <v>6994</v>
      </c>
      <c r="R381" s="1515" t="s">
        <v>6995</v>
      </c>
      <c r="S381" s="1518"/>
      <c r="T381" s="1519"/>
      <c r="U381" s="1504"/>
      <c r="V381" s="1520"/>
      <c r="W381" s="1519"/>
      <c r="X381" s="1504"/>
      <c r="Y381" s="1520"/>
      <c r="Z381" s="1519"/>
      <c r="AA381" s="1504"/>
      <c r="AB381" s="1520"/>
      <c r="AC381" s="1519"/>
      <c r="AD381" s="1504"/>
      <c r="AE381" s="1520"/>
      <c r="AF381" s="1519"/>
      <c r="AG381" s="1504"/>
      <c r="AH381" s="1520"/>
      <c r="AI381" s="1503">
        <v>0</v>
      </c>
      <c r="AJ381" s="1504">
        <v>0</v>
      </c>
      <c r="AK381" s="4346">
        <v>0</v>
      </c>
      <c r="AL381" s="1505">
        <f>AI381-AJ381</f>
        <v>0</v>
      </c>
      <c r="AM381" s="1508" t="s">
        <v>6996</v>
      </c>
      <c r="AN381" s="3401"/>
      <c r="AO381" s="3402"/>
      <c r="AP381" s="2664" t="s">
        <v>6894</v>
      </c>
      <c r="AQ381" s="2806">
        <v>1.047839</v>
      </c>
      <c r="AR381" s="1506"/>
      <c r="AS381" s="1507"/>
      <c r="AT381" s="1507"/>
      <c r="AU381" s="1507"/>
      <c r="AV381" s="1507"/>
      <c r="AW381" s="3247">
        <f t="shared" si="140"/>
        <v>0</v>
      </c>
      <c r="AX381" s="3146"/>
      <c r="BA381" s="267"/>
      <c r="BB381" s="267"/>
      <c r="BC381" s="4117">
        <f t="shared" si="129"/>
        <v>0</v>
      </c>
      <c r="BD381" s="4117">
        <f t="shared" si="119"/>
        <v>0</v>
      </c>
      <c r="BE381" s="267"/>
    </row>
    <row r="382" spans="1:57" ht="38.25">
      <c r="A382" s="6017" t="s">
        <v>11135</v>
      </c>
      <c r="B382" s="1538" t="s">
        <v>5730</v>
      </c>
      <c r="C382" s="1509">
        <v>0</v>
      </c>
      <c r="D382" s="1510">
        <v>43682</v>
      </c>
      <c r="E382" s="2300" t="s">
        <v>6386</v>
      </c>
      <c r="F382" s="3798" t="s">
        <v>6893</v>
      </c>
      <c r="G382" s="3110">
        <v>1.047839</v>
      </c>
      <c r="H382" s="1513" t="s">
        <v>7001</v>
      </c>
      <c r="I382" s="1514"/>
      <c r="J382" s="1515"/>
      <c r="K382" s="3799"/>
      <c r="L382" s="1514" t="s">
        <v>7002</v>
      </c>
      <c r="M382" s="1515" t="s">
        <v>7003</v>
      </c>
      <c r="N382" s="1514" t="s">
        <v>7006</v>
      </c>
      <c r="O382" s="1513" t="s">
        <v>7004</v>
      </c>
      <c r="P382" s="1517"/>
      <c r="Q382" s="6094" t="s">
        <v>5708</v>
      </c>
      <c r="R382" s="1515" t="s">
        <v>5350</v>
      </c>
      <c r="S382" s="1518" t="s">
        <v>5972</v>
      </c>
      <c r="T382" s="1519"/>
      <c r="U382" s="1504"/>
      <c r="V382" s="1520"/>
      <c r="W382" s="1519"/>
      <c r="X382" s="1504"/>
      <c r="Y382" s="1520"/>
      <c r="Z382" s="1519"/>
      <c r="AA382" s="1504"/>
      <c r="AB382" s="1520"/>
      <c r="AC382" s="1519"/>
      <c r="AD382" s="1504"/>
      <c r="AE382" s="1520"/>
      <c r="AF382" s="1519"/>
      <c r="AG382" s="1504"/>
      <c r="AH382" s="1520"/>
      <c r="AI382" s="1503">
        <v>5624</v>
      </c>
      <c r="AJ382" s="1504">
        <v>0</v>
      </c>
      <c r="AK382" s="3919">
        <v>0</v>
      </c>
      <c r="AL382" s="1505">
        <f>AI382-AJ382</f>
        <v>5624</v>
      </c>
      <c r="AM382" s="1508" t="s">
        <v>1061</v>
      </c>
      <c r="AN382" s="3401">
        <v>43684</v>
      </c>
      <c r="AO382" s="3402" t="s">
        <v>7016</v>
      </c>
      <c r="AP382" s="2905" t="s">
        <v>6894</v>
      </c>
      <c r="AQ382" s="2906">
        <v>1.047839</v>
      </c>
      <c r="AR382" s="1506"/>
      <c r="AS382" s="1507"/>
      <c r="AT382" s="1507"/>
      <c r="AU382" s="1507"/>
      <c r="AV382" s="1507"/>
      <c r="AW382" s="3247">
        <f t="shared" si="140"/>
        <v>5624</v>
      </c>
      <c r="AX382" s="3146"/>
      <c r="BA382" s="267"/>
      <c r="BB382" s="267"/>
      <c r="BC382" s="4117">
        <f t="shared" si="129"/>
        <v>0</v>
      </c>
      <c r="BD382" s="4117">
        <f t="shared" si="119"/>
        <v>0</v>
      </c>
    </row>
    <row r="383" spans="1:57" ht="91.5">
      <c r="A383" s="5978" t="s">
        <v>11141</v>
      </c>
      <c r="B383" s="1538" t="s">
        <v>7066</v>
      </c>
      <c r="C383" s="1509">
        <v>0</v>
      </c>
      <c r="D383" s="1510">
        <v>42955</v>
      </c>
      <c r="E383" s="3053" t="s">
        <v>6385</v>
      </c>
      <c r="F383" s="1511" t="s">
        <v>4154</v>
      </c>
      <c r="G383" s="2663">
        <v>1.0111000000000001</v>
      </c>
      <c r="H383" s="1513" t="s">
        <v>4814</v>
      </c>
      <c r="I383" s="1514" t="s">
        <v>4815</v>
      </c>
      <c r="J383" s="1515" t="s">
        <v>4306</v>
      </c>
      <c r="K383" s="1516">
        <v>43685</v>
      </c>
      <c r="L383" s="1514" t="s">
        <v>4816</v>
      </c>
      <c r="M383" s="1515" t="s">
        <v>4817</v>
      </c>
      <c r="N383" s="1514" t="s">
        <v>4818</v>
      </c>
      <c r="O383" s="1513" t="s">
        <v>6242</v>
      </c>
      <c r="P383" s="1517"/>
      <c r="Q383" s="6094" t="s">
        <v>4332</v>
      </c>
      <c r="R383" s="1515" t="s">
        <v>1046</v>
      </c>
      <c r="S383" s="1518"/>
      <c r="T383" s="1519">
        <v>2304</v>
      </c>
      <c r="U383" s="1504">
        <v>0</v>
      </c>
      <c r="V383" s="1520">
        <f t="shared" ref="V383:V399" si="143">T383-U383</f>
        <v>2304</v>
      </c>
      <c r="W383" s="1519">
        <v>2881</v>
      </c>
      <c r="X383" s="1504">
        <v>0</v>
      </c>
      <c r="Y383" s="1520">
        <f t="shared" ref="Y383:Y399" si="144">W383-X383</f>
        <v>2881</v>
      </c>
      <c r="Z383" s="1519">
        <v>823</v>
      </c>
      <c r="AA383" s="1504">
        <v>0</v>
      </c>
      <c r="AB383" s="1520">
        <f t="shared" ref="AB383:AB399" si="145">Z383-AA383</f>
        <v>823</v>
      </c>
      <c r="AC383" s="1519"/>
      <c r="AD383" s="1504"/>
      <c r="AE383" s="1520"/>
      <c r="AF383" s="1519"/>
      <c r="AG383" s="1504"/>
      <c r="AH383" s="1520"/>
      <c r="AI383" s="1503">
        <f t="shared" ref="AI383:AJ389" si="146">T383+W383+Z383+AC383+AF383</f>
        <v>6008</v>
      </c>
      <c r="AJ383" s="1504">
        <f t="shared" si="146"/>
        <v>0</v>
      </c>
      <c r="AK383" s="3919">
        <v>0</v>
      </c>
      <c r="AL383" s="1505">
        <f t="shared" ref="AL383:AL389" si="147">V383+Y383+AB383+AE383+AH383</f>
        <v>6008</v>
      </c>
      <c r="AM383" s="1508" t="s">
        <v>1061</v>
      </c>
      <c r="AN383" s="3401">
        <v>43691</v>
      </c>
      <c r="AO383" s="3402" t="s">
        <v>7025</v>
      </c>
      <c r="AP383" s="2905" t="s">
        <v>6894</v>
      </c>
      <c r="AQ383" s="2906">
        <v>1.047839</v>
      </c>
      <c r="AR383" s="1506">
        <v>0</v>
      </c>
      <c r="AS383" s="1507">
        <v>0</v>
      </c>
      <c r="AT383" s="1507">
        <v>0</v>
      </c>
      <c r="AU383" s="1507">
        <v>0</v>
      </c>
      <c r="AV383" s="1507">
        <v>0</v>
      </c>
      <c r="AW383" s="3247">
        <f t="shared" si="140"/>
        <v>6226</v>
      </c>
      <c r="AX383" s="3146"/>
      <c r="BA383" s="267"/>
      <c r="BB383" s="267"/>
      <c r="BC383" s="4117">
        <f t="shared" si="129"/>
        <v>0</v>
      </c>
      <c r="BD383" s="4117">
        <f t="shared" si="119"/>
        <v>0</v>
      </c>
    </row>
    <row r="384" spans="1:57" ht="76.5">
      <c r="A384" s="5981" t="s">
        <v>11135</v>
      </c>
      <c r="B384" s="1538" t="s">
        <v>7026</v>
      </c>
      <c r="C384" s="1509">
        <v>0</v>
      </c>
      <c r="D384" s="1510">
        <v>43410</v>
      </c>
      <c r="E384" s="3053" t="s">
        <v>6386</v>
      </c>
      <c r="F384" s="1511" t="s">
        <v>5757</v>
      </c>
      <c r="G384" s="2663">
        <v>1.0247219999999999</v>
      </c>
      <c r="H384" s="1513" t="s">
        <v>5989</v>
      </c>
      <c r="I384" s="1514" t="s">
        <v>5990</v>
      </c>
      <c r="J384" s="1515" t="s">
        <v>4306</v>
      </c>
      <c r="K384" s="1516">
        <v>44141</v>
      </c>
      <c r="L384" s="1514" t="s">
        <v>5991</v>
      </c>
      <c r="M384" s="1515" t="s">
        <v>5992</v>
      </c>
      <c r="N384" s="1514" t="s">
        <v>5993</v>
      </c>
      <c r="O384" s="1513" t="s">
        <v>5994</v>
      </c>
      <c r="P384" s="1517"/>
      <c r="Q384" s="6094" t="s">
        <v>5708</v>
      </c>
      <c r="R384" s="1515" t="s">
        <v>5350</v>
      </c>
      <c r="S384" s="1518" t="s">
        <v>5972</v>
      </c>
      <c r="T384" s="1519">
        <v>2444</v>
      </c>
      <c r="U384" s="1504">
        <v>0</v>
      </c>
      <c r="V384" s="1520">
        <f t="shared" si="143"/>
        <v>2444</v>
      </c>
      <c r="W384" s="1519">
        <v>3056</v>
      </c>
      <c r="X384" s="1504">
        <v>0</v>
      </c>
      <c r="Y384" s="1520">
        <f t="shared" si="144"/>
        <v>3056</v>
      </c>
      <c r="Z384" s="1519">
        <v>0</v>
      </c>
      <c r="AA384" s="1504">
        <v>0</v>
      </c>
      <c r="AB384" s="1520">
        <f t="shared" si="145"/>
        <v>0</v>
      </c>
      <c r="AC384" s="1519"/>
      <c r="AD384" s="1504"/>
      <c r="AE384" s="1520"/>
      <c r="AF384" s="1519"/>
      <c r="AG384" s="1504"/>
      <c r="AH384" s="1520"/>
      <c r="AI384" s="1503">
        <f t="shared" si="146"/>
        <v>5500</v>
      </c>
      <c r="AJ384" s="1504">
        <f t="shared" si="146"/>
        <v>0</v>
      </c>
      <c r="AK384" s="3919">
        <v>0</v>
      </c>
      <c r="AL384" s="1505">
        <f t="shared" si="147"/>
        <v>5500</v>
      </c>
      <c r="AM384" s="1508" t="s">
        <v>1061</v>
      </c>
      <c r="AN384" s="3401">
        <v>43696</v>
      </c>
      <c r="AO384" s="3402" t="s">
        <v>7037</v>
      </c>
      <c r="AP384" s="2664" t="s">
        <v>6894</v>
      </c>
      <c r="AQ384" s="2806">
        <v>1.047839</v>
      </c>
      <c r="AR384" s="1506">
        <v>0</v>
      </c>
      <c r="AS384" s="1507">
        <v>0</v>
      </c>
      <c r="AT384" s="1507">
        <v>0</v>
      </c>
      <c r="AU384" s="1507">
        <v>0</v>
      </c>
      <c r="AV384" s="1507">
        <v>0</v>
      </c>
      <c r="AW384" s="3247">
        <f t="shared" si="140"/>
        <v>5624</v>
      </c>
      <c r="AX384" s="3146"/>
      <c r="BA384" s="267"/>
      <c r="BB384" s="267"/>
      <c r="BC384" s="4117">
        <f t="shared" si="129"/>
        <v>0</v>
      </c>
      <c r="BD384" s="4117">
        <f t="shared" si="119"/>
        <v>0</v>
      </c>
    </row>
    <row r="385" spans="1:56" ht="78.75">
      <c r="A385" s="5981" t="s">
        <v>11135</v>
      </c>
      <c r="B385" s="1538" t="s">
        <v>7067</v>
      </c>
      <c r="C385" s="1509">
        <v>0</v>
      </c>
      <c r="D385" s="1510">
        <v>43367</v>
      </c>
      <c r="E385" s="3053" t="s">
        <v>6386</v>
      </c>
      <c r="F385" s="1511" t="s">
        <v>5757</v>
      </c>
      <c r="G385" s="2663">
        <v>1.0247219999999999</v>
      </c>
      <c r="H385" s="1513" t="s">
        <v>5895</v>
      </c>
      <c r="I385" s="1514" t="s">
        <v>5901</v>
      </c>
      <c r="J385" s="1515" t="s">
        <v>4306</v>
      </c>
      <c r="K385" s="1516">
        <v>44098</v>
      </c>
      <c r="L385" s="1514" t="s">
        <v>5897</v>
      </c>
      <c r="M385" s="1515" t="s">
        <v>5898</v>
      </c>
      <c r="N385" s="1514" t="s">
        <v>5899</v>
      </c>
      <c r="O385" s="1513" t="s">
        <v>5900</v>
      </c>
      <c r="P385" s="1517"/>
      <c r="Q385" s="6094" t="s">
        <v>5708</v>
      </c>
      <c r="R385" s="1515" t="s">
        <v>5350</v>
      </c>
      <c r="S385" s="1518"/>
      <c r="T385" s="1519">
        <v>2444</v>
      </c>
      <c r="U385" s="1504">
        <v>0</v>
      </c>
      <c r="V385" s="1520">
        <f t="shared" si="143"/>
        <v>2444</v>
      </c>
      <c r="W385" s="1519">
        <v>3056</v>
      </c>
      <c r="X385" s="1504">
        <v>0</v>
      </c>
      <c r="Y385" s="1520">
        <f t="shared" si="144"/>
        <v>3056</v>
      </c>
      <c r="Z385" s="1519">
        <v>611</v>
      </c>
      <c r="AA385" s="1504">
        <v>0</v>
      </c>
      <c r="AB385" s="1520">
        <f t="shared" si="145"/>
        <v>611</v>
      </c>
      <c r="AC385" s="1519"/>
      <c r="AD385" s="1504"/>
      <c r="AE385" s="1520"/>
      <c r="AF385" s="1519"/>
      <c r="AG385" s="1504"/>
      <c r="AH385" s="1520"/>
      <c r="AI385" s="1503">
        <f t="shared" si="146"/>
        <v>6111</v>
      </c>
      <c r="AJ385" s="1504">
        <f t="shared" si="146"/>
        <v>0</v>
      </c>
      <c r="AK385" s="3919">
        <v>0</v>
      </c>
      <c r="AL385" s="1505">
        <f t="shared" si="147"/>
        <v>6111</v>
      </c>
      <c r="AM385" s="1508" t="s">
        <v>1061</v>
      </c>
      <c r="AN385" s="3401">
        <v>43703</v>
      </c>
      <c r="AO385" s="3402" t="s">
        <v>7037</v>
      </c>
      <c r="AP385" s="2664" t="s">
        <v>6894</v>
      </c>
      <c r="AQ385" s="2806">
        <v>1.047839</v>
      </c>
      <c r="AR385" s="1506">
        <v>0</v>
      </c>
      <c r="AS385" s="1507">
        <v>0</v>
      </c>
      <c r="AT385" s="1507">
        <v>0</v>
      </c>
      <c r="AU385" s="1507">
        <v>0</v>
      </c>
      <c r="AV385" s="1507">
        <v>0</v>
      </c>
      <c r="AW385" s="3247">
        <f t="shared" si="140"/>
        <v>6249</v>
      </c>
      <c r="AX385" s="3146"/>
      <c r="BA385" s="267"/>
      <c r="BB385" s="267"/>
      <c r="BC385" s="4117">
        <f t="shared" si="129"/>
        <v>0</v>
      </c>
      <c r="BD385" s="4117">
        <f t="shared" si="119"/>
        <v>0</v>
      </c>
    </row>
    <row r="386" spans="1:56" ht="102">
      <c r="A386" s="5981" t="s">
        <v>11135</v>
      </c>
      <c r="B386" s="1538" t="s">
        <v>7079</v>
      </c>
      <c r="C386" s="1509">
        <v>0</v>
      </c>
      <c r="D386" s="1510">
        <v>43279</v>
      </c>
      <c r="E386" s="3053" t="s">
        <v>6385</v>
      </c>
      <c r="F386" s="1511" t="s">
        <v>5915</v>
      </c>
      <c r="G386" s="2663">
        <v>1.0119899999999999</v>
      </c>
      <c r="H386" s="1513" t="s">
        <v>5740</v>
      </c>
      <c r="I386" s="1514" t="s">
        <v>1433</v>
      </c>
      <c r="J386" s="1515" t="s">
        <v>1434</v>
      </c>
      <c r="K386" s="1516">
        <v>45471</v>
      </c>
      <c r="L386" s="1514" t="s">
        <v>5741</v>
      </c>
      <c r="M386" s="1515" t="s">
        <v>5742</v>
      </c>
      <c r="N386" s="1514" t="s">
        <v>5743</v>
      </c>
      <c r="O386" s="1513" t="s">
        <v>6299</v>
      </c>
      <c r="P386" s="1517" t="s">
        <v>5745</v>
      </c>
      <c r="Q386" s="1515" t="s">
        <v>5744</v>
      </c>
      <c r="R386" s="1515" t="s">
        <v>5644</v>
      </c>
      <c r="S386" s="1518"/>
      <c r="T386" s="1519">
        <v>13985</v>
      </c>
      <c r="U386" s="1504">
        <v>0</v>
      </c>
      <c r="V386" s="1520">
        <f t="shared" si="143"/>
        <v>13985</v>
      </c>
      <c r="W386" s="1519">
        <v>2468</v>
      </c>
      <c r="X386" s="1504">
        <v>0</v>
      </c>
      <c r="Y386" s="1520">
        <f t="shared" si="144"/>
        <v>2468</v>
      </c>
      <c r="Z386" s="1519">
        <v>1019</v>
      </c>
      <c r="AA386" s="1504">
        <v>0</v>
      </c>
      <c r="AB386" s="1520">
        <f t="shared" si="145"/>
        <v>1019</v>
      </c>
      <c r="AC386" s="1519"/>
      <c r="AD386" s="1504"/>
      <c r="AE386" s="1520"/>
      <c r="AF386" s="1519"/>
      <c r="AG386" s="1504"/>
      <c r="AH386" s="1520"/>
      <c r="AI386" s="1503">
        <f t="shared" si="146"/>
        <v>17472</v>
      </c>
      <c r="AJ386" s="1504">
        <f t="shared" si="146"/>
        <v>0</v>
      </c>
      <c r="AK386" s="3919">
        <v>0</v>
      </c>
      <c r="AL386" s="1505">
        <f t="shared" si="147"/>
        <v>17472</v>
      </c>
      <c r="AM386" s="1508" t="s">
        <v>1061</v>
      </c>
      <c r="AN386" s="3401">
        <v>43706</v>
      </c>
      <c r="AO386" s="3402" t="s">
        <v>7082</v>
      </c>
      <c r="AP386" s="2664" t="s">
        <v>6894</v>
      </c>
      <c r="AQ386" s="2806">
        <v>1.047839</v>
      </c>
      <c r="AR386" s="1506">
        <v>0</v>
      </c>
      <c r="AS386" s="1507">
        <v>0</v>
      </c>
      <c r="AT386" s="1507">
        <v>0</v>
      </c>
      <c r="AU386" s="1507">
        <v>0</v>
      </c>
      <c r="AV386" s="1507">
        <v>0</v>
      </c>
      <c r="AW386" s="3247">
        <f t="shared" si="140"/>
        <v>18091</v>
      </c>
      <c r="AX386" s="3146"/>
      <c r="BA386" s="267"/>
      <c r="BB386" s="267"/>
      <c r="BC386" s="4117">
        <f t="shared" si="129"/>
        <v>0</v>
      </c>
      <c r="BD386" s="4117">
        <f t="shared" si="119"/>
        <v>0</v>
      </c>
    </row>
    <row r="387" spans="1:56" ht="53.25">
      <c r="A387" s="5981" t="s">
        <v>11135</v>
      </c>
      <c r="B387" s="1538" t="s">
        <v>7080</v>
      </c>
      <c r="C387" s="1509">
        <v>0</v>
      </c>
      <c r="D387" s="1510">
        <v>43223</v>
      </c>
      <c r="E387" s="3053" t="s">
        <v>6385</v>
      </c>
      <c r="F387" s="1511" t="s">
        <v>5915</v>
      </c>
      <c r="G387" s="2663">
        <v>1.0119899999999999</v>
      </c>
      <c r="H387" s="1513" t="s">
        <v>5480</v>
      </c>
      <c r="I387" s="1514" t="s">
        <v>1433</v>
      </c>
      <c r="J387" s="1515" t="s">
        <v>1434</v>
      </c>
      <c r="K387" s="1516">
        <v>45413</v>
      </c>
      <c r="L387" s="1514" t="s">
        <v>5481</v>
      </c>
      <c r="M387" s="1515" t="s">
        <v>1957</v>
      </c>
      <c r="N387" s="1514" t="s">
        <v>5482</v>
      </c>
      <c r="O387" s="1513" t="s">
        <v>6305</v>
      </c>
      <c r="P387" s="1517"/>
      <c r="Q387" s="1515" t="s">
        <v>5483</v>
      </c>
      <c r="R387" s="1515" t="s">
        <v>5484</v>
      </c>
      <c r="S387" s="1518"/>
      <c r="T387" s="1519">
        <v>6800</v>
      </c>
      <c r="U387" s="1504">
        <v>0</v>
      </c>
      <c r="V387" s="1520">
        <f t="shared" si="143"/>
        <v>6800</v>
      </c>
      <c r="W387" s="1519">
        <v>8501</v>
      </c>
      <c r="X387" s="1504">
        <v>0</v>
      </c>
      <c r="Y387" s="1520">
        <f t="shared" si="144"/>
        <v>8501</v>
      </c>
      <c r="Z387" s="1519">
        <v>1700</v>
      </c>
      <c r="AA387" s="1504">
        <v>0</v>
      </c>
      <c r="AB387" s="1520">
        <f t="shared" si="145"/>
        <v>1700</v>
      </c>
      <c r="AC387" s="1519"/>
      <c r="AD387" s="1504"/>
      <c r="AE387" s="1520"/>
      <c r="AF387" s="1519"/>
      <c r="AG387" s="1504"/>
      <c r="AH387" s="1520"/>
      <c r="AI387" s="1503">
        <f t="shared" si="146"/>
        <v>17001</v>
      </c>
      <c r="AJ387" s="1504">
        <f t="shared" si="146"/>
        <v>0</v>
      </c>
      <c r="AK387" s="3919">
        <v>0</v>
      </c>
      <c r="AL387" s="1505">
        <f t="shared" si="147"/>
        <v>17001</v>
      </c>
      <c r="AM387" s="1508" t="s">
        <v>1061</v>
      </c>
      <c r="AN387" s="3401">
        <v>43706</v>
      </c>
      <c r="AO387" s="3402" t="s">
        <v>7083</v>
      </c>
      <c r="AP387" s="2664" t="s">
        <v>6894</v>
      </c>
      <c r="AQ387" s="2806">
        <v>1.047839</v>
      </c>
      <c r="AR387" s="1506">
        <v>0</v>
      </c>
      <c r="AS387" s="1507">
        <v>0</v>
      </c>
      <c r="AT387" s="1507">
        <v>0</v>
      </c>
      <c r="AU387" s="1507">
        <v>0</v>
      </c>
      <c r="AV387" s="1507">
        <v>0</v>
      </c>
      <c r="AW387" s="3247">
        <f t="shared" si="140"/>
        <v>17603</v>
      </c>
      <c r="AX387" s="3146"/>
      <c r="BA387" s="267"/>
      <c r="BB387" s="267"/>
      <c r="BC387" s="4117">
        <f t="shared" si="129"/>
        <v>0</v>
      </c>
      <c r="BD387" s="4117">
        <f t="shared" si="119"/>
        <v>0</v>
      </c>
    </row>
    <row r="388" spans="1:56" ht="140.25">
      <c r="A388" s="5978" t="s">
        <v>11141</v>
      </c>
      <c r="B388" s="1538" t="s">
        <v>7072</v>
      </c>
      <c r="C388" s="1509">
        <v>1</v>
      </c>
      <c r="D388" s="1510" t="s">
        <v>5918</v>
      </c>
      <c r="E388" s="3053" t="s">
        <v>6385</v>
      </c>
      <c r="F388" s="1511" t="s">
        <v>5757</v>
      </c>
      <c r="G388" s="2663">
        <v>1.0247219999999999</v>
      </c>
      <c r="H388" s="1513" t="s">
        <v>5871</v>
      </c>
      <c r="I388" s="1514" t="s">
        <v>1433</v>
      </c>
      <c r="J388" s="1515" t="s">
        <v>1434</v>
      </c>
      <c r="K388" s="1516">
        <v>45540</v>
      </c>
      <c r="L388" s="1514" t="s">
        <v>5527</v>
      </c>
      <c r="M388" s="1515" t="s">
        <v>5872</v>
      </c>
      <c r="N388" s="1514" t="s">
        <v>5874</v>
      </c>
      <c r="O388" s="1513" t="s">
        <v>5873</v>
      </c>
      <c r="P388" s="1517" t="s">
        <v>5911</v>
      </c>
      <c r="Q388" s="6094" t="s">
        <v>5875</v>
      </c>
      <c r="R388" s="1515" t="s">
        <v>5876</v>
      </c>
      <c r="S388" s="1518" t="s">
        <v>5972</v>
      </c>
      <c r="T388" s="1519">
        <v>2444</v>
      </c>
      <c r="U388" s="1504">
        <v>0</v>
      </c>
      <c r="V388" s="1520">
        <f t="shared" si="143"/>
        <v>2444</v>
      </c>
      <c r="W388" s="1519">
        <v>3056</v>
      </c>
      <c r="X388" s="1504">
        <v>0</v>
      </c>
      <c r="Y388" s="1520">
        <f t="shared" si="144"/>
        <v>3056</v>
      </c>
      <c r="Z388" s="1519">
        <v>0</v>
      </c>
      <c r="AA388" s="1504">
        <v>0</v>
      </c>
      <c r="AB388" s="1520">
        <f t="shared" si="145"/>
        <v>0</v>
      </c>
      <c r="AC388" s="1519"/>
      <c r="AD388" s="1504"/>
      <c r="AE388" s="1520"/>
      <c r="AF388" s="1519"/>
      <c r="AG388" s="1504"/>
      <c r="AH388" s="1520"/>
      <c r="AI388" s="1503">
        <f t="shared" si="146"/>
        <v>5500</v>
      </c>
      <c r="AJ388" s="1504">
        <f t="shared" si="146"/>
        <v>0</v>
      </c>
      <c r="AK388" s="3919">
        <v>0</v>
      </c>
      <c r="AL388" s="1505">
        <f t="shared" si="147"/>
        <v>5500</v>
      </c>
      <c r="AM388" s="1508" t="s">
        <v>2977</v>
      </c>
      <c r="AN388" s="3401">
        <v>43707</v>
      </c>
      <c r="AO388" s="3402" t="s">
        <v>7092</v>
      </c>
      <c r="AP388" s="2664" t="s">
        <v>6894</v>
      </c>
      <c r="AQ388" s="2806">
        <v>1.047839</v>
      </c>
      <c r="AR388" s="1506">
        <v>0</v>
      </c>
      <c r="AS388" s="1507">
        <v>0</v>
      </c>
      <c r="AT388" s="1507">
        <v>0</v>
      </c>
      <c r="AU388" s="1507">
        <v>0</v>
      </c>
      <c r="AV388" s="1507">
        <v>0</v>
      </c>
      <c r="AW388" s="3247">
        <f t="shared" si="140"/>
        <v>5624</v>
      </c>
      <c r="AX388" s="3146"/>
      <c r="BA388" s="267"/>
      <c r="BB388" s="267"/>
      <c r="BC388" s="4117">
        <f t="shared" si="129"/>
        <v>0</v>
      </c>
      <c r="BD388" s="4117">
        <f t="shared" ref="BD388:BD451" si="148">ROUND($AK388*$AQ388/$G388,0)</f>
        <v>0</v>
      </c>
    </row>
    <row r="389" spans="1:56" ht="76.5">
      <c r="A389" s="6035" t="s">
        <v>11135</v>
      </c>
      <c r="B389" s="3807" t="s">
        <v>7094</v>
      </c>
      <c r="C389" s="3808">
        <v>0</v>
      </c>
      <c r="D389" s="3809">
        <v>43451</v>
      </c>
      <c r="E389" s="3809" t="s">
        <v>6386</v>
      </c>
      <c r="F389" s="3810" t="s">
        <v>5757</v>
      </c>
      <c r="G389" s="3811">
        <v>1.0247219999999999</v>
      </c>
      <c r="H389" s="3812" t="s">
        <v>6091</v>
      </c>
      <c r="I389" s="3813" t="s">
        <v>6092</v>
      </c>
      <c r="J389" s="3814" t="s">
        <v>4306</v>
      </c>
      <c r="K389" s="3815">
        <v>44182</v>
      </c>
      <c r="L389" s="3813" t="s">
        <v>6093</v>
      </c>
      <c r="M389" s="3814" t="s">
        <v>6094</v>
      </c>
      <c r="N389" s="3813" t="s">
        <v>6095</v>
      </c>
      <c r="O389" s="3812" t="s">
        <v>6251</v>
      </c>
      <c r="P389" s="3816"/>
      <c r="Q389" s="6104" t="s">
        <v>5708</v>
      </c>
      <c r="R389" s="3814" t="s">
        <v>5350</v>
      </c>
      <c r="S389" s="3817"/>
      <c r="T389" s="3818">
        <v>2444</v>
      </c>
      <c r="U389" s="3819">
        <v>0</v>
      </c>
      <c r="V389" s="3820">
        <f t="shared" si="143"/>
        <v>2444</v>
      </c>
      <c r="W389" s="3818">
        <v>3056</v>
      </c>
      <c r="X389" s="3819">
        <v>0</v>
      </c>
      <c r="Y389" s="3820">
        <f t="shared" si="144"/>
        <v>3056</v>
      </c>
      <c r="Z389" s="3818">
        <v>611</v>
      </c>
      <c r="AA389" s="3819">
        <v>0</v>
      </c>
      <c r="AB389" s="3820">
        <f t="shared" si="145"/>
        <v>611</v>
      </c>
      <c r="AC389" s="3818"/>
      <c r="AD389" s="3819"/>
      <c r="AE389" s="3820"/>
      <c r="AF389" s="3818"/>
      <c r="AG389" s="3819"/>
      <c r="AH389" s="3820"/>
      <c r="AI389" s="3821">
        <f t="shared" si="146"/>
        <v>6111</v>
      </c>
      <c r="AJ389" s="3819">
        <f t="shared" si="146"/>
        <v>0</v>
      </c>
      <c r="AK389" s="3919">
        <v>0</v>
      </c>
      <c r="AL389" s="3822">
        <f t="shared" si="147"/>
        <v>6111</v>
      </c>
      <c r="AM389" s="3823" t="s">
        <v>7093</v>
      </c>
      <c r="AN389" s="3824">
        <v>43707</v>
      </c>
      <c r="AO389" s="3825" t="s">
        <v>7095</v>
      </c>
      <c r="AP389" s="3826" t="s">
        <v>6894</v>
      </c>
      <c r="AQ389" s="3827">
        <v>1.047839</v>
      </c>
      <c r="AR389" s="3828">
        <v>0</v>
      </c>
      <c r="AS389" s="3829">
        <v>0</v>
      </c>
      <c r="AT389" s="3829">
        <v>0</v>
      </c>
      <c r="AU389" s="3829">
        <v>0</v>
      </c>
      <c r="AV389" s="3829">
        <v>0</v>
      </c>
      <c r="AW389" s="3830">
        <v>2000</v>
      </c>
      <c r="AX389" s="3831"/>
      <c r="BA389" s="267"/>
      <c r="BB389" s="267"/>
      <c r="BC389" s="4117">
        <f t="shared" si="129"/>
        <v>0</v>
      </c>
      <c r="BD389" s="4117">
        <f t="shared" si="148"/>
        <v>0</v>
      </c>
    </row>
    <row r="390" spans="1:56" ht="90" thickBot="1">
      <c r="A390" s="6036" t="s">
        <v>11135</v>
      </c>
      <c r="B390" s="3832" t="s">
        <v>7098</v>
      </c>
      <c r="C390" s="3833">
        <v>0</v>
      </c>
      <c r="D390" s="3834">
        <v>43175</v>
      </c>
      <c r="E390" s="3834" t="s">
        <v>6385</v>
      </c>
      <c r="F390" s="3835" t="s">
        <v>6894</v>
      </c>
      <c r="G390" s="3836">
        <v>1.047839</v>
      </c>
      <c r="H390" s="3837" t="s">
        <v>5381</v>
      </c>
      <c r="I390" s="3838" t="s">
        <v>1433</v>
      </c>
      <c r="J390" s="3839" t="s">
        <v>1434</v>
      </c>
      <c r="K390" s="3840">
        <v>45367</v>
      </c>
      <c r="L390" s="3838" t="s">
        <v>5382</v>
      </c>
      <c r="M390" s="3839" t="s">
        <v>4394</v>
      </c>
      <c r="N390" s="3838" t="s">
        <v>5383</v>
      </c>
      <c r="O390" s="3837" t="s">
        <v>6307</v>
      </c>
      <c r="P390" s="3841" t="s">
        <v>7096</v>
      </c>
      <c r="Q390" s="3839" t="s">
        <v>5384</v>
      </c>
      <c r="R390" s="3839" t="s">
        <v>939</v>
      </c>
      <c r="S390" s="3842"/>
      <c r="T390" s="3843">
        <v>9715</v>
      </c>
      <c r="U390" s="3844">
        <v>0</v>
      </c>
      <c r="V390" s="3845">
        <f t="shared" si="143"/>
        <v>9715</v>
      </c>
      <c r="W390" s="3843">
        <v>12144</v>
      </c>
      <c r="X390" s="3844">
        <v>0</v>
      </c>
      <c r="Y390" s="3845">
        <f t="shared" si="144"/>
        <v>12144</v>
      </c>
      <c r="Z390" s="3843">
        <v>2428</v>
      </c>
      <c r="AA390" s="3844">
        <v>0</v>
      </c>
      <c r="AB390" s="3845">
        <f t="shared" si="145"/>
        <v>2428</v>
      </c>
      <c r="AC390" s="3843"/>
      <c r="AD390" s="3844"/>
      <c r="AE390" s="3845"/>
      <c r="AF390" s="3843"/>
      <c r="AG390" s="3844"/>
      <c r="AH390" s="3845"/>
      <c r="AI390" s="3846">
        <f>V390++Y390+AB390</f>
        <v>24287</v>
      </c>
      <c r="AJ390" s="3844">
        <f>U390+X390+AA390+AD390+AG390</f>
        <v>0</v>
      </c>
      <c r="AK390" s="3920">
        <v>0</v>
      </c>
      <c r="AL390" s="3847">
        <f>AI390-AJ390</f>
        <v>24287</v>
      </c>
      <c r="AM390" s="3848" t="s">
        <v>6768</v>
      </c>
      <c r="AN390" s="3849" t="s">
        <v>7107</v>
      </c>
      <c r="AO390" s="3850" t="s">
        <v>7106</v>
      </c>
      <c r="AP390" s="3851" t="s">
        <v>7097</v>
      </c>
      <c r="AQ390" s="3852">
        <v>1.047839</v>
      </c>
      <c r="AR390" s="3853">
        <v>0</v>
      </c>
      <c r="AS390" s="3854">
        <v>0</v>
      </c>
      <c r="AT390" s="3854">
        <v>0</v>
      </c>
      <c r="AU390" s="3854">
        <v>0</v>
      </c>
      <c r="AV390" s="3854">
        <v>0</v>
      </c>
      <c r="AW390" s="2884">
        <v>25269</v>
      </c>
      <c r="AX390" s="3855"/>
      <c r="AY390" s="4029" t="s">
        <v>6986</v>
      </c>
      <c r="AZ390" s="2118">
        <f>SUM(AW379:AW390)</f>
        <v>113559</v>
      </c>
      <c r="BA390" s="4028">
        <f>AZ390</f>
        <v>113559</v>
      </c>
      <c r="BB390" s="267"/>
      <c r="BC390" s="4117">
        <f t="shared" si="129"/>
        <v>0</v>
      </c>
      <c r="BD390" s="4117">
        <f t="shared" si="148"/>
        <v>0</v>
      </c>
    </row>
    <row r="391" spans="1:56" ht="129.75">
      <c r="A391" s="5964" t="s">
        <v>11141</v>
      </c>
      <c r="B391" s="2419" t="s">
        <v>7108</v>
      </c>
      <c r="C391" s="321">
        <v>0</v>
      </c>
      <c r="D391" s="323" t="s">
        <v>7057</v>
      </c>
      <c r="E391" s="3051" t="s">
        <v>7058</v>
      </c>
      <c r="F391" s="324" t="s">
        <v>7060</v>
      </c>
      <c r="G391" s="3856">
        <v>1.0247219999999999</v>
      </c>
      <c r="H391" s="332" t="s">
        <v>7065</v>
      </c>
      <c r="I391" s="339" t="s">
        <v>7061</v>
      </c>
      <c r="J391" s="322" t="s">
        <v>7062</v>
      </c>
      <c r="K391" s="340" t="s">
        <v>7063</v>
      </c>
      <c r="L391" s="339" t="s">
        <v>5944</v>
      </c>
      <c r="M391" s="322" t="s">
        <v>7059</v>
      </c>
      <c r="N391" s="339" t="s">
        <v>5323</v>
      </c>
      <c r="O391" s="332" t="s">
        <v>5945</v>
      </c>
      <c r="P391" s="345" t="s">
        <v>7064</v>
      </c>
      <c r="Q391" s="6094" t="s">
        <v>5324</v>
      </c>
      <c r="R391" s="322" t="s">
        <v>4477</v>
      </c>
      <c r="S391" s="346" t="s">
        <v>5972</v>
      </c>
      <c r="T391" s="347">
        <v>2444</v>
      </c>
      <c r="U391" s="326">
        <v>0</v>
      </c>
      <c r="V391" s="348">
        <f t="shared" si="143"/>
        <v>2444</v>
      </c>
      <c r="W391" s="347">
        <v>3056</v>
      </c>
      <c r="X391" s="326">
        <v>0</v>
      </c>
      <c r="Y391" s="348">
        <f t="shared" si="144"/>
        <v>3056</v>
      </c>
      <c r="Z391" s="347">
        <v>0</v>
      </c>
      <c r="AA391" s="326">
        <v>0</v>
      </c>
      <c r="AB391" s="348">
        <f t="shared" si="145"/>
        <v>0</v>
      </c>
      <c r="AC391" s="347"/>
      <c r="AD391" s="326"/>
      <c r="AE391" s="348"/>
      <c r="AF391" s="347"/>
      <c r="AG391" s="326"/>
      <c r="AH391" s="348"/>
      <c r="AI391" s="482">
        <f>T391+W391+Z391+AC391+AF391</f>
        <v>5500</v>
      </c>
      <c r="AJ391" s="326">
        <f>U391+X391+AA391+AD391+AG391</f>
        <v>0</v>
      </c>
      <c r="AK391" s="3917">
        <v>0</v>
      </c>
      <c r="AL391" s="349">
        <f>V391+Y391+AB391+AE391+AH391</f>
        <v>5500</v>
      </c>
      <c r="AM391" s="2002" t="s">
        <v>1061</v>
      </c>
      <c r="AN391" s="3357">
        <v>43713</v>
      </c>
      <c r="AO391" s="695" t="s">
        <v>7110</v>
      </c>
      <c r="AP391" s="2722" t="s">
        <v>6894</v>
      </c>
      <c r="AQ391" s="2723">
        <v>1.047839</v>
      </c>
      <c r="AR391" s="333">
        <v>0</v>
      </c>
      <c r="AS391" s="330">
        <v>0</v>
      </c>
      <c r="AT391" s="330">
        <v>0</v>
      </c>
      <c r="AU391" s="330">
        <v>0</v>
      </c>
      <c r="AV391" s="330">
        <v>0</v>
      </c>
      <c r="AW391" s="3156">
        <f>ROUND(AL391*AQ391/G391,0)</f>
        <v>5624</v>
      </c>
      <c r="AX391" s="3140"/>
      <c r="AY391" s="289"/>
      <c r="BA391" s="267"/>
      <c r="BB391" s="267"/>
      <c r="BC391" s="4117">
        <f t="shared" si="129"/>
        <v>0</v>
      </c>
      <c r="BD391" s="4117">
        <f t="shared" si="148"/>
        <v>0</v>
      </c>
    </row>
    <row r="392" spans="1:56" ht="89.25">
      <c r="A392" s="2418" t="s">
        <v>11135</v>
      </c>
      <c r="B392" s="338" t="s">
        <v>6899</v>
      </c>
      <c r="C392" s="321">
        <v>1</v>
      </c>
      <c r="D392" s="323" t="s">
        <v>6898</v>
      </c>
      <c r="E392" s="3051" t="s">
        <v>6386</v>
      </c>
      <c r="F392" s="324" t="s">
        <v>5757</v>
      </c>
      <c r="G392" s="2621">
        <v>1.0247219999999999</v>
      </c>
      <c r="H392" s="332" t="s">
        <v>6828</v>
      </c>
      <c r="I392" s="339" t="s">
        <v>1433</v>
      </c>
      <c r="J392" s="322" t="s">
        <v>1434</v>
      </c>
      <c r="K392" s="340">
        <v>45833</v>
      </c>
      <c r="L392" s="339" t="s">
        <v>6829</v>
      </c>
      <c r="M392" s="322" t="s">
        <v>6830</v>
      </c>
      <c r="N392" s="339" t="s">
        <v>6832</v>
      </c>
      <c r="O392" s="332" t="s">
        <v>6831</v>
      </c>
      <c r="P392" s="345" t="s">
        <v>6833</v>
      </c>
      <c r="Q392" s="322" t="s">
        <v>6900</v>
      </c>
      <c r="R392" s="322" t="s">
        <v>6834</v>
      </c>
      <c r="S392" s="346"/>
      <c r="T392" s="347">
        <v>17717</v>
      </c>
      <c r="U392" s="326">
        <v>0</v>
      </c>
      <c r="V392" s="348">
        <f t="shared" si="143"/>
        <v>17717</v>
      </c>
      <c r="W392" s="347">
        <v>3126</v>
      </c>
      <c r="X392" s="326">
        <v>0</v>
      </c>
      <c r="Y392" s="348">
        <f t="shared" si="144"/>
        <v>3126</v>
      </c>
      <c r="Z392" s="347">
        <v>154</v>
      </c>
      <c r="AA392" s="326">
        <v>0</v>
      </c>
      <c r="AB392" s="348">
        <f t="shared" si="145"/>
        <v>154</v>
      </c>
      <c r="AC392" s="347"/>
      <c r="AD392" s="326"/>
      <c r="AE392" s="348"/>
      <c r="AF392" s="347"/>
      <c r="AG392" s="326"/>
      <c r="AH392" s="348"/>
      <c r="AI392" s="482">
        <f>T392+W392+Z392+AC392+AF392</f>
        <v>20997</v>
      </c>
      <c r="AJ392" s="326">
        <f>U392+X392+AA392+AD392+AG392</f>
        <v>0</v>
      </c>
      <c r="AK392" s="3917">
        <v>0</v>
      </c>
      <c r="AL392" s="349">
        <f>V392+Y392+AB392+AE392+AH392</f>
        <v>20997</v>
      </c>
      <c r="AM392" s="2002" t="s">
        <v>1061</v>
      </c>
      <c r="AN392" s="3357">
        <v>43713</v>
      </c>
      <c r="AO392" s="695" t="s">
        <v>7111</v>
      </c>
      <c r="AP392" s="2722" t="s">
        <v>6894</v>
      </c>
      <c r="AQ392" s="2723">
        <v>1.047839</v>
      </c>
      <c r="AR392" s="333">
        <v>0</v>
      </c>
      <c r="AS392" s="330">
        <v>0</v>
      </c>
      <c r="AT392" s="330">
        <v>0</v>
      </c>
      <c r="AU392" s="330">
        <v>0</v>
      </c>
      <c r="AV392" s="330">
        <v>0</v>
      </c>
      <c r="AW392" s="3156">
        <f>ROUND(AL392*AQ392/G392,0)</f>
        <v>21471</v>
      </c>
      <c r="AX392" s="3140"/>
      <c r="BA392" s="267"/>
      <c r="BB392" s="267"/>
      <c r="BC392" s="4117">
        <f t="shared" si="129"/>
        <v>0</v>
      </c>
      <c r="BD392" s="4117">
        <f t="shared" si="148"/>
        <v>0</v>
      </c>
    </row>
    <row r="393" spans="1:56" ht="89.25">
      <c r="A393" s="2418" t="s">
        <v>11135</v>
      </c>
      <c r="B393" s="338" t="s">
        <v>7071</v>
      </c>
      <c r="C393" s="321">
        <v>0</v>
      </c>
      <c r="D393" s="323">
        <v>43423</v>
      </c>
      <c r="E393" s="3051" t="s">
        <v>6386</v>
      </c>
      <c r="F393" s="324" t="s">
        <v>5757</v>
      </c>
      <c r="G393" s="2621">
        <v>1.0247219999999999</v>
      </c>
      <c r="H393" s="332" t="s">
        <v>6010</v>
      </c>
      <c r="I393" s="339" t="s">
        <v>6012</v>
      </c>
      <c r="J393" s="322" t="s">
        <v>4306</v>
      </c>
      <c r="K393" s="340">
        <v>44154</v>
      </c>
      <c r="L393" s="339" t="s">
        <v>6013</v>
      </c>
      <c r="M393" s="322" t="s">
        <v>6014</v>
      </c>
      <c r="N393" s="339" t="s">
        <v>6011</v>
      </c>
      <c r="O393" s="332" t="s">
        <v>6014</v>
      </c>
      <c r="P393" s="345"/>
      <c r="Q393" s="6094" t="s">
        <v>5708</v>
      </c>
      <c r="R393" s="322" t="s">
        <v>5350</v>
      </c>
      <c r="S393" s="346" t="s">
        <v>5972</v>
      </c>
      <c r="T393" s="347">
        <v>2444</v>
      </c>
      <c r="U393" s="326">
        <v>0</v>
      </c>
      <c r="V393" s="348">
        <f t="shared" si="143"/>
        <v>2444</v>
      </c>
      <c r="W393" s="347">
        <v>3056</v>
      </c>
      <c r="X393" s="326">
        <v>0</v>
      </c>
      <c r="Y393" s="348">
        <f t="shared" si="144"/>
        <v>3056</v>
      </c>
      <c r="Z393" s="347">
        <v>0</v>
      </c>
      <c r="AA393" s="326">
        <v>0</v>
      </c>
      <c r="AB393" s="348">
        <f t="shared" si="145"/>
        <v>0</v>
      </c>
      <c r="AC393" s="347"/>
      <c r="AD393" s="326"/>
      <c r="AE393" s="348"/>
      <c r="AF393" s="347"/>
      <c r="AG393" s="326"/>
      <c r="AH393" s="348"/>
      <c r="AI393" s="482">
        <f>T393+W393+Z393+AC393+AF393</f>
        <v>5500</v>
      </c>
      <c r="AJ393" s="326">
        <f>U393+X393+AA393+AD393+AG393</f>
        <v>0</v>
      </c>
      <c r="AK393" s="3917">
        <v>0</v>
      </c>
      <c r="AL393" s="349">
        <f>V393+Y393+AB393+AE393+AH393</f>
        <v>5500</v>
      </c>
      <c r="AM393" s="2002" t="s">
        <v>1061</v>
      </c>
      <c r="AN393" s="3357">
        <v>43718</v>
      </c>
      <c r="AO393" s="695" t="s">
        <v>7117</v>
      </c>
      <c r="AP393" s="2722" t="s">
        <v>6894</v>
      </c>
      <c r="AQ393" s="2723">
        <v>1.047839</v>
      </c>
      <c r="AR393" s="333">
        <v>0</v>
      </c>
      <c r="AS393" s="330">
        <v>0</v>
      </c>
      <c r="AT393" s="330">
        <v>0</v>
      </c>
      <c r="AU393" s="330">
        <v>0</v>
      </c>
      <c r="AV393" s="330">
        <v>0</v>
      </c>
      <c r="AW393" s="3156">
        <f>ROUND(AL393*AQ393/G393,0)</f>
        <v>5624</v>
      </c>
      <c r="AX393" s="3140"/>
      <c r="BA393" s="267"/>
      <c r="BB393" s="267"/>
      <c r="BC393" s="4117">
        <f t="shared" si="129"/>
        <v>0</v>
      </c>
      <c r="BD393" s="4117">
        <f t="shared" si="148"/>
        <v>0</v>
      </c>
    </row>
    <row r="394" spans="1:56" ht="76.5">
      <c r="A394" s="6037" t="s">
        <v>11135</v>
      </c>
      <c r="B394" s="3858" t="s">
        <v>7094</v>
      </c>
      <c r="C394" s="3859">
        <v>0</v>
      </c>
      <c r="D394" s="3860">
        <v>43451</v>
      </c>
      <c r="E394" s="3860" t="s">
        <v>6386</v>
      </c>
      <c r="F394" s="3861" t="s">
        <v>5757</v>
      </c>
      <c r="G394" s="3862">
        <v>1.0247219999999999</v>
      </c>
      <c r="H394" s="3863" t="s">
        <v>6091</v>
      </c>
      <c r="I394" s="3864" t="s">
        <v>6092</v>
      </c>
      <c r="J394" s="3865" t="s">
        <v>4306</v>
      </c>
      <c r="K394" s="3866">
        <v>44182</v>
      </c>
      <c r="L394" s="3864" t="s">
        <v>6093</v>
      </c>
      <c r="M394" s="3865" t="s">
        <v>6094</v>
      </c>
      <c r="N394" s="3864" t="s">
        <v>6095</v>
      </c>
      <c r="O394" s="3863" t="s">
        <v>6251</v>
      </c>
      <c r="P394" s="3867"/>
      <c r="Q394" s="6104" t="s">
        <v>5708</v>
      </c>
      <c r="R394" s="3865" t="s">
        <v>5350</v>
      </c>
      <c r="S394" s="3868"/>
      <c r="T394" s="3869">
        <v>2444</v>
      </c>
      <c r="U394" s="3870">
        <v>0</v>
      </c>
      <c r="V394" s="3871">
        <f t="shared" si="143"/>
        <v>2444</v>
      </c>
      <c r="W394" s="3869">
        <v>3056</v>
      </c>
      <c r="X394" s="3870">
        <v>0</v>
      </c>
      <c r="Y394" s="3871">
        <f t="shared" si="144"/>
        <v>3056</v>
      </c>
      <c r="Z394" s="3869">
        <v>611</v>
      </c>
      <c r="AA394" s="3870">
        <v>0</v>
      </c>
      <c r="AB394" s="3871">
        <f t="shared" si="145"/>
        <v>611</v>
      </c>
      <c r="AC394" s="3869"/>
      <c r="AD394" s="3870"/>
      <c r="AE394" s="3871"/>
      <c r="AF394" s="3869"/>
      <c r="AG394" s="3870"/>
      <c r="AH394" s="3871"/>
      <c r="AI394" s="3872">
        <f>T394+W394+Z394+AC394+AF394</f>
        <v>6111</v>
      </c>
      <c r="AJ394" s="3870">
        <f>U394+X394+AA394+AD394+AG394</f>
        <v>0</v>
      </c>
      <c r="AK394" s="3917">
        <v>0</v>
      </c>
      <c r="AL394" s="3873">
        <f>V394+Y394+AB394+AE394+AH394</f>
        <v>6111</v>
      </c>
      <c r="AM394" s="3874" t="s">
        <v>7093</v>
      </c>
      <c r="AN394" s="3875">
        <v>43724</v>
      </c>
      <c r="AO394" s="3876" t="s">
        <v>7119</v>
      </c>
      <c r="AP394" s="3877" t="s">
        <v>6894</v>
      </c>
      <c r="AQ394" s="3878">
        <v>1.047839</v>
      </c>
      <c r="AR394" s="3879">
        <v>0</v>
      </c>
      <c r="AS394" s="3880">
        <v>0</v>
      </c>
      <c r="AT394" s="3880">
        <v>0</v>
      </c>
      <c r="AU394" s="3880">
        <v>0</v>
      </c>
      <c r="AV394" s="3880">
        <v>0</v>
      </c>
      <c r="AW394" s="3881">
        <v>2000</v>
      </c>
      <c r="AX394" s="3882"/>
      <c r="BA394" s="267"/>
      <c r="BB394" s="267"/>
      <c r="BC394" s="4117">
        <f t="shared" si="129"/>
        <v>0</v>
      </c>
      <c r="BD394" s="4117">
        <f t="shared" si="148"/>
        <v>0</v>
      </c>
    </row>
    <row r="395" spans="1:56" ht="102">
      <c r="A395" s="5964" t="s">
        <v>11141</v>
      </c>
      <c r="B395" s="338" t="s">
        <v>5932</v>
      </c>
      <c r="C395" s="321">
        <v>6</v>
      </c>
      <c r="D395" s="323" t="s">
        <v>6715</v>
      </c>
      <c r="E395" s="829" t="s">
        <v>6386</v>
      </c>
      <c r="F395" s="830" t="s">
        <v>5757</v>
      </c>
      <c r="G395" s="2621">
        <v>1.0247219999999999</v>
      </c>
      <c r="H395" s="332" t="s">
        <v>6716</v>
      </c>
      <c r="I395" s="339" t="s">
        <v>4235</v>
      </c>
      <c r="J395" s="322" t="s">
        <v>1434</v>
      </c>
      <c r="K395" s="340" t="s">
        <v>4260</v>
      </c>
      <c r="L395" s="339" t="s">
        <v>1119</v>
      </c>
      <c r="M395" s="322" t="s">
        <v>3301</v>
      </c>
      <c r="N395" s="339" t="s">
        <v>4967</v>
      </c>
      <c r="O395" s="332" t="s">
        <v>6192</v>
      </c>
      <c r="P395" s="345" t="s">
        <v>6052</v>
      </c>
      <c r="Q395" s="322" t="s">
        <v>5244</v>
      </c>
      <c r="R395" s="2054" t="s">
        <v>5245</v>
      </c>
      <c r="S395" s="346"/>
      <c r="T395" s="347">
        <v>5510</v>
      </c>
      <c r="U395" s="326">
        <v>0</v>
      </c>
      <c r="V395" s="348">
        <f t="shared" si="143"/>
        <v>5510</v>
      </c>
      <c r="W395" s="347">
        <v>0</v>
      </c>
      <c r="X395" s="326">
        <v>0</v>
      </c>
      <c r="Y395" s="348">
        <f t="shared" si="144"/>
        <v>0</v>
      </c>
      <c r="Z395" s="347">
        <v>34430</v>
      </c>
      <c r="AA395" s="326">
        <v>0</v>
      </c>
      <c r="AB395" s="348">
        <f t="shared" si="145"/>
        <v>34430</v>
      </c>
      <c r="AC395" s="347"/>
      <c r="AD395" s="326"/>
      <c r="AE395" s="348"/>
      <c r="AF395" s="347"/>
      <c r="AG395" s="326"/>
      <c r="AH395" s="348"/>
      <c r="AI395" s="482">
        <f>T395+W395+Z395+AC395+AF395</f>
        <v>39940</v>
      </c>
      <c r="AJ395" s="326">
        <f>U395+X395+AA395</f>
        <v>0</v>
      </c>
      <c r="AK395" s="3917">
        <v>0</v>
      </c>
      <c r="AL395" s="349">
        <f>V395+Y395+AB395+AE395+AH395</f>
        <v>39940</v>
      </c>
      <c r="AM395" s="2002" t="s">
        <v>1061</v>
      </c>
      <c r="AN395" s="3357">
        <v>43725</v>
      </c>
      <c r="AO395" s="695" t="s">
        <v>7121</v>
      </c>
      <c r="AP395" s="2722" t="s">
        <v>6894</v>
      </c>
      <c r="AQ395" s="2723">
        <v>1.047839</v>
      </c>
      <c r="AR395" s="333">
        <v>0</v>
      </c>
      <c r="AS395" s="330">
        <v>0</v>
      </c>
      <c r="AT395" s="330">
        <v>0</v>
      </c>
      <c r="AU395" s="330">
        <v>0</v>
      </c>
      <c r="AV395" s="330">
        <v>0</v>
      </c>
      <c r="AW395" s="3156">
        <f>ROUND(AL395*AQ395/G395,0)</f>
        <v>40841</v>
      </c>
      <c r="AX395" s="3140"/>
      <c r="BA395" s="267"/>
      <c r="BB395" s="267"/>
      <c r="BC395" s="4117">
        <f t="shared" si="129"/>
        <v>0</v>
      </c>
      <c r="BD395" s="4117">
        <f t="shared" si="148"/>
        <v>0</v>
      </c>
    </row>
    <row r="396" spans="1:56" ht="89.25">
      <c r="A396" s="2418" t="s">
        <v>11135</v>
      </c>
      <c r="B396" s="338" t="s">
        <v>7130</v>
      </c>
      <c r="C396" s="321">
        <v>0</v>
      </c>
      <c r="D396" s="323" t="s">
        <v>7089</v>
      </c>
      <c r="E396" s="3051" t="s">
        <v>6386</v>
      </c>
      <c r="F396" s="324" t="s">
        <v>7088</v>
      </c>
      <c r="G396" s="3207">
        <v>1.047839</v>
      </c>
      <c r="H396" s="332" t="s">
        <v>7038</v>
      </c>
      <c r="I396" s="339" t="s">
        <v>6039</v>
      </c>
      <c r="J396" s="322" t="s">
        <v>4306</v>
      </c>
      <c r="K396" s="340">
        <v>44161</v>
      </c>
      <c r="L396" s="339" t="s">
        <v>6040</v>
      </c>
      <c r="M396" s="322" t="s">
        <v>6041</v>
      </c>
      <c r="N396" s="339" t="s">
        <v>6042</v>
      </c>
      <c r="O396" s="332" t="s">
        <v>6257</v>
      </c>
      <c r="P396" s="345" t="s">
        <v>7091</v>
      </c>
      <c r="Q396" s="6094" t="s">
        <v>5708</v>
      </c>
      <c r="R396" s="322" t="s">
        <v>5350</v>
      </c>
      <c r="S396" s="346"/>
      <c r="T396" s="347">
        <v>2444</v>
      </c>
      <c r="U396" s="326">
        <v>0</v>
      </c>
      <c r="V396" s="348">
        <f t="shared" si="143"/>
        <v>2444</v>
      </c>
      <c r="W396" s="347">
        <v>3056</v>
      </c>
      <c r="X396" s="326">
        <v>0</v>
      </c>
      <c r="Y396" s="348">
        <f t="shared" si="144"/>
        <v>3056</v>
      </c>
      <c r="Z396" s="347">
        <v>611</v>
      </c>
      <c r="AA396" s="326">
        <v>0</v>
      </c>
      <c r="AB396" s="348">
        <f t="shared" si="145"/>
        <v>611</v>
      </c>
      <c r="AC396" s="347"/>
      <c r="AD396" s="326"/>
      <c r="AE396" s="348"/>
      <c r="AF396" s="347"/>
      <c r="AG396" s="326"/>
      <c r="AH396" s="348"/>
      <c r="AI396" s="482">
        <v>1641</v>
      </c>
      <c r="AJ396" s="326">
        <f>U396+X396+AA396+AD396+AG396</f>
        <v>0</v>
      </c>
      <c r="AK396" s="3917">
        <v>0</v>
      </c>
      <c r="AL396" s="349">
        <f>AI396-AJ396</f>
        <v>1641</v>
      </c>
      <c r="AM396" s="2002" t="s">
        <v>1061</v>
      </c>
      <c r="AN396" s="3357">
        <v>43731</v>
      </c>
      <c r="AO396" s="695" t="s">
        <v>7131</v>
      </c>
      <c r="AP396" s="2722" t="s">
        <v>6894</v>
      </c>
      <c r="AQ396" s="2723">
        <v>1.047839</v>
      </c>
      <c r="AR396" s="333">
        <v>0</v>
      </c>
      <c r="AS396" s="330">
        <v>0</v>
      </c>
      <c r="AT396" s="330">
        <v>0</v>
      </c>
      <c r="AU396" s="330">
        <v>0</v>
      </c>
      <c r="AV396" s="330">
        <v>0</v>
      </c>
      <c r="AW396" s="3156">
        <f>ROUND(AL396*AQ396/G396,0)</f>
        <v>1641</v>
      </c>
      <c r="AX396" s="3140"/>
      <c r="BA396" s="267"/>
      <c r="BB396" s="267"/>
      <c r="BC396" s="4117">
        <f t="shared" si="129"/>
        <v>0</v>
      </c>
      <c r="BD396" s="4117">
        <f t="shared" si="148"/>
        <v>0</v>
      </c>
    </row>
    <row r="397" spans="1:56" ht="76.5">
      <c r="A397" s="2418" t="s">
        <v>11135</v>
      </c>
      <c r="B397" s="338" t="s">
        <v>7133</v>
      </c>
      <c r="C397" s="321">
        <v>0</v>
      </c>
      <c r="D397" s="323">
        <v>43451</v>
      </c>
      <c r="E397" s="3051" t="s">
        <v>6386</v>
      </c>
      <c r="F397" s="324" t="s">
        <v>5757</v>
      </c>
      <c r="G397" s="2621">
        <v>1.0247219999999999</v>
      </c>
      <c r="H397" s="332" t="s">
        <v>6091</v>
      </c>
      <c r="I397" s="339" t="s">
        <v>6092</v>
      </c>
      <c r="J397" s="322" t="s">
        <v>4306</v>
      </c>
      <c r="K397" s="340">
        <v>44182</v>
      </c>
      <c r="L397" s="339" t="s">
        <v>6093</v>
      </c>
      <c r="M397" s="322" t="s">
        <v>6094</v>
      </c>
      <c r="N397" s="339" t="s">
        <v>6095</v>
      </c>
      <c r="O397" s="332" t="s">
        <v>6251</v>
      </c>
      <c r="P397" s="345"/>
      <c r="Q397" s="6094" t="s">
        <v>5708</v>
      </c>
      <c r="R397" s="322" t="s">
        <v>5350</v>
      </c>
      <c r="S397" s="346" t="s">
        <v>7118</v>
      </c>
      <c r="T397" s="347">
        <v>2444</v>
      </c>
      <c r="U397" s="326">
        <v>0</v>
      </c>
      <c r="V397" s="348">
        <f t="shared" si="143"/>
        <v>2444</v>
      </c>
      <c r="W397" s="347">
        <v>3056</v>
      </c>
      <c r="X397" s="326">
        <v>0</v>
      </c>
      <c r="Y397" s="348">
        <f t="shared" si="144"/>
        <v>3056</v>
      </c>
      <c r="Z397" s="347">
        <v>611</v>
      </c>
      <c r="AA397" s="326">
        <v>0</v>
      </c>
      <c r="AB397" s="348">
        <f t="shared" si="145"/>
        <v>611</v>
      </c>
      <c r="AC397" s="347"/>
      <c r="AD397" s="326"/>
      <c r="AE397" s="348"/>
      <c r="AF397" s="347"/>
      <c r="AG397" s="326"/>
      <c r="AH397" s="348"/>
      <c r="AI397" s="482">
        <f>T397+W397+Z397+AC397+AF397</f>
        <v>6111</v>
      </c>
      <c r="AJ397" s="326">
        <v>0</v>
      </c>
      <c r="AK397" s="3917">
        <v>0</v>
      </c>
      <c r="AL397" s="349">
        <f>V397+Y397+AB397+AE397+AH397</f>
        <v>6111</v>
      </c>
      <c r="AM397" s="2002" t="s">
        <v>7132</v>
      </c>
      <c r="AN397" s="3357">
        <v>43731</v>
      </c>
      <c r="AO397" s="3883" t="s">
        <v>7134</v>
      </c>
      <c r="AP397" s="2722" t="s">
        <v>6894</v>
      </c>
      <c r="AQ397" s="2723">
        <v>1.047839</v>
      </c>
      <c r="AR397" s="333">
        <v>0</v>
      </c>
      <c r="AS397" s="330">
        <v>0</v>
      </c>
      <c r="AT397" s="330">
        <v>0</v>
      </c>
      <c r="AU397" s="330">
        <v>0</v>
      </c>
      <c r="AV397" s="330">
        <v>0</v>
      </c>
      <c r="AW397" s="3156">
        <f>ROUND(AL397*AQ397/G397,0)-2000-2000</f>
        <v>2249</v>
      </c>
      <c r="AX397" s="3140"/>
      <c r="BA397" s="267"/>
      <c r="BB397" s="267"/>
      <c r="BC397" s="4117">
        <f t="shared" si="129"/>
        <v>0</v>
      </c>
      <c r="BD397" s="4117">
        <f t="shared" si="148"/>
        <v>0</v>
      </c>
    </row>
    <row r="398" spans="1:56" ht="51">
      <c r="A398" s="2418" t="s">
        <v>11135</v>
      </c>
      <c r="B398" s="338" t="s">
        <v>4570</v>
      </c>
      <c r="C398" s="321">
        <v>0</v>
      </c>
      <c r="D398" s="323">
        <v>42865</v>
      </c>
      <c r="E398" s="3051" t="s">
        <v>6385</v>
      </c>
      <c r="F398" s="324" t="s">
        <v>4154</v>
      </c>
      <c r="G398" s="2621">
        <v>1.0111000000000001</v>
      </c>
      <c r="H398" s="332" t="s">
        <v>4564</v>
      </c>
      <c r="I398" s="339" t="s">
        <v>1433</v>
      </c>
      <c r="J398" s="322" t="s">
        <v>1434</v>
      </c>
      <c r="K398" s="340">
        <v>44326</v>
      </c>
      <c r="L398" s="339" t="s">
        <v>4566</v>
      </c>
      <c r="M398" s="322" t="s">
        <v>4567</v>
      </c>
      <c r="N398" s="339" t="s">
        <v>4565</v>
      </c>
      <c r="O398" s="332" t="s">
        <v>6230</v>
      </c>
      <c r="P398" s="345"/>
      <c r="Q398" s="322" t="s">
        <v>4568</v>
      </c>
      <c r="R398" s="322" t="s">
        <v>4569</v>
      </c>
      <c r="S398" s="346"/>
      <c r="T398" s="347">
        <v>11648</v>
      </c>
      <c r="U398" s="326">
        <v>0</v>
      </c>
      <c r="V398" s="348">
        <f t="shared" si="143"/>
        <v>11648</v>
      </c>
      <c r="W398" s="347">
        <v>14560</v>
      </c>
      <c r="X398" s="326">
        <v>0</v>
      </c>
      <c r="Y398" s="348">
        <f t="shared" si="144"/>
        <v>14560</v>
      </c>
      <c r="Z398" s="347">
        <v>2912</v>
      </c>
      <c r="AA398" s="326">
        <v>0</v>
      </c>
      <c r="AB398" s="348">
        <f t="shared" si="145"/>
        <v>2912</v>
      </c>
      <c r="AC398" s="347"/>
      <c r="AD398" s="326"/>
      <c r="AE398" s="348"/>
      <c r="AF398" s="347"/>
      <c r="AG398" s="326"/>
      <c r="AH398" s="348"/>
      <c r="AI398" s="482">
        <f>T398+W398+Z398+AC398+AF398</f>
        <v>29120</v>
      </c>
      <c r="AJ398" s="326">
        <f>U398+X398+AA398+AD398+AG398</f>
        <v>0</v>
      </c>
      <c r="AK398" s="3917">
        <v>0</v>
      </c>
      <c r="AL398" s="349">
        <f>V398+Y398+AB398+AE398+AH398</f>
        <v>29120</v>
      </c>
      <c r="AM398" s="2002" t="s">
        <v>1061</v>
      </c>
      <c r="AN398" s="3357">
        <v>43731</v>
      </c>
      <c r="AO398" s="3883" t="s">
        <v>7135</v>
      </c>
      <c r="AP398" s="2722" t="s">
        <v>6894</v>
      </c>
      <c r="AQ398" s="2723">
        <v>1.047839</v>
      </c>
      <c r="AR398" s="333">
        <v>0</v>
      </c>
      <c r="AS398" s="330">
        <v>0</v>
      </c>
      <c r="AT398" s="330">
        <v>0</v>
      </c>
      <c r="AU398" s="330">
        <v>0</v>
      </c>
      <c r="AV398" s="330">
        <v>0</v>
      </c>
      <c r="AW398" s="3156">
        <f>ROUND(AL398*AQ398/G398,0)</f>
        <v>30178</v>
      </c>
      <c r="AX398" s="3140"/>
      <c r="BA398" s="267"/>
      <c r="BB398" s="267"/>
      <c r="BC398" s="4117">
        <f t="shared" si="129"/>
        <v>0</v>
      </c>
      <c r="BD398" s="4117">
        <f t="shared" si="148"/>
        <v>0</v>
      </c>
    </row>
    <row r="399" spans="1:56" ht="102">
      <c r="A399" s="5964" t="s">
        <v>11141</v>
      </c>
      <c r="B399" s="338" t="s">
        <v>7141</v>
      </c>
      <c r="C399" s="321">
        <v>0</v>
      </c>
      <c r="D399" s="323">
        <v>43318</v>
      </c>
      <c r="E399" s="3051" t="s">
        <v>6385</v>
      </c>
      <c r="F399" s="324" t="s">
        <v>5757</v>
      </c>
      <c r="G399" s="2621">
        <v>1.0247219999999999</v>
      </c>
      <c r="H399" s="3863" t="s">
        <v>5797</v>
      </c>
      <c r="I399" s="339" t="s">
        <v>5798</v>
      </c>
      <c r="J399" s="322" t="s">
        <v>4306</v>
      </c>
      <c r="K399" s="340">
        <v>44049</v>
      </c>
      <c r="L399" s="339" t="s">
        <v>5799</v>
      </c>
      <c r="M399" s="322" t="s">
        <v>5800</v>
      </c>
      <c r="N399" s="339" t="s">
        <v>5801</v>
      </c>
      <c r="O399" s="332" t="s">
        <v>5800</v>
      </c>
      <c r="P399" s="345" t="s">
        <v>7143</v>
      </c>
      <c r="Q399" s="6094" t="s">
        <v>5708</v>
      </c>
      <c r="R399" s="322" t="s">
        <v>5350</v>
      </c>
      <c r="S399" s="346"/>
      <c r="T399" s="347">
        <v>2344</v>
      </c>
      <c r="U399" s="326">
        <v>0</v>
      </c>
      <c r="V399" s="348">
        <f t="shared" si="143"/>
        <v>2344</v>
      </c>
      <c r="W399" s="347">
        <v>2930</v>
      </c>
      <c r="X399" s="326">
        <v>0</v>
      </c>
      <c r="Y399" s="348">
        <f t="shared" si="144"/>
        <v>2930</v>
      </c>
      <c r="Z399" s="347">
        <v>837</v>
      </c>
      <c r="AA399" s="326">
        <v>0</v>
      </c>
      <c r="AB399" s="348">
        <f t="shared" si="145"/>
        <v>837</v>
      </c>
      <c r="AC399" s="347"/>
      <c r="AD399" s="326"/>
      <c r="AE399" s="348"/>
      <c r="AF399" s="347"/>
      <c r="AG399" s="326"/>
      <c r="AH399" s="348"/>
      <c r="AI399" s="482">
        <f>T399+W399+Z399+AC399+AF399</f>
        <v>6111</v>
      </c>
      <c r="AJ399" s="326">
        <f>U399+X399+AA399+AD399+AG399</f>
        <v>0</v>
      </c>
      <c r="AK399" s="3917">
        <v>0</v>
      </c>
      <c r="AL399" s="349">
        <f>V399+Y399+AB399+AE399+AH399</f>
        <v>6111</v>
      </c>
      <c r="AM399" s="3884" t="s">
        <v>6768</v>
      </c>
      <c r="AN399" s="3885">
        <v>43732</v>
      </c>
      <c r="AO399" s="3887" t="s">
        <v>7144</v>
      </c>
      <c r="AP399" s="3877" t="s">
        <v>7142</v>
      </c>
      <c r="AQ399" s="3878">
        <v>1.047839</v>
      </c>
      <c r="AR399" s="3879">
        <v>0</v>
      </c>
      <c r="AS399" s="3880">
        <v>0</v>
      </c>
      <c r="AT399" s="3880">
        <v>0</v>
      </c>
      <c r="AU399" s="3880">
        <v>0</v>
      </c>
      <c r="AV399" s="3880">
        <v>0</v>
      </c>
      <c r="AW399" s="3886">
        <v>6298</v>
      </c>
      <c r="AX399" s="3140"/>
      <c r="BA399" s="267"/>
      <c r="BB399" s="267"/>
      <c r="BC399" s="4117">
        <f t="shared" si="129"/>
        <v>0</v>
      </c>
      <c r="BD399" s="4117">
        <f t="shared" si="148"/>
        <v>0</v>
      </c>
    </row>
    <row r="400" spans="1:56" ht="102.75" thickBot="1">
      <c r="A400" s="2418" t="s">
        <v>11135</v>
      </c>
      <c r="B400" s="338" t="s">
        <v>5732</v>
      </c>
      <c r="C400" s="321">
        <v>0</v>
      </c>
      <c r="D400" s="323">
        <v>43726</v>
      </c>
      <c r="E400" s="829" t="s">
        <v>6386</v>
      </c>
      <c r="F400" s="3774" t="s">
        <v>6893</v>
      </c>
      <c r="G400" s="2620">
        <v>1.047839</v>
      </c>
      <c r="H400" s="332" t="s">
        <v>7122</v>
      </c>
      <c r="I400" s="339" t="s">
        <v>1433</v>
      </c>
      <c r="J400" s="322" t="s">
        <v>1434</v>
      </c>
      <c r="K400" s="340">
        <v>45918</v>
      </c>
      <c r="L400" s="339" t="s">
        <v>3991</v>
      </c>
      <c r="M400" s="322" t="s">
        <v>7123</v>
      </c>
      <c r="N400" s="339" t="s">
        <v>4164</v>
      </c>
      <c r="O400" s="332" t="s">
        <v>7124</v>
      </c>
      <c r="P400" s="345"/>
      <c r="Q400" s="322" t="s">
        <v>8819</v>
      </c>
      <c r="R400" s="322" t="s">
        <v>8820</v>
      </c>
      <c r="S400" s="346"/>
      <c r="T400" s="347"/>
      <c r="U400" s="326"/>
      <c r="V400" s="348"/>
      <c r="W400" s="347"/>
      <c r="X400" s="326"/>
      <c r="Y400" s="348"/>
      <c r="Z400" s="347"/>
      <c r="AA400" s="326"/>
      <c r="AB400" s="348"/>
      <c r="AC400" s="347"/>
      <c r="AD400" s="326"/>
      <c r="AE400" s="348"/>
      <c r="AF400" s="347"/>
      <c r="AG400" s="326"/>
      <c r="AH400" s="348"/>
      <c r="AI400" s="482">
        <v>453</v>
      </c>
      <c r="AJ400" s="326">
        <v>0</v>
      </c>
      <c r="AK400" s="3917">
        <v>0</v>
      </c>
      <c r="AL400" s="349">
        <f>AI400-AJ400</f>
        <v>453</v>
      </c>
      <c r="AM400" s="2002" t="s">
        <v>1061</v>
      </c>
      <c r="AN400" s="3357">
        <v>43735</v>
      </c>
      <c r="AO400" s="695" t="s">
        <v>7158</v>
      </c>
      <c r="AP400" s="2722" t="s">
        <v>6894</v>
      </c>
      <c r="AQ400" s="2723">
        <v>1.047839</v>
      </c>
      <c r="AR400" s="333"/>
      <c r="AS400" s="330"/>
      <c r="AT400" s="330"/>
      <c r="AU400" s="330"/>
      <c r="AV400" s="330"/>
      <c r="AW400" s="3156">
        <f t="shared" ref="AW400:AW419" si="149">ROUND(AL400*AQ400/G400,0)</f>
        <v>453</v>
      </c>
      <c r="AX400" s="3140"/>
      <c r="AY400" s="4031" t="s">
        <v>7109</v>
      </c>
      <c r="AZ400" s="3857">
        <f>SUM(AW391:AW400)</f>
        <v>116379</v>
      </c>
      <c r="BA400" s="4028">
        <f>AZ400</f>
        <v>116379</v>
      </c>
      <c r="BB400" s="267"/>
      <c r="BC400" s="4117">
        <f t="shared" si="129"/>
        <v>0</v>
      </c>
      <c r="BD400" s="4117">
        <f t="shared" si="148"/>
        <v>0</v>
      </c>
    </row>
    <row r="401" spans="1:57" ht="76.5">
      <c r="A401" s="5981" t="s">
        <v>11135</v>
      </c>
      <c r="B401" s="1538" t="s">
        <v>7169</v>
      </c>
      <c r="C401" s="1509">
        <v>0</v>
      </c>
      <c r="D401" s="1510">
        <v>43571</v>
      </c>
      <c r="E401" s="3053" t="s">
        <v>6386</v>
      </c>
      <c r="F401" s="1511" t="s">
        <v>5757</v>
      </c>
      <c r="G401" s="2663">
        <v>1.0247219999999999</v>
      </c>
      <c r="H401" s="1513" t="s">
        <v>6618</v>
      </c>
      <c r="I401" s="1514" t="s">
        <v>6619</v>
      </c>
      <c r="J401" s="1515" t="s">
        <v>4306</v>
      </c>
      <c r="K401" s="1516">
        <v>44302</v>
      </c>
      <c r="L401" s="1514" t="s">
        <v>6620</v>
      </c>
      <c r="M401" s="1515" t="s">
        <v>6621</v>
      </c>
      <c r="N401" s="1514" t="s">
        <v>6622</v>
      </c>
      <c r="O401" s="1513" t="s">
        <v>6623</v>
      </c>
      <c r="P401" s="1517"/>
      <c r="Q401" s="6094" t="s">
        <v>5708</v>
      </c>
      <c r="R401" s="1515" t="s">
        <v>5350</v>
      </c>
      <c r="S401" s="1518" t="s">
        <v>5972</v>
      </c>
      <c r="T401" s="1519">
        <v>2444</v>
      </c>
      <c r="U401" s="1504">
        <v>0</v>
      </c>
      <c r="V401" s="1520">
        <f>T401-U401</f>
        <v>2444</v>
      </c>
      <c r="W401" s="1519">
        <v>3056</v>
      </c>
      <c r="X401" s="1504">
        <v>0</v>
      </c>
      <c r="Y401" s="1520">
        <f>W401-X401</f>
        <v>3056</v>
      </c>
      <c r="Z401" s="1519">
        <v>0</v>
      </c>
      <c r="AA401" s="1504">
        <v>0</v>
      </c>
      <c r="AB401" s="1520">
        <f>Z401-AA401</f>
        <v>0</v>
      </c>
      <c r="AC401" s="1519"/>
      <c r="AD401" s="1504"/>
      <c r="AE401" s="1520"/>
      <c r="AF401" s="1519"/>
      <c r="AG401" s="1504"/>
      <c r="AH401" s="1520"/>
      <c r="AI401" s="1503">
        <f>T401+W401+Z401+AC401+AF401</f>
        <v>5500</v>
      </c>
      <c r="AJ401" s="1504">
        <f>U401+X401+AA401+AD401+AG401</f>
        <v>0</v>
      </c>
      <c r="AK401" s="3919">
        <v>0</v>
      </c>
      <c r="AL401" s="1505">
        <f>V401+Y401+AB401+AE401+AH401</f>
        <v>5500</v>
      </c>
      <c r="AM401" s="1508" t="s">
        <v>1061</v>
      </c>
      <c r="AN401" s="3401">
        <v>43740</v>
      </c>
      <c r="AO401" s="3402" t="s">
        <v>7166</v>
      </c>
      <c r="AP401" s="2664" t="s">
        <v>6894</v>
      </c>
      <c r="AQ401" s="2806">
        <v>1.047839</v>
      </c>
      <c r="AR401" s="1506">
        <v>0</v>
      </c>
      <c r="AS401" s="1507">
        <v>0</v>
      </c>
      <c r="AT401" s="1507">
        <v>0</v>
      </c>
      <c r="AU401" s="1507">
        <v>0</v>
      </c>
      <c r="AV401" s="1507">
        <v>0</v>
      </c>
      <c r="AW401" s="3247">
        <f t="shared" si="149"/>
        <v>5624</v>
      </c>
      <c r="AX401" s="3146"/>
      <c r="AY401" s="3635"/>
      <c r="AZ401" s="4030"/>
      <c r="BA401" s="267"/>
      <c r="BB401" s="267"/>
      <c r="BC401" s="4117">
        <f t="shared" si="129"/>
        <v>0</v>
      </c>
      <c r="BD401" s="4117">
        <f t="shared" si="148"/>
        <v>0</v>
      </c>
    </row>
    <row r="402" spans="1:57" ht="76.5">
      <c r="A402" s="5981" t="s">
        <v>11135</v>
      </c>
      <c r="B402" s="1538" t="s">
        <v>7170</v>
      </c>
      <c r="C402" s="1509">
        <v>0</v>
      </c>
      <c r="D402" s="1510">
        <v>43728</v>
      </c>
      <c r="E402" s="2300" t="s">
        <v>6386</v>
      </c>
      <c r="F402" s="3798" t="s">
        <v>6893</v>
      </c>
      <c r="G402" s="3110">
        <v>1.047839</v>
      </c>
      <c r="H402" s="1513" t="s">
        <v>7136</v>
      </c>
      <c r="I402" s="1514" t="s">
        <v>1433</v>
      </c>
      <c r="J402" s="1515" t="s">
        <v>1434</v>
      </c>
      <c r="K402" s="1516">
        <v>45920</v>
      </c>
      <c r="L402" s="1514" t="s">
        <v>7137</v>
      </c>
      <c r="M402" s="1515" t="s">
        <v>4394</v>
      </c>
      <c r="N402" s="1514" t="s">
        <v>7138</v>
      </c>
      <c r="O402" s="1513" t="s">
        <v>7139</v>
      </c>
      <c r="P402" s="1517"/>
      <c r="Q402" s="1515" t="s">
        <v>7156</v>
      </c>
      <c r="R402" s="1515" t="s">
        <v>7140</v>
      </c>
      <c r="S402" s="1518"/>
      <c r="T402" s="1519"/>
      <c r="U402" s="1504"/>
      <c r="V402" s="1520"/>
      <c r="W402" s="1519"/>
      <c r="X402" s="1504"/>
      <c r="Y402" s="1520"/>
      <c r="Z402" s="1519"/>
      <c r="AA402" s="1504"/>
      <c r="AB402" s="1520"/>
      <c r="AC402" s="1519"/>
      <c r="AD402" s="1504"/>
      <c r="AE402" s="1520"/>
      <c r="AF402" s="1519"/>
      <c r="AG402" s="1504"/>
      <c r="AH402" s="1520"/>
      <c r="AI402" s="1503">
        <v>637</v>
      </c>
      <c r="AJ402" s="1504">
        <v>0</v>
      </c>
      <c r="AK402" s="3919">
        <v>0</v>
      </c>
      <c r="AL402" s="1505">
        <f>AI402-AJ402</f>
        <v>637</v>
      </c>
      <c r="AM402" s="1508" t="s">
        <v>2977</v>
      </c>
      <c r="AN402" s="3401">
        <v>43746</v>
      </c>
      <c r="AO402" s="3402" t="s">
        <v>7168</v>
      </c>
      <c r="AP402" s="2664" t="s">
        <v>6894</v>
      </c>
      <c r="AQ402" s="2806">
        <v>1.047839</v>
      </c>
      <c r="AR402" s="1506"/>
      <c r="AS402" s="1507"/>
      <c r="AT402" s="1507"/>
      <c r="AU402" s="1507"/>
      <c r="AV402" s="1507"/>
      <c r="AW402" s="3247">
        <f t="shared" si="149"/>
        <v>637</v>
      </c>
      <c r="AX402" s="3146"/>
      <c r="BA402" s="267"/>
      <c r="BB402" s="267"/>
      <c r="BC402" s="4117">
        <f t="shared" si="129"/>
        <v>0</v>
      </c>
      <c r="BD402" s="4117">
        <f t="shared" si="148"/>
        <v>0</v>
      </c>
    </row>
    <row r="403" spans="1:57" ht="102">
      <c r="A403" s="5978" t="s">
        <v>11141</v>
      </c>
      <c r="B403" s="1538" t="s">
        <v>5934</v>
      </c>
      <c r="C403" s="1509">
        <v>6</v>
      </c>
      <c r="D403" s="1510" t="s">
        <v>6715</v>
      </c>
      <c r="E403" s="2300" t="s">
        <v>6386</v>
      </c>
      <c r="F403" s="2497" t="s">
        <v>5757</v>
      </c>
      <c r="G403" s="2663">
        <v>1.0247219999999999</v>
      </c>
      <c r="H403" s="1513" t="s">
        <v>6716</v>
      </c>
      <c r="I403" s="1514" t="s">
        <v>4235</v>
      </c>
      <c r="J403" s="1515" t="s">
        <v>1434</v>
      </c>
      <c r="K403" s="1516" t="s">
        <v>4260</v>
      </c>
      <c r="L403" s="1514" t="s">
        <v>1119</v>
      </c>
      <c r="M403" s="1515" t="s">
        <v>3301</v>
      </c>
      <c r="N403" s="1514" t="s">
        <v>4967</v>
      </c>
      <c r="O403" s="1513" t="s">
        <v>6192</v>
      </c>
      <c r="P403" s="1517" t="s">
        <v>6052</v>
      </c>
      <c r="Q403" s="1515" t="s">
        <v>5246</v>
      </c>
      <c r="R403" s="2145" t="s">
        <v>5245</v>
      </c>
      <c r="S403" s="1518"/>
      <c r="T403" s="1519">
        <v>6329</v>
      </c>
      <c r="U403" s="1504">
        <v>0</v>
      </c>
      <c r="V403" s="1520">
        <f t="shared" ref="V403:V409" si="150">T403-U403</f>
        <v>6329</v>
      </c>
      <c r="W403" s="1519">
        <v>0</v>
      </c>
      <c r="X403" s="1504">
        <v>0</v>
      </c>
      <c r="Y403" s="1520">
        <f t="shared" ref="Y403:Y409" si="151">W403-X403</f>
        <v>0</v>
      </c>
      <c r="Z403" s="1519">
        <v>39552</v>
      </c>
      <c r="AA403" s="1504">
        <v>0</v>
      </c>
      <c r="AB403" s="1520">
        <f t="shared" ref="AB403:AB409" si="152">Z403-AA403</f>
        <v>39552</v>
      </c>
      <c r="AC403" s="1519"/>
      <c r="AD403" s="1504"/>
      <c r="AE403" s="1520"/>
      <c r="AF403" s="1519"/>
      <c r="AG403" s="1504"/>
      <c r="AH403" s="1520"/>
      <c r="AI403" s="1503">
        <f>T403+W403+Z403+AC403+AF403</f>
        <v>45881</v>
      </c>
      <c r="AJ403" s="1504">
        <f>U403+X403+AA403</f>
        <v>0</v>
      </c>
      <c r="AK403" s="3919">
        <v>0</v>
      </c>
      <c r="AL403" s="1505">
        <f>V403+Y403+AB403+AE403+AH403</f>
        <v>45881</v>
      </c>
      <c r="AM403" s="1508" t="s">
        <v>7197</v>
      </c>
      <c r="AN403" s="3401">
        <v>43756</v>
      </c>
      <c r="AO403" s="3402" t="s">
        <v>7198</v>
      </c>
      <c r="AP403" s="2664" t="s">
        <v>6894</v>
      </c>
      <c r="AQ403" s="2806">
        <v>1.047839</v>
      </c>
      <c r="AR403" s="1506">
        <v>0</v>
      </c>
      <c r="AS403" s="1507">
        <v>0</v>
      </c>
      <c r="AT403" s="1507">
        <v>0</v>
      </c>
      <c r="AU403" s="1507">
        <v>0</v>
      </c>
      <c r="AV403" s="1507">
        <v>0</v>
      </c>
      <c r="AW403" s="3247">
        <f t="shared" si="149"/>
        <v>46916</v>
      </c>
      <c r="AX403" s="3146"/>
      <c r="BA403" s="267"/>
      <c r="BB403" s="267"/>
      <c r="BC403" s="4117">
        <f t="shared" si="129"/>
        <v>0</v>
      </c>
      <c r="BD403" s="4117">
        <f t="shared" si="148"/>
        <v>0</v>
      </c>
    </row>
    <row r="404" spans="1:57" ht="38.25">
      <c r="A404" s="5981" t="s">
        <v>11135</v>
      </c>
      <c r="B404" s="1538" t="s">
        <v>4545</v>
      </c>
      <c r="C404" s="1509">
        <v>0</v>
      </c>
      <c r="D404" s="1510">
        <v>43299</v>
      </c>
      <c r="E404" s="3053" t="s">
        <v>6385</v>
      </c>
      <c r="F404" s="1511" t="s">
        <v>5757</v>
      </c>
      <c r="G404" s="2663">
        <v>1.0247219999999999</v>
      </c>
      <c r="H404" s="1513" t="s">
        <v>5766</v>
      </c>
      <c r="I404" s="1514" t="s">
        <v>1433</v>
      </c>
      <c r="J404" s="1515" t="s">
        <v>1434</v>
      </c>
      <c r="K404" s="1516">
        <v>45491</v>
      </c>
      <c r="L404" s="1514" t="s">
        <v>5767</v>
      </c>
      <c r="M404" s="1515" t="s">
        <v>4731</v>
      </c>
      <c r="N404" s="1514" t="s">
        <v>5768</v>
      </c>
      <c r="O404" s="1513" t="s">
        <v>5769</v>
      </c>
      <c r="P404" s="1517"/>
      <c r="Q404" s="1515" t="s">
        <v>5483</v>
      </c>
      <c r="R404" s="1515" t="s">
        <v>5770</v>
      </c>
      <c r="S404" s="1518"/>
      <c r="T404" s="1519">
        <v>6886</v>
      </c>
      <c r="U404" s="1504">
        <v>0</v>
      </c>
      <c r="V404" s="1520">
        <f t="shared" si="150"/>
        <v>6886</v>
      </c>
      <c r="W404" s="1519">
        <v>8608</v>
      </c>
      <c r="X404" s="1504">
        <v>0</v>
      </c>
      <c r="Y404" s="1520">
        <f t="shared" si="151"/>
        <v>8608</v>
      </c>
      <c r="Z404" s="1519">
        <v>1721</v>
      </c>
      <c r="AA404" s="1504">
        <v>0</v>
      </c>
      <c r="AB404" s="1520">
        <f t="shared" si="152"/>
        <v>1721</v>
      </c>
      <c r="AC404" s="1519"/>
      <c r="AD404" s="1504"/>
      <c r="AE404" s="1520"/>
      <c r="AF404" s="1519"/>
      <c r="AG404" s="1504"/>
      <c r="AH404" s="1520"/>
      <c r="AI404" s="1503">
        <f>T404+W404+Z404+AC404+AF404</f>
        <v>17215</v>
      </c>
      <c r="AJ404" s="1504">
        <f t="shared" ref="AJ404:AJ409" si="153">U404+X404+AA404+AD404+AG404</f>
        <v>0</v>
      </c>
      <c r="AK404" s="3919">
        <v>0</v>
      </c>
      <c r="AL404" s="1505">
        <f t="shared" ref="AL404:AL422" si="154">AI404-AJ404-AK404</f>
        <v>17215</v>
      </c>
      <c r="AM404" s="1508" t="s">
        <v>1061</v>
      </c>
      <c r="AN404" s="3401">
        <v>43762</v>
      </c>
      <c r="AO404" s="3402" t="s">
        <v>7244</v>
      </c>
      <c r="AP404" s="2664" t="s">
        <v>6894</v>
      </c>
      <c r="AQ404" s="2806">
        <v>1.047839</v>
      </c>
      <c r="AR404" s="1506">
        <v>0</v>
      </c>
      <c r="AS404" s="1507">
        <v>0</v>
      </c>
      <c r="AT404" s="1507">
        <v>0</v>
      </c>
      <c r="AU404" s="1507">
        <v>0</v>
      </c>
      <c r="AV404" s="1507">
        <v>0</v>
      </c>
      <c r="AW404" s="3247">
        <f t="shared" si="149"/>
        <v>17603</v>
      </c>
      <c r="AX404" s="3146"/>
      <c r="BA404" s="267"/>
      <c r="BB404" s="267"/>
      <c r="BC404" s="4117">
        <f t="shared" si="129"/>
        <v>0</v>
      </c>
      <c r="BD404" s="4117">
        <f t="shared" si="148"/>
        <v>0</v>
      </c>
    </row>
    <row r="405" spans="1:57" ht="76.5">
      <c r="A405" s="5981" t="s">
        <v>11135</v>
      </c>
      <c r="B405" s="2546" t="s">
        <v>7251</v>
      </c>
      <c r="C405" s="1509">
        <v>0</v>
      </c>
      <c r="D405" s="1510">
        <v>43486</v>
      </c>
      <c r="E405" s="3053" t="s">
        <v>6386</v>
      </c>
      <c r="F405" s="1511" t="s">
        <v>5757</v>
      </c>
      <c r="G405" s="2663">
        <v>1.0247219999999999</v>
      </c>
      <c r="H405" s="1513" t="s">
        <v>6145</v>
      </c>
      <c r="I405" s="1514" t="s">
        <v>6146</v>
      </c>
      <c r="J405" s="1515" t="s">
        <v>4306</v>
      </c>
      <c r="K405" s="1516">
        <v>44217</v>
      </c>
      <c r="L405" s="1514" t="s">
        <v>6147</v>
      </c>
      <c r="M405" s="1515" t="s">
        <v>6149</v>
      </c>
      <c r="N405" s="1514" t="s">
        <v>7243</v>
      </c>
      <c r="O405" s="1513" t="s">
        <v>6255</v>
      </c>
      <c r="P405" s="1517"/>
      <c r="Q405" s="6094" t="s">
        <v>5708</v>
      </c>
      <c r="R405" s="1515" t="s">
        <v>5350</v>
      </c>
      <c r="S405" s="1518"/>
      <c r="T405" s="1519">
        <v>2444</v>
      </c>
      <c r="U405" s="1504">
        <v>0</v>
      </c>
      <c r="V405" s="1520">
        <f t="shared" si="150"/>
        <v>2444</v>
      </c>
      <c r="W405" s="1519">
        <v>3056</v>
      </c>
      <c r="X405" s="1504">
        <v>0</v>
      </c>
      <c r="Y405" s="1520">
        <f t="shared" si="151"/>
        <v>3056</v>
      </c>
      <c r="Z405" s="1519">
        <v>611</v>
      </c>
      <c r="AA405" s="1504">
        <v>0</v>
      </c>
      <c r="AB405" s="1520">
        <f t="shared" si="152"/>
        <v>611</v>
      </c>
      <c r="AC405" s="1519"/>
      <c r="AD405" s="1504"/>
      <c r="AE405" s="1520"/>
      <c r="AF405" s="1519"/>
      <c r="AG405" s="1504"/>
      <c r="AH405" s="1520"/>
      <c r="AI405" s="1503">
        <f>T405+W405+Z405+AC405+AF405</f>
        <v>6111</v>
      </c>
      <c r="AJ405" s="1504">
        <f t="shared" si="153"/>
        <v>0</v>
      </c>
      <c r="AK405" s="3919">
        <v>0</v>
      </c>
      <c r="AL405" s="1505">
        <f t="shared" si="154"/>
        <v>6111</v>
      </c>
      <c r="AM405" s="1508" t="s">
        <v>1061</v>
      </c>
      <c r="AN405" s="3401">
        <v>43766</v>
      </c>
      <c r="AO405" s="3402" t="s">
        <v>7252</v>
      </c>
      <c r="AP405" s="2664" t="s">
        <v>6894</v>
      </c>
      <c r="AQ405" s="2806">
        <v>1.047839</v>
      </c>
      <c r="AR405" s="1506">
        <v>0</v>
      </c>
      <c r="AS405" s="1507">
        <v>0</v>
      </c>
      <c r="AT405" s="1507">
        <v>0</v>
      </c>
      <c r="AU405" s="1507">
        <v>0</v>
      </c>
      <c r="AV405" s="1507">
        <v>0</v>
      </c>
      <c r="AW405" s="3247">
        <f t="shared" si="149"/>
        <v>6249</v>
      </c>
      <c r="AX405" s="3146"/>
      <c r="BA405" s="267"/>
      <c r="BB405" s="267"/>
      <c r="BC405" s="4117">
        <f t="shared" si="129"/>
        <v>0</v>
      </c>
      <c r="BD405" s="4117">
        <f t="shared" si="148"/>
        <v>0</v>
      </c>
    </row>
    <row r="406" spans="1:57" ht="90" thickBot="1">
      <c r="A406" s="6038" t="s">
        <v>11141</v>
      </c>
      <c r="B406" s="3723" t="s">
        <v>7322</v>
      </c>
      <c r="C406" s="3724">
        <v>1</v>
      </c>
      <c r="D406" s="3725" t="s">
        <v>5919</v>
      </c>
      <c r="E406" s="3725" t="s">
        <v>6385</v>
      </c>
      <c r="F406" s="4077" t="s">
        <v>7171</v>
      </c>
      <c r="G406" s="3726">
        <v>1.047839</v>
      </c>
      <c r="H406" s="4136" t="s">
        <v>5758</v>
      </c>
      <c r="I406" s="3728" t="s">
        <v>5759</v>
      </c>
      <c r="J406" s="3729" t="s">
        <v>4306</v>
      </c>
      <c r="K406" s="4137">
        <v>44029</v>
      </c>
      <c r="L406" s="3728" t="s">
        <v>5760</v>
      </c>
      <c r="M406" s="3729" t="s">
        <v>5761</v>
      </c>
      <c r="N406" s="3728" t="s">
        <v>5762</v>
      </c>
      <c r="O406" s="4136" t="s">
        <v>6297</v>
      </c>
      <c r="P406" s="3731" t="s">
        <v>7176</v>
      </c>
      <c r="Q406" s="6105" t="s">
        <v>5708</v>
      </c>
      <c r="R406" s="3729" t="s">
        <v>5350</v>
      </c>
      <c r="S406" s="4138"/>
      <c r="T406" s="3733">
        <v>2444</v>
      </c>
      <c r="U406" s="3734">
        <v>0</v>
      </c>
      <c r="V406" s="4139">
        <f t="shared" si="150"/>
        <v>2444</v>
      </c>
      <c r="W406" s="3733">
        <v>3056</v>
      </c>
      <c r="X406" s="3734">
        <v>0</v>
      </c>
      <c r="Y406" s="4139">
        <f t="shared" si="151"/>
        <v>3056</v>
      </c>
      <c r="Z406" s="3733">
        <v>0</v>
      </c>
      <c r="AA406" s="3734">
        <v>0</v>
      </c>
      <c r="AB406" s="4139">
        <f t="shared" si="152"/>
        <v>0</v>
      </c>
      <c r="AC406" s="3733"/>
      <c r="AD406" s="3734"/>
      <c r="AE406" s="4139"/>
      <c r="AF406" s="3733"/>
      <c r="AG406" s="3734"/>
      <c r="AH406" s="4139"/>
      <c r="AI406" s="3739">
        <v>1477</v>
      </c>
      <c r="AJ406" s="3734">
        <f t="shared" si="153"/>
        <v>0</v>
      </c>
      <c r="AK406" s="4140">
        <v>0</v>
      </c>
      <c r="AL406" s="4141">
        <f t="shared" si="154"/>
        <v>1477</v>
      </c>
      <c r="AM406" s="3741" t="s">
        <v>1061</v>
      </c>
      <c r="AN406" s="3742">
        <v>43767</v>
      </c>
      <c r="AO406" s="3743" t="s">
        <v>7295</v>
      </c>
      <c r="AP406" s="4079" t="s">
        <v>6894</v>
      </c>
      <c r="AQ406" s="4142">
        <v>1.047839</v>
      </c>
      <c r="AR406" s="3744">
        <v>0</v>
      </c>
      <c r="AS406" s="3745">
        <v>0</v>
      </c>
      <c r="AT406" s="3745">
        <v>0</v>
      </c>
      <c r="AU406" s="3745">
        <v>0</v>
      </c>
      <c r="AV406" s="3745">
        <v>0</v>
      </c>
      <c r="AW406" s="4143">
        <f t="shared" si="149"/>
        <v>1477</v>
      </c>
      <c r="AX406" s="3747"/>
      <c r="AY406" s="4029" t="s">
        <v>7167</v>
      </c>
      <c r="AZ406" s="3888">
        <f>SUM(AW401:AW406)</f>
        <v>78506</v>
      </c>
      <c r="BA406" s="4028">
        <f>AZ406</f>
        <v>78506</v>
      </c>
      <c r="BB406" s="267"/>
      <c r="BC406" s="4117">
        <f t="shared" si="129"/>
        <v>0</v>
      </c>
      <c r="BD406" s="4117">
        <f t="shared" si="148"/>
        <v>0</v>
      </c>
    </row>
    <row r="407" spans="1:57" ht="89.25">
      <c r="A407" s="5966" t="s">
        <v>11135</v>
      </c>
      <c r="B407" s="827" t="s">
        <v>4520</v>
      </c>
      <c r="C407" s="828">
        <v>0</v>
      </c>
      <c r="D407" s="829">
        <v>43028</v>
      </c>
      <c r="E407" s="829" t="s">
        <v>6385</v>
      </c>
      <c r="F407" s="830" t="s">
        <v>4933</v>
      </c>
      <c r="G407" s="2620">
        <v>1.0119899999999999</v>
      </c>
      <c r="H407" s="832" t="s">
        <v>5021</v>
      </c>
      <c r="I407" s="833" t="s">
        <v>1433</v>
      </c>
      <c r="J407" s="834" t="s">
        <v>1434</v>
      </c>
      <c r="K407" s="835">
        <v>44489</v>
      </c>
      <c r="L407" s="833" t="s">
        <v>5022</v>
      </c>
      <c r="M407" s="834" t="s">
        <v>4960</v>
      </c>
      <c r="N407" s="833" t="s">
        <v>5023</v>
      </c>
      <c r="O407" s="832" t="s">
        <v>6322</v>
      </c>
      <c r="P407" s="836"/>
      <c r="Q407" s="834" t="s">
        <v>5024</v>
      </c>
      <c r="R407" s="834" t="s">
        <v>5025</v>
      </c>
      <c r="S407" s="837" t="s">
        <v>12160</v>
      </c>
      <c r="T407" s="838">
        <v>67238</v>
      </c>
      <c r="U407" s="839">
        <v>0</v>
      </c>
      <c r="V407" s="840">
        <f t="shared" si="150"/>
        <v>67238</v>
      </c>
      <c r="W407" s="838">
        <v>11865</v>
      </c>
      <c r="X407" s="839">
        <v>0</v>
      </c>
      <c r="Y407" s="840">
        <f t="shared" si="151"/>
        <v>11865</v>
      </c>
      <c r="Z407" s="838">
        <v>0</v>
      </c>
      <c r="AA407" s="839">
        <v>0</v>
      </c>
      <c r="AB407" s="840">
        <f t="shared" si="152"/>
        <v>0</v>
      </c>
      <c r="AC407" s="823"/>
      <c r="AD407" s="824"/>
      <c r="AE407" s="825"/>
      <c r="AF407" s="823"/>
      <c r="AG407" s="824"/>
      <c r="AH407" s="825"/>
      <c r="AI407" s="841">
        <v>88941</v>
      </c>
      <c r="AJ407" s="839">
        <v>9838</v>
      </c>
      <c r="AK407" s="3906">
        <v>0</v>
      </c>
      <c r="AL407" s="869">
        <f t="shared" si="154"/>
        <v>79103</v>
      </c>
      <c r="AM407" s="3369" t="s">
        <v>1061</v>
      </c>
      <c r="AN407" s="3360">
        <v>43780</v>
      </c>
      <c r="AO407" s="3361" t="s">
        <v>7330</v>
      </c>
      <c r="AP407" s="3362" t="s">
        <v>6894</v>
      </c>
      <c r="AQ407" s="3555">
        <v>1.047839</v>
      </c>
      <c r="AR407" s="846">
        <v>0</v>
      </c>
      <c r="AS407" s="847">
        <v>0</v>
      </c>
      <c r="AT407" s="847">
        <v>0</v>
      </c>
      <c r="AU407" s="847">
        <v>0</v>
      </c>
      <c r="AV407" s="847">
        <v>0</v>
      </c>
      <c r="AW407" s="2872">
        <f t="shared" si="149"/>
        <v>81905</v>
      </c>
      <c r="AX407" s="2891"/>
      <c r="BA407" s="267"/>
      <c r="BB407" s="267"/>
      <c r="BC407" s="4117">
        <f t="shared" ref="BC407:BC470" si="155">ROUND($AJ407*$AQ407/$G407,0)</f>
        <v>10187</v>
      </c>
      <c r="BD407" s="4117">
        <f t="shared" si="148"/>
        <v>0</v>
      </c>
      <c r="BE407" s="267"/>
    </row>
    <row r="408" spans="1:57" ht="76.5">
      <c r="A408" s="2418" t="s">
        <v>11135</v>
      </c>
      <c r="B408" s="338" t="s">
        <v>5719</v>
      </c>
      <c r="C408" s="321">
        <v>0</v>
      </c>
      <c r="D408" s="323">
        <v>43579</v>
      </c>
      <c r="E408" s="3051" t="s">
        <v>6386</v>
      </c>
      <c r="F408" s="324" t="s">
        <v>5757</v>
      </c>
      <c r="G408" s="2621">
        <v>1.0247219999999999</v>
      </c>
      <c r="H408" s="332" t="s">
        <v>6883</v>
      </c>
      <c r="I408" s="339" t="s">
        <v>1433</v>
      </c>
      <c r="J408" s="322" t="s">
        <v>1434</v>
      </c>
      <c r="K408" s="340">
        <v>45771</v>
      </c>
      <c r="L408" s="339" t="s">
        <v>6627</v>
      </c>
      <c r="M408" s="322" t="s">
        <v>6628</v>
      </c>
      <c r="N408" s="339" t="s">
        <v>6629</v>
      </c>
      <c r="O408" s="332" t="s">
        <v>6630</v>
      </c>
      <c r="P408" s="345"/>
      <c r="Q408" s="322" t="s">
        <v>6632</v>
      </c>
      <c r="R408" s="322" t="s">
        <v>6631</v>
      </c>
      <c r="S408" s="346"/>
      <c r="T408" s="347">
        <v>600</v>
      </c>
      <c r="U408" s="326">
        <v>0</v>
      </c>
      <c r="V408" s="348">
        <f t="shared" si="150"/>
        <v>600</v>
      </c>
      <c r="W408" s="347">
        <v>105</v>
      </c>
      <c r="X408" s="326">
        <v>0</v>
      </c>
      <c r="Y408" s="348">
        <f t="shared" si="151"/>
        <v>105</v>
      </c>
      <c r="Z408" s="347">
        <v>2460</v>
      </c>
      <c r="AA408" s="326">
        <v>0</v>
      </c>
      <c r="AB408" s="348">
        <f t="shared" si="152"/>
        <v>2460</v>
      </c>
      <c r="AC408" s="820"/>
      <c r="AD408" s="821"/>
      <c r="AE408" s="822"/>
      <c r="AF408" s="820"/>
      <c r="AG408" s="821"/>
      <c r="AH408" s="822"/>
      <c r="AI408" s="482">
        <f>T408+W408+Z408+AC408+AF408</f>
        <v>3165</v>
      </c>
      <c r="AJ408" s="326">
        <f t="shared" si="153"/>
        <v>0</v>
      </c>
      <c r="AK408" s="3917">
        <v>0</v>
      </c>
      <c r="AL408" s="349">
        <f t="shared" si="154"/>
        <v>3165</v>
      </c>
      <c r="AM408" s="2002" t="s">
        <v>1061</v>
      </c>
      <c r="AN408" s="3357">
        <v>43781</v>
      </c>
      <c r="AO408" s="695" t="s">
        <v>7331</v>
      </c>
      <c r="AP408" s="2722" t="s">
        <v>6894</v>
      </c>
      <c r="AQ408" s="2723">
        <v>1.047839</v>
      </c>
      <c r="AR408" s="333">
        <v>0</v>
      </c>
      <c r="AS408" s="330">
        <v>0</v>
      </c>
      <c r="AT408" s="330">
        <v>0</v>
      </c>
      <c r="AU408" s="849">
        <v>0</v>
      </c>
      <c r="AV408" s="849">
        <v>0</v>
      </c>
      <c r="AW408" s="3156">
        <f t="shared" si="149"/>
        <v>3236</v>
      </c>
      <c r="AX408" s="3140"/>
      <c r="BA408" s="267"/>
      <c r="BB408" s="267"/>
      <c r="BC408" s="4117">
        <f t="shared" si="155"/>
        <v>0</v>
      </c>
      <c r="BD408" s="4117">
        <f t="shared" si="148"/>
        <v>0</v>
      </c>
      <c r="BE408" s="267"/>
    </row>
    <row r="409" spans="1:57" ht="51">
      <c r="A409" s="2418" t="s">
        <v>11135</v>
      </c>
      <c r="B409" s="338" t="s">
        <v>7334</v>
      </c>
      <c r="C409" s="321">
        <v>0</v>
      </c>
      <c r="D409" s="323">
        <v>42894</v>
      </c>
      <c r="E409" s="3051" t="s">
        <v>6385</v>
      </c>
      <c r="F409" s="324" t="s">
        <v>4154</v>
      </c>
      <c r="G409" s="2621">
        <v>1.0111000000000001</v>
      </c>
      <c r="H409" s="332" t="s">
        <v>4630</v>
      </c>
      <c r="I409" s="339" t="s">
        <v>1433</v>
      </c>
      <c r="J409" s="322" t="s">
        <v>1434</v>
      </c>
      <c r="K409" s="340">
        <v>44355</v>
      </c>
      <c r="L409" s="339" t="s">
        <v>4634</v>
      </c>
      <c r="M409" s="322" t="s">
        <v>4635</v>
      </c>
      <c r="N409" s="339" t="s">
        <v>4632</v>
      </c>
      <c r="O409" s="332" t="s">
        <v>4631</v>
      </c>
      <c r="P409" s="345"/>
      <c r="Q409" s="322" t="s">
        <v>4633</v>
      </c>
      <c r="R409" s="322" t="s">
        <v>3617</v>
      </c>
      <c r="S409" s="346"/>
      <c r="T409" s="347">
        <v>4853</v>
      </c>
      <c r="U409" s="326">
        <v>0</v>
      </c>
      <c r="V409" s="348">
        <f t="shared" si="150"/>
        <v>4853</v>
      </c>
      <c r="W409" s="347">
        <v>6067</v>
      </c>
      <c r="X409" s="326">
        <v>0</v>
      </c>
      <c r="Y409" s="348">
        <f t="shared" si="151"/>
        <v>6067</v>
      </c>
      <c r="Z409" s="347">
        <v>1213</v>
      </c>
      <c r="AA409" s="326">
        <v>0</v>
      </c>
      <c r="AB409" s="348">
        <f t="shared" si="152"/>
        <v>1213</v>
      </c>
      <c r="AC409" s="347"/>
      <c r="AD409" s="326"/>
      <c r="AE409" s="348"/>
      <c r="AF409" s="347"/>
      <c r="AG409" s="326"/>
      <c r="AH409" s="348"/>
      <c r="AI409" s="482">
        <f>T409+W409+Z409+AC409+AF409</f>
        <v>12133</v>
      </c>
      <c r="AJ409" s="326">
        <f t="shared" si="153"/>
        <v>0</v>
      </c>
      <c r="AK409" s="3917">
        <v>0</v>
      </c>
      <c r="AL409" s="349">
        <f t="shared" si="154"/>
        <v>12133</v>
      </c>
      <c r="AM409" s="2002" t="s">
        <v>1061</v>
      </c>
      <c r="AN409" s="3357">
        <v>43782</v>
      </c>
      <c r="AO409" s="695" t="s">
        <v>7333</v>
      </c>
      <c r="AP409" s="2722" t="s">
        <v>6894</v>
      </c>
      <c r="AQ409" s="2723">
        <v>1.047839</v>
      </c>
      <c r="AR409" s="333">
        <v>0</v>
      </c>
      <c r="AS409" s="330">
        <v>0</v>
      </c>
      <c r="AT409" s="330">
        <v>0</v>
      </c>
      <c r="AU409" s="330">
        <v>0</v>
      </c>
      <c r="AV409" s="330">
        <v>0</v>
      </c>
      <c r="AW409" s="3156">
        <f t="shared" si="149"/>
        <v>12574</v>
      </c>
      <c r="AX409" s="3140"/>
      <c r="BA409" s="267"/>
      <c r="BB409" s="267"/>
      <c r="BC409" s="4117">
        <f t="shared" si="155"/>
        <v>0</v>
      </c>
      <c r="BD409" s="4117">
        <f t="shared" si="148"/>
        <v>0</v>
      </c>
      <c r="BE409" s="267"/>
    </row>
    <row r="410" spans="1:57" ht="76.5">
      <c r="A410" s="5966" t="s">
        <v>11135</v>
      </c>
      <c r="B410" s="338" t="s">
        <v>5728</v>
      </c>
      <c r="C410" s="321">
        <v>0</v>
      </c>
      <c r="D410" s="323">
        <v>43668</v>
      </c>
      <c r="E410" s="829" t="s">
        <v>6386</v>
      </c>
      <c r="F410" s="3774" t="s">
        <v>6893</v>
      </c>
      <c r="G410" s="2620">
        <v>1.047839</v>
      </c>
      <c r="H410" s="332" t="s">
        <v>6910</v>
      </c>
      <c r="I410" s="339" t="s">
        <v>6912</v>
      </c>
      <c r="J410" s="322" t="s">
        <v>4306</v>
      </c>
      <c r="K410" s="340">
        <v>44399</v>
      </c>
      <c r="L410" s="339" t="s">
        <v>6917</v>
      </c>
      <c r="M410" s="322" t="s">
        <v>6918</v>
      </c>
      <c r="N410" s="339" t="s">
        <v>6919</v>
      </c>
      <c r="O410" s="332" t="s">
        <v>7362</v>
      </c>
      <c r="P410" s="345"/>
      <c r="Q410" s="6094" t="s">
        <v>5708</v>
      </c>
      <c r="R410" s="322" t="s">
        <v>3617</v>
      </c>
      <c r="S410" s="346"/>
      <c r="T410" s="347"/>
      <c r="U410" s="326"/>
      <c r="V410" s="348"/>
      <c r="W410" s="347"/>
      <c r="X410" s="326"/>
      <c r="Y410" s="348"/>
      <c r="Z410" s="347"/>
      <c r="AA410" s="326"/>
      <c r="AB410" s="348"/>
      <c r="AC410" s="820"/>
      <c r="AD410" s="821"/>
      <c r="AE410" s="822"/>
      <c r="AF410" s="820"/>
      <c r="AG410" s="821"/>
      <c r="AH410" s="822"/>
      <c r="AI410" s="482">
        <v>5249</v>
      </c>
      <c r="AJ410" s="326">
        <v>0</v>
      </c>
      <c r="AK410" s="3917">
        <v>0</v>
      </c>
      <c r="AL410" s="349">
        <f t="shared" si="154"/>
        <v>5249</v>
      </c>
      <c r="AM410" s="2002" t="s">
        <v>2977</v>
      </c>
      <c r="AN410" s="3357">
        <v>43787</v>
      </c>
      <c r="AO410" s="695" t="s">
        <v>7363</v>
      </c>
      <c r="AP410" s="3362" t="s">
        <v>6894</v>
      </c>
      <c r="AQ410" s="3555">
        <v>1.047839</v>
      </c>
      <c r="AR410" s="333"/>
      <c r="AS410" s="330"/>
      <c r="AT410" s="330"/>
      <c r="AU410" s="849"/>
      <c r="AV410" s="849"/>
      <c r="AW410" s="3156">
        <f t="shared" si="149"/>
        <v>5249</v>
      </c>
      <c r="AX410" s="3140"/>
      <c r="BA410" s="267"/>
      <c r="BB410" s="267"/>
      <c r="BC410" s="4117">
        <f t="shared" si="155"/>
        <v>0</v>
      </c>
      <c r="BD410" s="4117">
        <f t="shared" si="148"/>
        <v>0</v>
      </c>
      <c r="BE410" s="267"/>
    </row>
    <row r="411" spans="1:57" ht="76.5">
      <c r="A411" s="2418" t="s">
        <v>11135</v>
      </c>
      <c r="B411" s="338" t="s">
        <v>5735</v>
      </c>
      <c r="C411" s="321">
        <v>0</v>
      </c>
      <c r="D411" s="323">
        <v>43767</v>
      </c>
      <c r="E411" s="829" t="s">
        <v>7151</v>
      </c>
      <c r="F411" s="3774" t="s">
        <v>6893</v>
      </c>
      <c r="G411" s="2620">
        <v>1.047839</v>
      </c>
      <c r="H411" s="332" t="s">
        <v>7283</v>
      </c>
      <c r="I411" s="339" t="s">
        <v>7284</v>
      </c>
      <c r="J411" s="322" t="s">
        <v>4306</v>
      </c>
      <c r="K411" s="340">
        <v>44498</v>
      </c>
      <c r="L411" s="339" t="s">
        <v>6917</v>
      </c>
      <c r="M411" s="322" t="s">
        <v>6918</v>
      </c>
      <c r="N411" s="339" t="s">
        <v>7285</v>
      </c>
      <c r="O411" s="332" t="s">
        <v>7286</v>
      </c>
      <c r="P411" s="345"/>
      <c r="Q411" s="6094" t="s">
        <v>5708</v>
      </c>
      <c r="R411" s="322" t="s">
        <v>3617</v>
      </c>
      <c r="S411" s="346"/>
      <c r="T411" s="347"/>
      <c r="U411" s="326"/>
      <c r="V411" s="348"/>
      <c r="W411" s="347"/>
      <c r="X411" s="326"/>
      <c r="Y411" s="348"/>
      <c r="Z411" s="347"/>
      <c r="AA411" s="326"/>
      <c r="AB411" s="348"/>
      <c r="AC411" s="820"/>
      <c r="AD411" s="821"/>
      <c r="AE411" s="822"/>
      <c r="AF411" s="820"/>
      <c r="AG411" s="821"/>
      <c r="AH411" s="822"/>
      <c r="AI411" s="482">
        <v>5624</v>
      </c>
      <c r="AJ411" s="326">
        <v>0</v>
      </c>
      <c r="AK411" s="3917">
        <v>0</v>
      </c>
      <c r="AL411" s="349">
        <f t="shared" si="154"/>
        <v>5624</v>
      </c>
      <c r="AM411" s="2002" t="s">
        <v>2977</v>
      </c>
      <c r="AN411" s="3357">
        <v>43787</v>
      </c>
      <c r="AO411" s="695" t="s">
        <v>7363</v>
      </c>
      <c r="AP411" s="3362" t="s">
        <v>6894</v>
      </c>
      <c r="AQ411" s="3555">
        <v>1.047839</v>
      </c>
      <c r="AR411" s="333"/>
      <c r="AS411" s="330"/>
      <c r="AT411" s="330"/>
      <c r="AU411" s="849"/>
      <c r="AV411" s="849"/>
      <c r="AW411" s="3156">
        <f t="shared" si="149"/>
        <v>5624</v>
      </c>
      <c r="AX411" s="3140"/>
      <c r="BA411" s="267"/>
      <c r="BB411" s="267"/>
      <c r="BC411" s="4117">
        <f t="shared" si="155"/>
        <v>0</v>
      </c>
      <c r="BD411" s="4117">
        <f t="shared" si="148"/>
        <v>0</v>
      </c>
      <c r="BE411" s="267"/>
    </row>
    <row r="412" spans="1:57" ht="76.5">
      <c r="A412" s="2418" t="s">
        <v>11135</v>
      </c>
      <c r="B412" s="338" t="s">
        <v>5736</v>
      </c>
      <c r="C412" s="321">
        <v>0</v>
      </c>
      <c r="D412" s="323">
        <v>43767</v>
      </c>
      <c r="E412" s="829" t="s">
        <v>7151</v>
      </c>
      <c r="F412" s="3774" t="s">
        <v>6893</v>
      </c>
      <c r="G412" s="2620">
        <v>1.047839</v>
      </c>
      <c r="H412" s="332" t="s">
        <v>7287</v>
      </c>
      <c r="I412" s="339" t="s">
        <v>7288</v>
      </c>
      <c r="J412" s="322" t="s">
        <v>4306</v>
      </c>
      <c r="K412" s="340">
        <v>44498</v>
      </c>
      <c r="L412" s="339" t="s">
        <v>6917</v>
      </c>
      <c r="M412" s="322" t="s">
        <v>6918</v>
      </c>
      <c r="N412" s="339" t="s">
        <v>7289</v>
      </c>
      <c r="O412" s="332" t="s">
        <v>7290</v>
      </c>
      <c r="P412" s="345"/>
      <c r="Q412" s="6094" t="s">
        <v>5708</v>
      </c>
      <c r="R412" s="322" t="s">
        <v>3617</v>
      </c>
      <c r="S412" s="346"/>
      <c r="T412" s="347"/>
      <c r="U412" s="326"/>
      <c r="V412" s="348"/>
      <c r="W412" s="347"/>
      <c r="X412" s="326"/>
      <c r="Y412" s="348"/>
      <c r="Z412" s="347"/>
      <c r="AA412" s="326"/>
      <c r="AB412" s="348"/>
      <c r="AC412" s="820"/>
      <c r="AD412" s="821"/>
      <c r="AE412" s="822"/>
      <c r="AF412" s="820"/>
      <c r="AG412" s="821"/>
      <c r="AH412" s="822"/>
      <c r="AI412" s="482">
        <v>5624</v>
      </c>
      <c r="AJ412" s="326">
        <v>0</v>
      </c>
      <c r="AK412" s="3917">
        <v>0</v>
      </c>
      <c r="AL412" s="349">
        <f t="shared" si="154"/>
        <v>5624</v>
      </c>
      <c r="AM412" s="2002" t="s">
        <v>2977</v>
      </c>
      <c r="AN412" s="3357">
        <v>43787</v>
      </c>
      <c r="AO412" s="695" t="s">
        <v>7363</v>
      </c>
      <c r="AP412" s="3362" t="s">
        <v>6894</v>
      </c>
      <c r="AQ412" s="3555">
        <v>1.047839</v>
      </c>
      <c r="AR412" s="333"/>
      <c r="AS412" s="330"/>
      <c r="AT412" s="330"/>
      <c r="AU412" s="849"/>
      <c r="AV412" s="849"/>
      <c r="AW412" s="3156">
        <f t="shared" si="149"/>
        <v>5624</v>
      </c>
      <c r="AX412" s="3140"/>
      <c r="BA412" s="267"/>
      <c r="BB412" s="267"/>
      <c r="BC412" s="4117">
        <f t="shared" si="155"/>
        <v>0</v>
      </c>
      <c r="BD412" s="4117">
        <f t="shared" si="148"/>
        <v>0</v>
      </c>
      <c r="BE412" s="267"/>
    </row>
    <row r="413" spans="1:57" ht="76.5">
      <c r="A413" s="2418" t="s">
        <v>11135</v>
      </c>
      <c r="B413" s="338" t="s">
        <v>5737</v>
      </c>
      <c r="C413" s="321">
        <v>0</v>
      </c>
      <c r="D413" s="323">
        <v>43767</v>
      </c>
      <c r="E413" s="829" t="s">
        <v>7151</v>
      </c>
      <c r="F413" s="3774" t="s">
        <v>6893</v>
      </c>
      <c r="G413" s="2620">
        <v>1.047839</v>
      </c>
      <c r="H413" s="332" t="s">
        <v>7291</v>
      </c>
      <c r="I413" s="339" t="s">
        <v>7292</v>
      </c>
      <c r="J413" s="322" t="s">
        <v>4306</v>
      </c>
      <c r="K413" s="340">
        <v>44498</v>
      </c>
      <c r="L413" s="339" t="s">
        <v>6917</v>
      </c>
      <c r="M413" s="322" t="s">
        <v>6918</v>
      </c>
      <c r="N413" s="339" t="s">
        <v>7293</v>
      </c>
      <c r="O413" s="332" t="s">
        <v>7294</v>
      </c>
      <c r="P413" s="345"/>
      <c r="Q413" s="6094" t="s">
        <v>5708</v>
      </c>
      <c r="R413" s="322" t="s">
        <v>3617</v>
      </c>
      <c r="S413" s="346"/>
      <c r="T413" s="347"/>
      <c r="U413" s="326"/>
      <c r="V413" s="348"/>
      <c r="W413" s="347"/>
      <c r="X413" s="326"/>
      <c r="Y413" s="348"/>
      <c r="Z413" s="347"/>
      <c r="AA413" s="326"/>
      <c r="AB413" s="348"/>
      <c r="AC413" s="820"/>
      <c r="AD413" s="821"/>
      <c r="AE413" s="822"/>
      <c r="AF413" s="820"/>
      <c r="AG413" s="821"/>
      <c r="AH413" s="822"/>
      <c r="AI413" s="482">
        <v>5624</v>
      </c>
      <c r="AJ413" s="326">
        <v>0</v>
      </c>
      <c r="AK413" s="3917">
        <v>0</v>
      </c>
      <c r="AL413" s="349">
        <f t="shared" si="154"/>
        <v>5624</v>
      </c>
      <c r="AM413" s="2002" t="s">
        <v>2977</v>
      </c>
      <c r="AN413" s="3357">
        <v>43787</v>
      </c>
      <c r="AO413" s="695" t="s">
        <v>7363</v>
      </c>
      <c r="AP413" s="3362" t="s">
        <v>6894</v>
      </c>
      <c r="AQ413" s="3555">
        <v>1.047839</v>
      </c>
      <c r="AR413" s="333"/>
      <c r="AS413" s="330"/>
      <c r="AT413" s="330"/>
      <c r="AU413" s="849"/>
      <c r="AV413" s="849"/>
      <c r="AW413" s="3156">
        <f t="shared" si="149"/>
        <v>5624</v>
      </c>
      <c r="AX413" s="3140"/>
      <c r="BB413" s="267"/>
      <c r="BC413" s="4117">
        <f t="shared" si="155"/>
        <v>0</v>
      </c>
      <c r="BD413" s="4117">
        <f t="shared" si="148"/>
        <v>0</v>
      </c>
      <c r="BE413" s="267"/>
    </row>
    <row r="414" spans="1:57" ht="76.5">
      <c r="A414" s="5964" t="s">
        <v>11140</v>
      </c>
      <c r="B414" s="338" t="s">
        <v>6846</v>
      </c>
      <c r="C414" s="321">
        <v>0</v>
      </c>
      <c r="D414" s="323">
        <v>42837</v>
      </c>
      <c r="E414" s="3051" t="s">
        <v>6385</v>
      </c>
      <c r="F414" s="1203" t="s">
        <v>6558</v>
      </c>
      <c r="G414" s="2669">
        <v>114</v>
      </c>
      <c r="H414" s="332" t="s">
        <v>6480</v>
      </c>
      <c r="I414" s="339" t="s">
        <v>4507</v>
      </c>
      <c r="J414" s="322" t="s">
        <v>4306</v>
      </c>
      <c r="K414" s="340">
        <v>43567</v>
      </c>
      <c r="L414" s="339" t="s">
        <v>4508</v>
      </c>
      <c r="M414" s="322" t="s">
        <v>3899</v>
      </c>
      <c r="N414" s="339" t="s">
        <v>4509</v>
      </c>
      <c r="O414" s="332" t="s">
        <v>6229</v>
      </c>
      <c r="P414" s="345" t="s">
        <v>6511</v>
      </c>
      <c r="Q414" s="6094" t="s">
        <v>4332</v>
      </c>
      <c r="R414" s="322" t="s">
        <v>1046</v>
      </c>
      <c r="S414" s="346"/>
      <c r="T414" s="347">
        <v>464</v>
      </c>
      <c r="U414" s="326">
        <v>0</v>
      </c>
      <c r="V414" s="348">
        <f t="shared" ref="V414:V434" si="156">T414-U414</f>
        <v>464</v>
      </c>
      <c r="W414" s="347">
        <v>580</v>
      </c>
      <c r="X414" s="326">
        <v>0</v>
      </c>
      <c r="Y414" s="348">
        <f t="shared" ref="Y414:Y434" si="157">W414-X414</f>
        <v>580</v>
      </c>
      <c r="Z414" s="347">
        <v>166</v>
      </c>
      <c r="AA414" s="326">
        <v>0</v>
      </c>
      <c r="AB414" s="348">
        <f t="shared" ref="AB414:AB434" si="158">Z414-AA414</f>
        <v>166</v>
      </c>
      <c r="AC414" s="347"/>
      <c r="AD414" s="326"/>
      <c r="AE414" s="348"/>
      <c r="AF414" s="347"/>
      <c r="AG414" s="326"/>
      <c r="AH414" s="348"/>
      <c r="AI414" s="482">
        <f t="shared" ref="AI414:AJ416" si="159">T414+W414+Z414+AC414+AF414</f>
        <v>1210</v>
      </c>
      <c r="AJ414" s="326">
        <f t="shared" si="159"/>
        <v>0</v>
      </c>
      <c r="AK414" s="3917">
        <v>0</v>
      </c>
      <c r="AL414" s="349">
        <f t="shared" si="154"/>
        <v>1210</v>
      </c>
      <c r="AM414" s="2002" t="s">
        <v>1061</v>
      </c>
      <c r="AN414" s="3357">
        <v>43790</v>
      </c>
      <c r="AO414" s="695" t="s">
        <v>7367</v>
      </c>
      <c r="AP414" s="3222" t="s">
        <v>6647</v>
      </c>
      <c r="AQ414" s="3223">
        <v>115.5</v>
      </c>
      <c r="AR414" s="333">
        <v>0</v>
      </c>
      <c r="AS414" s="330">
        <v>0</v>
      </c>
      <c r="AT414" s="330">
        <v>0</v>
      </c>
      <c r="AU414" s="330">
        <v>0</v>
      </c>
      <c r="AV414" s="330">
        <v>0</v>
      </c>
      <c r="AW414" s="3156">
        <f t="shared" si="149"/>
        <v>1226</v>
      </c>
      <c r="AX414" s="3140"/>
      <c r="BA414" s="267"/>
      <c r="BB414" s="267"/>
      <c r="BC414" s="4117">
        <f t="shared" si="155"/>
        <v>0</v>
      </c>
      <c r="BD414" s="4117">
        <f t="shared" si="148"/>
        <v>0</v>
      </c>
      <c r="BE414" s="267"/>
    </row>
    <row r="415" spans="1:57" ht="77.25" thickBot="1">
      <c r="A415" s="6039" t="s">
        <v>11140</v>
      </c>
      <c r="B415" s="3748" t="s">
        <v>6848</v>
      </c>
      <c r="C415" s="3749">
        <v>0</v>
      </c>
      <c r="D415" s="3750">
        <v>43074</v>
      </c>
      <c r="E415" s="3750" t="s">
        <v>6385</v>
      </c>
      <c r="F415" s="4178" t="s">
        <v>6558</v>
      </c>
      <c r="G415" s="4179">
        <v>114</v>
      </c>
      <c r="H415" s="4180" t="s">
        <v>5150</v>
      </c>
      <c r="I415" s="3753" t="s">
        <v>5152</v>
      </c>
      <c r="J415" s="3754" t="s">
        <v>4306</v>
      </c>
      <c r="K415" s="4181">
        <v>43804</v>
      </c>
      <c r="L415" s="3753" t="s">
        <v>5157</v>
      </c>
      <c r="M415" s="3754" t="s">
        <v>5158</v>
      </c>
      <c r="N415" s="3753" t="s">
        <v>5159</v>
      </c>
      <c r="O415" s="4180" t="s">
        <v>6249</v>
      </c>
      <c r="P415" s="3756" t="s">
        <v>6504</v>
      </c>
      <c r="Q415" s="6105" t="s">
        <v>4878</v>
      </c>
      <c r="R415" s="3754" t="s">
        <v>1046</v>
      </c>
      <c r="S415" s="4182"/>
      <c r="T415" s="3758">
        <v>469</v>
      </c>
      <c r="U415" s="3759">
        <v>0</v>
      </c>
      <c r="V415" s="4183">
        <f t="shared" si="156"/>
        <v>469</v>
      </c>
      <c r="W415" s="3758">
        <v>586</v>
      </c>
      <c r="X415" s="3759">
        <v>0</v>
      </c>
      <c r="Y415" s="4183">
        <f t="shared" si="157"/>
        <v>586</v>
      </c>
      <c r="Z415" s="3758">
        <v>167</v>
      </c>
      <c r="AA415" s="3759">
        <v>0</v>
      </c>
      <c r="AB415" s="4183">
        <f t="shared" si="158"/>
        <v>167</v>
      </c>
      <c r="AC415" s="3758"/>
      <c r="AD415" s="3759"/>
      <c r="AE415" s="4183"/>
      <c r="AF415" s="3758"/>
      <c r="AG415" s="3759"/>
      <c r="AH415" s="4183"/>
      <c r="AI415" s="3761">
        <f t="shared" si="159"/>
        <v>1222</v>
      </c>
      <c r="AJ415" s="3759">
        <f t="shared" si="159"/>
        <v>0</v>
      </c>
      <c r="AK415" s="4184">
        <v>0</v>
      </c>
      <c r="AL415" s="4185">
        <f t="shared" si="154"/>
        <v>1222</v>
      </c>
      <c r="AM415" s="3763" t="s">
        <v>1061</v>
      </c>
      <c r="AN415" s="3764">
        <v>43798</v>
      </c>
      <c r="AO415" s="3765" t="s">
        <v>7406</v>
      </c>
      <c r="AP415" s="4186" t="s">
        <v>6647</v>
      </c>
      <c r="AQ415" s="4187">
        <v>115.5</v>
      </c>
      <c r="AR415" s="3768">
        <v>0</v>
      </c>
      <c r="AS415" s="3769">
        <v>0</v>
      </c>
      <c r="AT415" s="3769">
        <v>0</v>
      </c>
      <c r="AU415" s="3769">
        <v>0</v>
      </c>
      <c r="AV415" s="3769">
        <v>0</v>
      </c>
      <c r="AW415" s="4188">
        <f t="shared" si="149"/>
        <v>1238</v>
      </c>
      <c r="AX415" s="3771"/>
      <c r="AY415" s="4031" t="s">
        <v>7321</v>
      </c>
      <c r="AZ415" s="3857">
        <f>SUM(AW407:AW415)</f>
        <v>122300</v>
      </c>
      <c r="BA415" s="4028">
        <f>AZ415</f>
        <v>122300</v>
      </c>
      <c r="BB415" s="267"/>
      <c r="BC415" s="4117">
        <f t="shared" si="155"/>
        <v>0</v>
      </c>
      <c r="BD415" s="4117">
        <f t="shared" si="148"/>
        <v>0</v>
      </c>
      <c r="BE415" s="267"/>
    </row>
    <row r="416" spans="1:57" ht="76.5">
      <c r="A416" s="6006" t="s">
        <v>11140</v>
      </c>
      <c r="B416" s="2298" t="s">
        <v>6637</v>
      </c>
      <c r="C416" s="2299">
        <v>0</v>
      </c>
      <c r="D416" s="2300">
        <v>42780</v>
      </c>
      <c r="E416" s="2300" t="s">
        <v>6385</v>
      </c>
      <c r="F416" s="2301" t="s">
        <v>6737</v>
      </c>
      <c r="G416" s="2645">
        <v>114.1</v>
      </c>
      <c r="H416" s="2306" t="s">
        <v>4351</v>
      </c>
      <c r="I416" s="2303" t="s">
        <v>4352</v>
      </c>
      <c r="J416" s="2304" t="s">
        <v>4306</v>
      </c>
      <c r="K416" s="2305">
        <v>43510</v>
      </c>
      <c r="L416" s="2303" t="s">
        <v>4354</v>
      </c>
      <c r="M416" s="2304" t="s">
        <v>4355</v>
      </c>
      <c r="N416" s="2303" t="s">
        <v>4356</v>
      </c>
      <c r="O416" s="2304" t="s">
        <v>4355</v>
      </c>
      <c r="P416" s="2321"/>
      <c r="Q416" s="6096" t="s">
        <v>6638</v>
      </c>
      <c r="R416" s="2304" t="s">
        <v>1046</v>
      </c>
      <c r="S416" s="2307"/>
      <c r="T416" s="2308">
        <v>580</v>
      </c>
      <c r="U416" s="2309">
        <v>0</v>
      </c>
      <c r="V416" s="2310">
        <f t="shared" si="156"/>
        <v>580</v>
      </c>
      <c r="W416" s="2308">
        <v>725</v>
      </c>
      <c r="X416" s="2309">
        <v>0</v>
      </c>
      <c r="Y416" s="2310">
        <f t="shared" si="157"/>
        <v>725</v>
      </c>
      <c r="Z416" s="2308">
        <v>207</v>
      </c>
      <c r="AA416" s="2309">
        <v>0</v>
      </c>
      <c r="AB416" s="2310">
        <f t="shared" si="158"/>
        <v>207</v>
      </c>
      <c r="AC416" s="2308"/>
      <c r="AD416" s="2309"/>
      <c r="AE416" s="2310"/>
      <c r="AF416" s="2308"/>
      <c r="AG416" s="2309"/>
      <c r="AH416" s="2310"/>
      <c r="AI416" s="2311">
        <f t="shared" si="159"/>
        <v>1512</v>
      </c>
      <c r="AJ416" s="2309">
        <f t="shared" si="159"/>
        <v>0</v>
      </c>
      <c r="AK416" s="3914">
        <v>0</v>
      </c>
      <c r="AL416" s="2312">
        <f t="shared" si="154"/>
        <v>1512</v>
      </c>
      <c r="AM416" s="3491" t="s">
        <v>1061</v>
      </c>
      <c r="AN416" s="3492">
        <v>43802</v>
      </c>
      <c r="AO416" s="2492" t="s">
        <v>7415</v>
      </c>
      <c r="AP416" s="3539" t="s">
        <v>6647</v>
      </c>
      <c r="AQ416" s="4189">
        <v>115.5</v>
      </c>
      <c r="AR416" s="2313">
        <v>0</v>
      </c>
      <c r="AS416" s="2314">
        <v>0</v>
      </c>
      <c r="AT416" s="2314">
        <v>0</v>
      </c>
      <c r="AU416" s="2314">
        <v>0</v>
      </c>
      <c r="AV416" s="2314">
        <v>0</v>
      </c>
      <c r="AW416" s="2883">
        <f t="shared" si="149"/>
        <v>1531</v>
      </c>
      <c r="AX416" s="2899"/>
      <c r="BA416" s="267"/>
      <c r="BB416" s="267"/>
      <c r="BC416" s="4117">
        <f t="shared" si="155"/>
        <v>0</v>
      </c>
      <c r="BD416" s="4117">
        <f t="shared" si="148"/>
        <v>0</v>
      </c>
      <c r="BE416" s="267"/>
    </row>
    <row r="417" spans="1:57" ht="153">
      <c r="A417" s="5978" t="s">
        <v>11141</v>
      </c>
      <c r="B417" s="1538" t="s">
        <v>5933</v>
      </c>
      <c r="C417" s="1509">
        <v>7</v>
      </c>
      <c r="D417" s="1510" t="s">
        <v>7204</v>
      </c>
      <c r="E417" s="2300" t="s">
        <v>6386</v>
      </c>
      <c r="F417" s="2497" t="s">
        <v>5757</v>
      </c>
      <c r="G417" s="2663">
        <v>1.0247219999999999</v>
      </c>
      <c r="H417" s="1513" t="s">
        <v>7205</v>
      </c>
      <c r="I417" s="1514" t="s">
        <v>4235</v>
      </c>
      <c r="J417" s="1515" t="s">
        <v>1434</v>
      </c>
      <c r="K417" s="1516" t="s">
        <v>4260</v>
      </c>
      <c r="L417" s="1514" t="s">
        <v>1119</v>
      </c>
      <c r="M417" s="1515" t="s">
        <v>3301</v>
      </c>
      <c r="N417" s="1514" t="s">
        <v>4967</v>
      </c>
      <c r="O417" s="1513" t="s">
        <v>6192</v>
      </c>
      <c r="P417" s="1517" t="s">
        <v>6052</v>
      </c>
      <c r="Q417" s="2145" t="s">
        <v>7203</v>
      </c>
      <c r="R417" s="2145" t="s">
        <v>5245</v>
      </c>
      <c r="S417" s="1518"/>
      <c r="T417" s="1519">
        <v>2028</v>
      </c>
      <c r="U417" s="1504">
        <v>0</v>
      </c>
      <c r="V417" s="1520">
        <f t="shared" si="156"/>
        <v>2028</v>
      </c>
      <c r="W417" s="1519">
        <v>0</v>
      </c>
      <c r="X417" s="1504">
        <v>0</v>
      </c>
      <c r="Y417" s="1520">
        <f t="shared" si="157"/>
        <v>0</v>
      </c>
      <c r="Z417" s="1519">
        <v>21750</v>
      </c>
      <c r="AA417" s="1504">
        <v>0</v>
      </c>
      <c r="AB417" s="1520">
        <f t="shared" si="158"/>
        <v>21750</v>
      </c>
      <c r="AC417" s="1519"/>
      <c r="AD417" s="1504"/>
      <c r="AE417" s="1520"/>
      <c r="AF417" s="1519"/>
      <c r="AG417" s="1504"/>
      <c r="AH417" s="1520"/>
      <c r="AI417" s="1503">
        <v>25068</v>
      </c>
      <c r="AJ417" s="1504">
        <f>U417+X417+AA417</f>
        <v>0</v>
      </c>
      <c r="AK417" s="3919">
        <v>0</v>
      </c>
      <c r="AL417" s="1505">
        <f t="shared" si="154"/>
        <v>25068</v>
      </c>
      <c r="AM417" s="1508" t="s">
        <v>1061</v>
      </c>
      <c r="AN417" s="3401">
        <v>43803</v>
      </c>
      <c r="AO417" s="3402" t="s">
        <v>7419</v>
      </c>
      <c r="AP417" s="2664" t="s">
        <v>6894</v>
      </c>
      <c r="AQ417" s="2806">
        <v>1.047839</v>
      </c>
      <c r="AR417" s="1506">
        <v>0</v>
      </c>
      <c r="AS417" s="1507">
        <v>0</v>
      </c>
      <c r="AT417" s="1507">
        <v>0</v>
      </c>
      <c r="AU417" s="1507">
        <v>0</v>
      </c>
      <c r="AV417" s="1507">
        <v>0</v>
      </c>
      <c r="AW417" s="3247">
        <f t="shared" si="149"/>
        <v>25634</v>
      </c>
      <c r="AX417" s="3146"/>
      <c r="BA417" s="267"/>
      <c r="BB417" s="304"/>
      <c r="BC417" s="4117">
        <f t="shared" si="155"/>
        <v>0</v>
      </c>
      <c r="BD417" s="4117">
        <f t="shared" si="148"/>
        <v>0</v>
      </c>
      <c r="BE417" s="267"/>
    </row>
    <row r="418" spans="1:57" ht="38.25">
      <c r="A418" s="5981" t="s">
        <v>11135</v>
      </c>
      <c r="B418" s="1538" t="s">
        <v>4546</v>
      </c>
      <c r="C418" s="1509">
        <v>0</v>
      </c>
      <c r="D418" s="1510">
        <v>43319</v>
      </c>
      <c r="E418" s="3053" t="s">
        <v>6385</v>
      </c>
      <c r="F418" s="1511" t="s">
        <v>5757</v>
      </c>
      <c r="G418" s="2663">
        <v>1.0247219999999999</v>
      </c>
      <c r="H418" s="1513" t="s">
        <v>5808</v>
      </c>
      <c r="I418" s="1514" t="s">
        <v>1433</v>
      </c>
      <c r="J418" s="1515" t="s">
        <v>1434</v>
      </c>
      <c r="K418" s="1516">
        <v>45511</v>
      </c>
      <c r="L418" s="1514" t="s">
        <v>5809</v>
      </c>
      <c r="M418" s="1515" t="s">
        <v>4960</v>
      </c>
      <c r="N418" s="1514" t="s">
        <v>5810</v>
      </c>
      <c r="O418" s="1513" t="s">
        <v>6173</v>
      </c>
      <c r="P418" s="1517"/>
      <c r="Q418" s="1515" t="s">
        <v>5811</v>
      </c>
      <c r="R418" s="1515" t="s">
        <v>5812</v>
      </c>
      <c r="S418" s="1518"/>
      <c r="T418" s="1519">
        <v>6886</v>
      </c>
      <c r="U418" s="1504">
        <v>0</v>
      </c>
      <c r="V418" s="1520">
        <f t="shared" si="156"/>
        <v>6886</v>
      </c>
      <c r="W418" s="1519">
        <v>8608</v>
      </c>
      <c r="X418" s="1504">
        <v>0</v>
      </c>
      <c r="Y418" s="1520">
        <f t="shared" si="157"/>
        <v>8608</v>
      </c>
      <c r="Z418" s="1519">
        <v>1721</v>
      </c>
      <c r="AA418" s="1504">
        <v>0</v>
      </c>
      <c r="AB418" s="1520">
        <f t="shared" si="158"/>
        <v>1721</v>
      </c>
      <c r="AC418" s="1519"/>
      <c r="AD418" s="1504"/>
      <c r="AE418" s="1520"/>
      <c r="AF418" s="1519"/>
      <c r="AG418" s="1504"/>
      <c r="AH418" s="1520"/>
      <c r="AI418" s="1503">
        <f>T418+W418+Z418+AC418+AF418</f>
        <v>17215</v>
      </c>
      <c r="AJ418" s="1504">
        <f>U418+X418+AA418+AD418+AG418</f>
        <v>0</v>
      </c>
      <c r="AK418" s="3919">
        <v>0</v>
      </c>
      <c r="AL418" s="1505">
        <f t="shared" si="154"/>
        <v>17215</v>
      </c>
      <c r="AM418" s="1508" t="s">
        <v>1061</v>
      </c>
      <c r="AN418" s="3401">
        <v>43805</v>
      </c>
      <c r="AO418" s="3402" t="s">
        <v>7421</v>
      </c>
      <c r="AP418" s="2664" t="s">
        <v>6894</v>
      </c>
      <c r="AQ418" s="2806">
        <v>1.047839</v>
      </c>
      <c r="AR418" s="1506">
        <v>0</v>
      </c>
      <c r="AS418" s="1507">
        <v>0</v>
      </c>
      <c r="AT418" s="1507">
        <v>0</v>
      </c>
      <c r="AU418" s="1507">
        <v>0</v>
      </c>
      <c r="AV418" s="1507">
        <v>0</v>
      </c>
      <c r="AW418" s="3247">
        <f t="shared" si="149"/>
        <v>17603</v>
      </c>
      <c r="AX418" s="3146"/>
      <c r="BA418" s="267"/>
      <c r="BB418" s="267"/>
      <c r="BC418" s="4117">
        <f t="shared" si="155"/>
        <v>0</v>
      </c>
      <c r="BD418" s="4117">
        <f t="shared" si="148"/>
        <v>0</v>
      </c>
      <c r="BE418" s="267"/>
    </row>
    <row r="419" spans="1:57" ht="76.5">
      <c r="A419" s="5978" t="s">
        <v>11140</v>
      </c>
      <c r="B419" s="1538" t="s">
        <v>6101</v>
      </c>
      <c r="C419" s="1509">
        <v>0</v>
      </c>
      <c r="D419" s="1510">
        <v>42969</v>
      </c>
      <c r="E419" s="3053" t="s">
        <v>6385</v>
      </c>
      <c r="F419" s="2139" t="s">
        <v>5160</v>
      </c>
      <c r="G419" s="2805">
        <v>111.5</v>
      </c>
      <c r="H419" s="1513" t="s">
        <v>4839</v>
      </c>
      <c r="I419" s="1514" t="s">
        <v>4840</v>
      </c>
      <c r="J419" s="1515" t="s">
        <v>4306</v>
      </c>
      <c r="K419" s="1516">
        <v>43699</v>
      </c>
      <c r="L419" s="1514" t="s">
        <v>4841</v>
      </c>
      <c r="M419" s="1515" t="s">
        <v>4842</v>
      </c>
      <c r="N419" s="1514" t="s">
        <v>4843</v>
      </c>
      <c r="O419" s="1513" t="s">
        <v>5114</v>
      </c>
      <c r="P419" s="1517"/>
      <c r="Q419" s="6094" t="s">
        <v>4332</v>
      </c>
      <c r="R419" s="1515" t="s">
        <v>1046</v>
      </c>
      <c r="S419" s="1518"/>
      <c r="T419" s="1519">
        <v>460</v>
      </c>
      <c r="U419" s="1504">
        <v>0</v>
      </c>
      <c r="V419" s="1520">
        <f t="shared" si="156"/>
        <v>460</v>
      </c>
      <c r="W419" s="1519">
        <v>575</v>
      </c>
      <c r="X419" s="1504">
        <v>0</v>
      </c>
      <c r="Y419" s="1520">
        <f t="shared" si="157"/>
        <v>575</v>
      </c>
      <c r="Z419" s="1519">
        <v>165</v>
      </c>
      <c r="AA419" s="1504">
        <v>0</v>
      </c>
      <c r="AB419" s="1520">
        <f t="shared" si="158"/>
        <v>165</v>
      </c>
      <c r="AC419" s="1519"/>
      <c r="AD419" s="1504"/>
      <c r="AE419" s="1520"/>
      <c r="AF419" s="1519"/>
      <c r="AG419" s="1504"/>
      <c r="AH419" s="1520"/>
      <c r="AI419" s="1503">
        <f>T419+W419+Z419+AC419+AF419</f>
        <v>1200</v>
      </c>
      <c r="AJ419" s="1504">
        <f>U419+X419+AA419+AD419+AG419</f>
        <v>0</v>
      </c>
      <c r="AK419" s="3919">
        <v>0</v>
      </c>
      <c r="AL419" s="1505">
        <f t="shared" si="154"/>
        <v>1200</v>
      </c>
      <c r="AM419" s="1508" t="s">
        <v>1061</v>
      </c>
      <c r="AN419" s="3401">
        <v>43809</v>
      </c>
      <c r="AO419" s="3402" t="s">
        <v>7426</v>
      </c>
      <c r="AP419" s="3251" t="s">
        <v>6647</v>
      </c>
      <c r="AQ419" s="3248">
        <v>115.5</v>
      </c>
      <c r="AR419" s="1506">
        <v>0</v>
      </c>
      <c r="AS419" s="1507">
        <v>0</v>
      </c>
      <c r="AT419" s="1507">
        <v>0</v>
      </c>
      <c r="AU419" s="1507">
        <v>0</v>
      </c>
      <c r="AV419" s="1507">
        <v>0</v>
      </c>
      <c r="AW419" s="3247">
        <f t="shared" si="149"/>
        <v>1243</v>
      </c>
      <c r="AX419" s="3146"/>
      <c r="BA419" s="267"/>
      <c r="BB419" s="267"/>
      <c r="BC419" s="4117">
        <f t="shared" si="155"/>
        <v>0</v>
      </c>
      <c r="BD419" s="4117">
        <f t="shared" si="148"/>
        <v>0</v>
      </c>
      <c r="BE419" s="267"/>
    </row>
    <row r="420" spans="1:57" ht="89.25">
      <c r="A420" s="5978" t="s">
        <v>11142</v>
      </c>
      <c r="B420" s="1538" t="s">
        <v>7303</v>
      </c>
      <c r="C420" s="1509">
        <v>0</v>
      </c>
      <c r="D420" s="1510">
        <v>42949</v>
      </c>
      <c r="E420" s="3053" t="s">
        <v>6385</v>
      </c>
      <c r="F420" s="3249" t="s">
        <v>6558</v>
      </c>
      <c r="G420" s="3250">
        <v>114</v>
      </c>
      <c r="H420" s="1513" t="s">
        <v>4785</v>
      </c>
      <c r="I420" s="1514" t="s">
        <v>4809</v>
      </c>
      <c r="J420" s="1515" t="s">
        <v>4306</v>
      </c>
      <c r="K420" s="1516">
        <v>43679</v>
      </c>
      <c r="L420" s="1514" t="s">
        <v>4787</v>
      </c>
      <c r="M420" s="1515" t="s">
        <v>4788</v>
      </c>
      <c r="N420" s="1514" t="s">
        <v>4789</v>
      </c>
      <c r="O420" s="1513" t="s">
        <v>6239</v>
      </c>
      <c r="P420" s="1517" t="s">
        <v>7431</v>
      </c>
      <c r="Q420" s="6094" t="s">
        <v>4332</v>
      </c>
      <c r="R420" s="1515" t="s">
        <v>1046</v>
      </c>
      <c r="S420" s="4214"/>
      <c r="T420" s="1519">
        <f>467+19</f>
        <v>486</v>
      </c>
      <c r="U420" s="1504">
        <v>0</v>
      </c>
      <c r="V420" s="1520">
        <f t="shared" si="156"/>
        <v>486</v>
      </c>
      <c r="W420" s="1519">
        <v>584</v>
      </c>
      <c r="X420" s="1504">
        <v>0</v>
      </c>
      <c r="Y420" s="1520">
        <f t="shared" si="157"/>
        <v>584</v>
      </c>
      <c r="Z420" s="1519">
        <v>167</v>
      </c>
      <c r="AA420" s="1504">
        <v>0</v>
      </c>
      <c r="AB420" s="1520">
        <f t="shared" si="158"/>
        <v>167</v>
      </c>
      <c r="AC420" s="1519"/>
      <c r="AD420" s="1504"/>
      <c r="AE420" s="1520"/>
      <c r="AF420" s="1519"/>
      <c r="AG420" s="1504"/>
      <c r="AH420" s="1520"/>
      <c r="AI420" s="1503">
        <v>1218</v>
      </c>
      <c r="AJ420" s="1504">
        <f t="shared" ref="AJ420:AJ432" si="160">U420+X420+AA420+AD420+AG420</f>
        <v>0</v>
      </c>
      <c r="AK420" s="3919">
        <v>0</v>
      </c>
      <c r="AL420" s="1505">
        <f t="shared" si="154"/>
        <v>1218</v>
      </c>
      <c r="AM420" s="1508" t="s">
        <v>7429</v>
      </c>
      <c r="AN420" s="3401">
        <v>43810</v>
      </c>
      <c r="AO420" s="3402" t="s">
        <v>7428</v>
      </c>
      <c r="AP420" s="3251" t="s">
        <v>7427</v>
      </c>
      <c r="AQ420" s="3248">
        <v>115.5</v>
      </c>
      <c r="AR420" s="1506">
        <v>0</v>
      </c>
      <c r="AS420" s="1507">
        <v>0</v>
      </c>
      <c r="AT420" s="1507">
        <v>0</v>
      </c>
      <c r="AU420" s="1507">
        <v>0</v>
      </c>
      <c r="AV420" s="1507">
        <v>0</v>
      </c>
      <c r="AW420" s="3247">
        <v>1218</v>
      </c>
      <c r="AX420" s="3146"/>
      <c r="BA420" s="267"/>
      <c r="BB420" s="267"/>
      <c r="BC420" s="4117">
        <f t="shared" si="155"/>
        <v>0</v>
      </c>
      <c r="BD420" s="4117">
        <f t="shared" si="148"/>
        <v>0</v>
      </c>
      <c r="BE420" s="267"/>
    </row>
    <row r="421" spans="1:57" ht="76.5">
      <c r="A421" s="5978" t="s">
        <v>11140</v>
      </c>
      <c r="B421" s="1538" t="s">
        <v>6567</v>
      </c>
      <c r="C421" s="1509">
        <v>0</v>
      </c>
      <c r="D421" s="1510">
        <v>42905</v>
      </c>
      <c r="E421" s="3053" t="s">
        <v>6385</v>
      </c>
      <c r="F421" s="2139" t="s">
        <v>6544</v>
      </c>
      <c r="G421" s="2805">
        <v>114</v>
      </c>
      <c r="H421" s="1513" t="s">
        <v>4685</v>
      </c>
      <c r="I421" s="1514" t="s">
        <v>4686</v>
      </c>
      <c r="J421" s="1515" t="s">
        <v>4306</v>
      </c>
      <c r="K421" s="1516">
        <v>43635</v>
      </c>
      <c r="L421" s="1514" t="s">
        <v>4687</v>
      </c>
      <c r="M421" s="1515" t="s">
        <v>4688</v>
      </c>
      <c r="N421" s="1514" t="s">
        <v>4689</v>
      </c>
      <c r="O421" s="1513" t="s">
        <v>6234</v>
      </c>
      <c r="P421" s="1517" t="s">
        <v>6566</v>
      </c>
      <c r="Q421" s="6094" t="s">
        <v>4332</v>
      </c>
      <c r="R421" s="1515" t="s">
        <v>1046</v>
      </c>
      <c r="S421" s="1518"/>
      <c r="T421" s="1519">
        <v>465</v>
      </c>
      <c r="U421" s="1504">
        <v>0</v>
      </c>
      <c r="V421" s="1520">
        <f t="shared" si="156"/>
        <v>465</v>
      </c>
      <c r="W421" s="1519">
        <v>582</v>
      </c>
      <c r="X421" s="1504">
        <v>0</v>
      </c>
      <c r="Y421" s="1520">
        <f t="shared" si="157"/>
        <v>582</v>
      </c>
      <c r="Z421" s="1519">
        <v>166</v>
      </c>
      <c r="AA421" s="1504">
        <v>0</v>
      </c>
      <c r="AB421" s="1520">
        <f t="shared" si="158"/>
        <v>166</v>
      </c>
      <c r="AC421" s="1519"/>
      <c r="AD421" s="1504"/>
      <c r="AE421" s="1520"/>
      <c r="AF421" s="1519"/>
      <c r="AG421" s="1504"/>
      <c r="AH421" s="1520"/>
      <c r="AI421" s="1503">
        <f>T421+W421+Z421+AC421+AF421</f>
        <v>1213</v>
      </c>
      <c r="AJ421" s="1504">
        <f t="shared" si="160"/>
        <v>0</v>
      </c>
      <c r="AK421" s="3919">
        <v>0</v>
      </c>
      <c r="AL421" s="1505">
        <f t="shared" si="154"/>
        <v>1213</v>
      </c>
      <c r="AM421" s="1508" t="s">
        <v>7435</v>
      </c>
      <c r="AN421" s="3401">
        <v>43811</v>
      </c>
      <c r="AO421" s="3402" t="s">
        <v>7475</v>
      </c>
      <c r="AP421" s="3251" t="s">
        <v>6647</v>
      </c>
      <c r="AQ421" s="3248">
        <v>115.5</v>
      </c>
      <c r="AR421" s="1506">
        <v>0</v>
      </c>
      <c r="AS421" s="1507">
        <v>0</v>
      </c>
      <c r="AT421" s="1507">
        <v>0</v>
      </c>
      <c r="AU421" s="1507">
        <v>0</v>
      </c>
      <c r="AV421" s="1507">
        <v>0</v>
      </c>
      <c r="AW421" s="3247">
        <f>ROUND(AL421*AQ421/G421,0)+20</f>
        <v>1249</v>
      </c>
      <c r="AX421" s="3146"/>
      <c r="BA421" s="267"/>
      <c r="BB421" s="267"/>
      <c r="BC421" s="4117">
        <f t="shared" si="155"/>
        <v>0</v>
      </c>
      <c r="BD421" s="4117">
        <f t="shared" si="148"/>
        <v>0</v>
      </c>
      <c r="BE421" s="267"/>
    </row>
    <row r="422" spans="1:57" ht="76.5">
      <c r="A422" s="5978" t="s">
        <v>11140</v>
      </c>
      <c r="B422" s="1538" t="s">
        <v>6847</v>
      </c>
      <c r="C422" s="1509">
        <v>0</v>
      </c>
      <c r="D422" s="1510">
        <v>42885</v>
      </c>
      <c r="E422" s="3053" t="s">
        <v>6385</v>
      </c>
      <c r="F422" s="2139" t="s">
        <v>6558</v>
      </c>
      <c r="G422" s="2805">
        <v>114</v>
      </c>
      <c r="H422" s="1513" t="s">
        <v>6481</v>
      </c>
      <c r="I422" s="1514" t="s">
        <v>4619</v>
      </c>
      <c r="J422" s="1515" t="s">
        <v>4306</v>
      </c>
      <c r="K422" s="1516">
        <v>43615</v>
      </c>
      <c r="L422" s="1514" t="s">
        <v>4620</v>
      </c>
      <c r="M422" s="1515" t="s">
        <v>4621</v>
      </c>
      <c r="N422" s="1514" t="s">
        <v>4622</v>
      </c>
      <c r="O422" s="1513" t="s">
        <v>6232</v>
      </c>
      <c r="P422" s="1517" t="s">
        <v>6579</v>
      </c>
      <c r="Q422" s="6094" t="s">
        <v>4332</v>
      </c>
      <c r="R422" s="1515" t="s">
        <v>1046</v>
      </c>
      <c r="S422" s="1518"/>
      <c r="T422" s="1519">
        <v>465</v>
      </c>
      <c r="U422" s="1504">
        <v>0</v>
      </c>
      <c r="V422" s="1520">
        <f t="shared" si="156"/>
        <v>465</v>
      </c>
      <c r="W422" s="1519">
        <v>581</v>
      </c>
      <c r="X422" s="1504">
        <v>0</v>
      </c>
      <c r="Y422" s="1520">
        <f t="shared" si="157"/>
        <v>581</v>
      </c>
      <c r="Z422" s="1519">
        <v>166</v>
      </c>
      <c r="AA422" s="1504">
        <v>0</v>
      </c>
      <c r="AB422" s="1520">
        <f t="shared" si="158"/>
        <v>166</v>
      </c>
      <c r="AC422" s="1519"/>
      <c r="AD422" s="1504"/>
      <c r="AE422" s="1520"/>
      <c r="AF422" s="1519"/>
      <c r="AG422" s="1504"/>
      <c r="AH422" s="1520"/>
      <c r="AI422" s="1503">
        <v>1212</v>
      </c>
      <c r="AJ422" s="1504">
        <f t="shared" si="160"/>
        <v>0</v>
      </c>
      <c r="AK422" s="3919">
        <v>0</v>
      </c>
      <c r="AL422" s="1505">
        <f t="shared" si="154"/>
        <v>1212</v>
      </c>
      <c r="AM422" s="1508" t="s">
        <v>1061</v>
      </c>
      <c r="AN422" s="3401">
        <v>43812</v>
      </c>
      <c r="AO422" s="3402" t="s">
        <v>7480</v>
      </c>
      <c r="AP422" s="3251" t="s">
        <v>6647</v>
      </c>
      <c r="AQ422" s="3248">
        <v>115.5</v>
      </c>
      <c r="AR422" s="1506">
        <v>0</v>
      </c>
      <c r="AS422" s="1507">
        <v>0</v>
      </c>
      <c r="AT422" s="1507">
        <v>0</v>
      </c>
      <c r="AU422" s="1507">
        <v>0</v>
      </c>
      <c r="AV422" s="1507">
        <v>0</v>
      </c>
      <c r="AW422" s="3247">
        <f>ROUND(AL422*AQ422/G422,0)</f>
        <v>1228</v>
      </c>
      <c r="AX422" s="3146"/>
      <c r="BB422" s="267"/>
      <c r="BC422" s="4117">
        <f t="shared" si="155"/>
        <v>0</v>
      </c>
      <c r="BD422" s="4117">
        <f t="shared" si="148"/>
        <v>0</v>
      </c>
      <c r="BE422" s="267"/>
    </row>
    <row r="423" spans="1:57" ht="51">
      <c r="A423" s="5981" t="s">
        <v>11135</v>
      </c>
      <c r="B423" s="1538" t="s">
        <v>7211</v>
      </c>
      <c r="C423" s="1509">
        <v>0</v>
      </c>
      <c r="D423" s="1510">
        <v>43054</v>
      </c>
      <c r="E423" s="3053" t="s">
        <v>6385</v>
      </c>
      <c r="F423" s="1511" t="s">
        <v>5915</v>
      </c>
      <c r="G423" s="2663">
        <v>1.0119899999999999</v>
      </c>
      <c r="H423" s="1513" t="s">
        <v>5088</v>
      </c>
      <c r="I423" s="1514" t="s">
        <v>1433</v>
      </c>
      <c r="J423" s="1515" t="s">
        <v>1434</v>
      </c>
      <c r="K423" s="1516">
        <v>44515</v>
      </c>
      <c r="L423" s="1514" t="s">
        <v>5083</v>
      </c>
      <c r="M423" s="1515" t="s">
        <v>5084</v>
      </c>
      <c r="N423" s="1514" t="s">
        <v>5085</v>
      </c>
      <c r="O423" s="1513" t="s">
        <v>6321</v>
      </c>
      <c r="P423" s="1517"/>
      <c r="Q423" s="1515" t="s">
        <v>5086</v>
      </c>
      <c r="R423" s="1515" t="s">
        <v>5087</v>
      </c>
      <c r="S423" s="1518"/>
      <c r="T423" s="1519">
        <v>9715</v>
      </c>
      <c r="U423" s="1504">
        <v>0</v>
      </c>
      <c r="V423" s="1520">
        <f t="shared" si="156"/>
        <v>9715</v>
      </c>
      <c r="W423" s="1519">
        <v>12144</v>
      </c>
      <c r="X423" s="1504">
        <v>0</v>
      </c>
      <c r="Y423" s="1520">
        <f t="shared" si="157"/>
        <v>12144</v>
      </c>
      <c r="Z423" s="1519">
        <v>2428</v>
      </c>
      <c r="AA423" s="1504">
        <v>0</v>
      </c>
      <c r="AB423" s="1520">
        <f t="shared" si="158"/>
        <v>2428</v>
      </c>
      <c r="AC423" s="1519"/>
      <c r="AD423" s="1504"/>
      <c r="AE423" s="1520"/>
      <c r="AF423" s="1519"/>
      <c r="AG423" s="1504"/>
      <c r="AH423" s="1520"/>
      <c r="AI423" s="1503">
        <v>0</v>
      </c>
      <c r="AJ423" s="1504">
        <f t="shared" si="160"/>
        <v>0</v>
      </c>
      <c r="AK423" s="3919">
        <v>0</v>
      </c>
      <c r="AL423" s="1505">
        <v>0</v>
      </c>
      <c r="AM423" s="3586" t="s">
        <v>7481</v>
      </c>
      <c r="AN423" s="3401">
        <v>43812</v>
      </c>
      <c r="AO423" s="3402" t="s">
        <v>7482</v>
      </c>
      <c r="AP423" s="2664" t="s">
        <v>6894</v>
      </c>
      <c r="AQ423" s="2806">
        <v>1.047839</v>
      </c>
      <c r="AR423" s="1506">
        <v>0</v>
      </c>
      <c r="AS423" s="1507">
        <v>0</v>
      </c>
      <c r="AT423" s="1507">
        <v>0</v>
      </c>
      <c r="AU423" s="1507">
        <v>0</v>
      </c>
      <c r="AV423" s="1507">
        <v>0</v>
      </c>
      <c r="AW423" s="3247">
        <v>5000</v>
      </c>
      <c r="AX423" s="3148" t="s">
        <v>7474</v>
      </c>
      <c r="BA423" s="267"/>
      <c r="BB423" s="267"/>
      <c r="BC423" s="4117">
        <f t="shared" si="155"/>
        <v>0</v>
      </c>
      <c r="BD423" s="4117">
        <f t="shared" si="148"/>
        <v>0</v>
      </c>
      <c r="BE423" s="267"/>
    </row>
    <row r="424" spans="1:57" ht="38.25">
      <c r="A424" s="5981" t="s">
        <v>11135</v>
      </c>
      <c r="B424" s="1538" t="s">
        <v>7478</v>
      </c>
      <c r="C424" s="1509">
        <v>0</v>
      </c>
      <c r="D424" s="1510">
        <v>43229</v>
      </c>
      <c r="E424" s="3053" t="s">
        <v>6385</v>
      </c>
      <c r="F424" s="1511" t="s">
        <v>5915</v>
      </c>
      <c r="G424" s="2663">
        <v>1.0119899999999999</v>
      </c>
      <c r="H424" s="1513" t="s">
        <v>7479</v>
      </c>
      <c r="I424" s="1514" t="s">
        <v>1433</v>
      </c>
      <c r="J424" s="1515" t="s">
        <v>1434</v>
      </c>
      <c r="K424" s="1516">
        <v>44689</v>
      </c>
      <c r="L424" s="1514" t="s">
        <v>4384</v>
      </c>
      <c r="M424" s="1515" t="s">
        <v>5500</v>
      </c>
      <c r="N424" s="1514" t="s">
        <v>5501</v>
      </c>
      <c r="O424" s="1513" t="s">
        <v>6304</v>
      </c>
      <c r="P424" s="1517" t="s">
        <v>7476</v>
      </c>
      <c r="Q424" s="1515" t="s">
        <v>7477</v>
      </c>
      <c r="R424" s="1515" t="s">
        <v>5465</v>
      </c>
      <c r="S424" s="1518"/>
      <c r="T424" s="1519">
        <f>ROUND(20402/3,0)</f>
        <v>6801</v>
      </c>
      <c r="U424" s="1504">
        <v>0</v>
      </c>
      <c r="V424" s="1520">
        <f t="shared" si="156"/>
        <v>6801</v>
      </c>
      <c r="W424" s="1519">
        <f>ROUND(25502/3,0)</f>
        <v>8501</v>
      </c>
      <c r="X424" s="1504">
        <v>0</v>
      </c>
      <c r="Y424" s="1520">
        <f t="shared" si="157"/>
        <v>8501</v>
      </c>
      <c r="Z424" s="1519">
        <f>ROUND(5100/3,0)</f>
        <v>1700</v>
      </c>
      <c r="AA424" s="1504">
        <v>0</v>
      </c>
      <c r="AB424" s="1520">
        <f t="shared" si="158"/>
        <v>1700</v>
      </c>
      <c r="AC424" s="1519"/>
      <c r="AD424" s="1504"/>
      <c r="AE424" s="1520"/>
      <c r="AF424" s="1519"/>
      <c r="AG424" s="1504"/>
      <c r="AH424" s="1520"/>
      <c r="AI424" s="1503">
        <v>51004</v>
      </c>
      <c r="AJ424" s="1504">
        <f t="shared" si="160"/>
        <v>0</v>
      </c>
      <c r="AK424" s="3919">
        <v>0</v>
      </c>
      <c r="AL424" s="1505">
        <f t="shared" ref="AL424:AL455" si="161">AI424-AJ424-AK424</f>
        <v>51004</v>
      </c>
      <c r="AM424" s="4219" t="s">
        <v>7497</v>
      </c>
      <c r="AN424" s="3401" t="s">
        <v>7498</v>
      </c>
      <c r="AO424" s="3402" t="s">
        <v>7499</v>
      </c>
      <c r="AP424" s="2664" t="s">
        <v>6894</v>
      </c>
      <c r="AQ424" s="2806">
        <v>1.047839</v>
      </c>
      <c r="AR424" s="1506">
        <v>0</v>
      </c>
      <c r="AS424" s="1507">
        <v>0</v>
      </c>
      <c r="AT424" s="1507">
        <v>0</v>
      </c>
      <c r="AU424" s="1507">
        <v>0</v>
      </c>
      <c r="AV424" s="1507">
        <v>0</v>
      </c>
      <c r="AW424" s="3247">
        <f>ROUND(AL424*AQ424/G424,0)</f>
        <v>52811</v>
      </c>
      <c r="AX424" s="3148" t="s">
        <v>7500</v>
      </c>
      <c r="BA424" s="267"/>
      <c r="BB424" s="267"/>
      <c r="BC424" s="4117">
        <f t="shared" si="155"/>
        <v>0</v>
      </c>
      <c r="BD424" s="4117">
        <f t="shared" si="148"/>
        <v>0</v>
      </c>
      <c r="BE424" s="267"/>
    </row>
    <row r="425" spans="1:57" ht="51">
      <c r="A425" s="5978" t="s">
        <v>11140</v>
      </c>
      <c r="B425" s="1538" t="s">
        <v>6850</v>
      </c>
      <c r="C425" s="1509">
        <v>0</v>
      </c>
      <c r="D425" s="1510">
        <v>43256</v>
      </c>
      <c r="E425" s="3053" t="s">
        <v>6385</v>
      </c>
      <c r="F425" s="2139" t="s">
        <v>5823</v>
      </c>
      <c r="G425" s="2805">
        <v>112.9</v>
      </c>
      <c r="H425" s="1513" t="s">
        <v>5634</v>
      </c>
      <c r="I425" s="1514" t="s">
        <v>1433</v>
      </c>
      <c r="J425" s="1515" t="s">
        <v>1434</v>
      </c>
      <c r="K425" s="1516">
        <v>45442</v>
      </c>
      <c r="L425" s="1514" t="s">
        <v>5635</v>
      </c>
      <c r="M425" s="1515" t="s">
        <v>5636</v>
      </c>
      <c r="N425" s="1514" t="s">
        <v>5637</v>
      </c>
      <c r="O425" s="1513" t="s">
        <v>6301</v>
      </c>
      <c r="P425" s="1517" t="s">
        <v>5829</v>
      </c>
      <c r="Q425" s="1515" t="s">
        <v>5639</v>
      </c>
      <c r="R425" s="1515" t="s">
        <v>5640</v>
      </c>
      <c r="S425" s="1518"/>
      <c r="T425" s="1519">
        <v>4065</v>
      </c>
      <c r="U425" s="1504">
        <v>0</v>
      </c>
      <c r="V425" s="1520">
        <f t="shared" si="156"/>
        <v>4065</v>
      </c>
      <c r="W425" s="1519">
        <v>717</v>
      </c>
      <c r="X425" s="1504">
        <v>0</v>
      </c>
      <c r="Y425" s="1520">
        <f t="shared" si="157"/>
        <v>717</v>
      </c>
      <c r="Z425" s="1519">
        <v>313</v>
      </c>
      <c r="AA425" s="1504">
        <v>0</v>
      </c>
      <c r="AB425" s="1520">
        <f t="shared" si="158"/>
        <v>313</v>
      </c>
      <c r="AC425" s="1519"/>
      <c r="AD425" s="1504"/>
      <c r="AE425" s="1520"/>
      <c r="AF425" s="1519"/>
      <c r="AG425" s="1504"/>
      <c r="AH425" s="1520"/>
      <c r="AI425" s="1503">
        <f>T425+W425+Z425+AC425+AF425</f>
        <v>5095</v>
      </c>
      <c r="AJ425" s="1504">
        <f t="shared" si="160"/>
        <v>0</v>
      </c>
      <c r="AK425" s="3919">
        <v>0</v>
      </c>
      <c r="AL425" s="1505">
        <f t="shared" si="161"/>
        <v>5095</v>
      </c>
      <c r="AM425" s="1508" t="s">
        <v>1061</v>
      </c>
      <c r="AN425" s="3401">
        <v>43817</v>
      </c>
      <c r="AO425" s="3402" t="s">
        <v>7502</v>
      </c>
      <c r="AP425" s="3251" t="s">
        <v>6647</v>
      </c>
      <c r="AQ425" s="3248">
        <v>115.5</v>
      </c>
      <c r="AR425" s="1506">
        <v>0</v>
      </c>
      <c r="AS425" s="1507">
        <v>0</v>
      </c>
      <c r="AT425" s="1507">
        <v>0</v>
      </c>
      <c r="AU425" s="1507">
        <v>0</v>
      </c>
      <c r="AV425" s="1507">
        <v>0</v>
      </c>
      <c r="AW425" s="3247">
        <f>ROUND(AL425*AQ425/G425,0)</f>
        <v>5212</v>
      </c>
      <c r="AX425" s="3146"/>
      <c r="BA425" s="267"/>
      <c r="BB425" s="267"/>
      <c r="BC425" s="4117">
        <f t="shared" si="155"/>
        <v>0</v>
      </c>
      <c r="BD425" s="4117">
        <f t="shared" si="148"/>
        <v>0</v>
      </c>
      <c r="BE425" s="267"/>
    </row>
    <row r="426" spans="1:57" ht="89.25">
      <c r="A426" s="5978" t="s">
        <v>11140</v>
      </c>
      <c r="B426" s="1538" t="s">
        <v>6729</v>
      </c>
      <c r="C426" s="1509">
        <v>0</v>
      </c>
      <c r="D426" s="1510">
        <v>42807</v>
      </c>
      <c r="E426" s="3053" t="s">
        <v>6385</v>
      </c>
      <c r="F426" s="2139" t="s">
        <v>6634</v>
      </c>
      <c r="G426" s="2805">
        <v>114.1</v>
      </c>
      <c r="H426" s="1513" t="s">
        <v>4411</v>
      </c>
      <c r="I426" s="1514" t="s">
        <v>4412</v>
      </c>
      <c r="J426" s="1515" t="s">
        <v>4306</v>
      </c>
      <c r="K426" s="1516">
        <v>43537</v>
      </c>
      <c r="L426" s="1514" t="s">
        <v>4415</v>
      </c>
      <c r="M426" s="1515" t="s">
        <v>4413</v>
      </c>
      <c r="N426" s="1514" t="s">
        <v>4414</v>
      </c>
      <c r="O426" s="1513" t="s">
        <v>6224</v>
      </c>
      <c r="P426" s="1517" t="s">
        <v>6730</v>
      </c>
      <c r="Q426" s="6094" t="s">
        <v>4332</v>
      </c>
      <c r="R426" s="1515" t="s">
        <v>1046</v>
      </c>
      <c r="S426" s="1518"/>
      <c r="T426" s="1519">
        <v>580</v>
      </c>
      <c r="U426" s="1504">
        <v>0</v>
      </c>
      <c r="V426" s="1520">
        <f t="shared" si="156"/>
        <v>580</v>
      </c>
      <c r="W426" s="1519">
        <v>753</v>
      </c>
      <c r="X426" s="1504">
        <v>0</v>
      </c>
      <c r="Y426" s="1520">
        <f t="shared" si="157"/>
        <v>753</v>
      </c>
      <c r="Z426" s="1519">
        <v>276</v>
      </c>
      <c r="AA426" s="1504">
        <v>0</v>
      </c>
      <c r="AB426" s="1520">
        <f t="shared" si="158"/>
        <v>276</v>
      </c>
      <c r="AC426" s="1519"/>
      <c r="AD426" s="1504"/>
      <c r="AE426" s="1520"/>
      <c r="AF426" s="1519"/>
      <c r="AG426" s="1504"/>
      <c r="AH426" s="1520"/>
      <c r="AI426" s="1503">
        <f>T426+W426+Z426+AC426+AF426</f>
        <v>1609</v>
      </c>
      <c r="AJ426" s="1504">
        <f t="shared" si="160"/>
        <v>0</v>
      </c>
      <c r="AK426" s="3919">
        <v>0</v>
      </c>
      <c r="AL426" s="1505">
        <f t="shared" si="161"/>
        <v>1609</v>
      </c>
      <c r="AM426" s="1508" t="s">
        <v>7501</v>
      </c>
      <c r="AN426" s="3401">
        <v>43818</v>
      </c>
      <c r="AO426" s="3402" t="s">
        <v>7503</v>
      </c>
      <c r="AP426" s="3251" t="s">
        <v>6647</v>
      </c>
      <c r="AQ426" s="3248">
        <v>115.5</v>
      </c>
      <c r="AR426" s="1506">
        <v>0</v>
      </c>
      <c r="AS426" s="1507">
        <v>0</v>
      </c>
      <c r="AT426" s="1507">
        <v>0</v>
      </c>
      <c r="AU426" s="1507">
        <v>0</v>
      </c>
      <c r="AV426" s="1507">
        <v>0</v>
      </c>
      <c r="AW426" s="3247">
        <v>1609</v>
      </c>
      <c r="AX426" s="4277"/>
      <c r="AY426" s="3635"/>
      <c r="AZ426" s="4030"/>
      <c r="BA426" s="1727"/>
      <c r="BB426" s="267"/>
      <c r="BC426" s="4117">
        <f t="shared" si="155"/>
        <v>0</v>
      </c>
      <c r="BD426" s="4117">
        <f t="shared" si="148"/>
        <v>0</v>
      </c>
      <c r="BE426" s="267"/>
    </row>
    <row r="427" spans="1:57" ht="76.5">
      <c r="A427" s="5978" t="s">
        <v>11140</v>
      </c>
      <c r="B427" s="1538" t="s">
        <v>6099</v>
      </c>
      <c r="C427" s="1509">
        <v>0</v>
      </c>
      <c r="D427" s="1510">
        <v>42922</v>
      </c>
      <c r="E427" s="3053" t="s">
        <v>6385</v>
      </c>
      <c r="F427" s="2139" t="s">
        <v>6738</v>
      </c>
      <c r="G427" s="2805">
        <v>111</v>
      </c>
      <c r="H427" s="1513" t="s">
        <v>4722</v>
      </c>
      <c r="I427" s="1514" t="s">
        <v>4723</v>
      </c>
      <c r="J427" s="1515" t="s">
        <v>4306</v>
      </c>
      <c r="K427" s="1516">
        <v>43652</v>
      </c>
      <c r="L427" s="1514" t="s">
        <v>4724</v>
      </c>
      <c r="M427" s="1515" t="s">
        <v>4725</v>
      </c>
      <c r="N427" s="1514" t="s">
        <v>4726</v>
      </c>
      <c r="O427" s="1513" t="s">
        <v>4977</v>
      </c>
      <c r="P427" s="1517" t="s">
        <v>5032</v>
      </c>
      <c r="Q427" s="6094" t="s">
        <v>4332</v>
      </c>
      <c r="R427" s="1515" t="s">
        <v>1046</v>
      </c>
      <c r="S427" s="2462"/>
      <c r="T427" s="1519">
        <v>382</v>
      </c>
      <c r="U427" s="1504">
        <v>0</v>
      </c>
      <c r="V427" s="1520">
        <f t="shared" si="156"/>
        <v>382</v>
      </c>
      <c r="W427" s="1519">
        <v>479</v>
      </c>
      <c r="X427" s="1504">
        <v>0</v>
      </c>
      <c r="Y427" s="1520">
        <f t="shared" si="157"/>
        <v>479</v>
      </c>
      <c r="Z427" s="1519">
        <v>137</v>
      </c>
      <c r="AA427" s="1504">
        <v>0</v>
      </c>
      <c r="AB427" s="1520">
        <f t="shared" si="158"/>
        <v>137</v>
      </c>
      <c r="AC427" s="4278"/>
      <c r="AD427" s="4279"/>
      <c r="AE427" s="4280"/>
      <c r="AF427" s="4278"/>
      <c r="AG427" s="4279"/>
      <c r="AH427" s="4280"/>
      <c r="AI427" s="1503">
        <f>T427+W427+Z427+AC427+AF427</f>
        <v>998</v>
      </c>
      <c r="AJ427" s="1504">
        <f t="shared" si="160"/>
        <v>0</v>
      </c>
      <c r="AK427" s="3919">
        <v>0</v>
      </c>
      <c r="AL427" s="1505">
        <f t="shared" si="161"/>
        <v>998</v>
      </c>
      <c r="AM427" s="1508" t="s">
        <v>1061</v>
      </c>
      <c r="AN427" s="3401">
        <v>43819</v>
      </c>
      <c r="AO427" s="3402" t="s">
        <v>7504</v>
      </c>
      <c r="AP427" s="3251" t="s">
        <v>6647</v>
      </c>
      <c r="AQ427" s="3248">
        <v>115.5</v>
      </c>
      <c r="AR427" s="1506">
        <v>0</v>
      </c>
      <c r="AS427" s="1507">
        <v>0</v>
      </c>
      <c r="AT427" s="1507">
        <v>0</v>
      </c>
      <c r="AU427" s="1507">
        <v>0</v>
      </c>
      <c r="AV427" s="1507">
        <v>0</v>
      </c>
      <c r="AW427" s="3247">
        <f>ROUND(AL427*AQ427/G427,0)</f>
        <v>1038</v>
      </c>
      <c r="AX427" s="3146"/>
      <c r="AY427" s="3635"/>
      <c r="AZ427" s="4030"/>
      <c r="BA427" s="1727"/>
      <c r="BB427" s="267"/>
      <c r="BC427" s="4117">
        <f t="shared" si="155"/>
        <v>0</v>
      </c>
      <c r="BD427" s="4117">
        <f t="shared" si="148"/>
        <v>0</v>
      </c>
      <c r="BE427" s="267"/>
    </row>
    <row r="428" spans="1:57" ht="76.5">
      <c r="A428" s="5978" t="s">
        <v>11142</v>
      </c>
      <c r="B428" s="1538" t="s">
        <v>6675</v>
      </c>
      <c r="C428" s="1509">
        <v>0</v>
      </c>
      <c r="D428" s="1510">
        <v>42823</v>
      </c>
      <c r="E428" s="3053" t="s">
        <v>6385</v>
      </c>
      <c r="F428" s="2139" t="s">
        <v>6634</v>
      </c>
      <c r="G428" s="2805">
        <v>114.1</v>
      </c>
      <c r="H428" s="1513" t="s">
        <v>4478</v>
      </c>
      <c r="I428" s="1514" t="s">
        <v>4479</v>
      </c>
      <c r="J428" s="1515" t="s">
        <v>4306</v>
      </c>
      <c r="K428" s="1516">
        <v>43553</v>
      </c>
      <c r="L428" s="1514" t="s">
        <v>4480</v>
      </c>
      <c r="M428" s="1515" t="s">
        <v>4481</v>
      </c>
      <c r="N428" s="1514" t="s">
        <v>4482</v>
      </c>
      <c r="O428" s="1513" t="s">
        <v>6227</v>
      </c>
      <c r="P428" s="1517" t="s">
        <v>6676</v>
      </c>
      <c r="Q428" s="6094" t="s">
        <v>4332</v>
      </c>
      <c r="R428" s="1515" t="s">
        <v>1046</v>
      </c>
      <c r="S428" s="1518"/>
      <c r="T428" s="1519">
        <v>580</v>
      </c>
      <c r="U428" s="1504">
        <v>0</v>
      </c>
      <c r="V428" s="1520">
        <f t="shared" si="156"/>
        <v>580</v>
      </c>
      <c r="W428" s="1519">
        <v>725</v>
      </c>
      <c r="X428" s="1504">
        <v>0</v>
      </c>
      <c r="Y428" s="1520">
        <f t="shared" si="157"/>
        <v>725</v>
      </c>
      <c r="Z428" s="1519">
        <v>207</v>
      </c>
      <c r="AA428" s="1504">
        <v>0</v>
      </c>
      <c r="AB428" s="1520">
        <f t="shared" si="158"/>
        <v>207</v>
      </c>
      <c r="AC428" s="1519"/>
      <c r="AD428" s="1504"/>
      <c r="AE428" s="1520"/>
      <c r="AF428" s="1519"/>
      <c r="AG428" s="1504"/>
      <c r="AH428" s="1520"/>
      <c r="AI428" s="1503">
        <f>T428+W428+Z428+AC428+AF428</f>
        <v>1512</v>
      </c>
      <c r="AJ428" s="1504">
        <f t="shared" si="160"/>
        <v>0</v>
      </c>
      <c r="AK428" s="3919">
        <v>0</v>
      </c>
      <c r="AL428" s="1505">
        <f t="shared" si="161"/>
        <v>1512</v>
      </c>
      <c r="AM428" s="1508" t="s">
        <v>1061</v>
      </c>
      <c r="AN428" s="3401">
        <v>43818</v>
      </c>
      <c r="AO428" s="3402" t="s">
        <v>7516</v>
      </c>
      <c r="AP428" s="3251" t="s">
        <v>6647</v>
      </c>
      <c r="AQ428" s="3248">
        <v>115.5</v>
      </c>
      <c r="AR428" s="1506">
        <v>0</v>
      </c>
      <c r="AS428" s="1507">
        <v>0</v>
      </c>
      <c r="AT428" s="1507">
        <v>0</v>
      </c>
      <c r="AU428" s="1507">
        <v>0</v>
      </c>
      <c r="AV428" s="1507">
        <v>0</v>
      </c>
      <c r="AW428" s="3247">
        <f>ROUND(AL428*AQ428/G428,0)</f>
        <v>1531</v>
      </c>
      <c r="AX428" s="3146"/>
      <c r="AY428" s="3635"/>
      <c r="AZ428" s="4030"/>
      <c r="BA428" s="1727"/>
      <c r="BB428" s="267"/>
      <c r="BC428" s="4117">
        <f t="shared" si="155"/>
        <v>0</v>
      </c>
      <c r="BD428" s="4117">
        <f t="shared" si="148"/>
        <v>0</v>
      </c>
      <c r="BE428" s="267"/>
    </row>
    <row r="429" spans="1:57" ht="90" thickBot="1">
      <c r="A429" s="6040" t="s">
        <v>11135</v>
      </c>
      <c r="B429" s="3723" t="s">
        <v>7518</v>
      </c>
      <c r="C429" s="4281">
        <v>0</v>
      </c>
      <c r="D429" s="4282" t="s">
        <v>7090</v>
      </c>
      <c r="E429" s="4283" t="s">
        <v>6386</v>
      </c>
      <c r="F429" s="4284" t="s">
        <v>7088</v>
      </c>
      <c r="G429" s="4285">
        <v>1.047839</v>
      </c>
      <c r="H429" s="4286" t="s">
        <v>7038</v>
      </c>
      <c r="I429" s="3728" t="s">
        <v>6039</v>
      </c>
      <c r="J429" s="4287" t="s">
        <v>4306</v>
      </c>
      <c r="K429" s="4288">
        <v>44161</v>
      </c>
      <c r="L429" s="4289" t="s">
        <v>6040</v>
      </c>
      <c r="M429" s="4290" t="s">
        <v>6041</v>
      </c>
      <c r="N429" s="3728" t="s">
        <v>6042</v>
      </c>
      <c r="O429" s="4286" t="s">
        <v>6257</v>
      </c>
      <c r="P429" s="3731" t="s">
        <v>7091</v>
      </c>
      <c r="Q429" s="6102" t="s">
        <v>5708</v>
      </c>
      <c r="R429" s="4287" t="s">
        <v>5350</v>
      </c>
      <c r="S429" s="4291"/>
      <c r="T429" s="3733">
        <v>2444</v>
      </c>
      <c r="U429" s="4292">
        <v>0</v>
      </c>
      <c r="V429" s="4293">
        <f t="shared" si="156"/>
        <v>2444</v>
      </c>
      <c r="W429" s="3733">
        <v>3056</v>
      </c>
      <c r="X429" s="4292">
        <v>0</v>
      </c>
      <c r="Y429" s="4293">
        <f t="shared" si="157"/>
        <v>3056</v>
      </c>
      <c r="Z429" s="3733">
        <v>611</v>
      </c>
      <c r="AA429" s="4292">
        <v>0</v>
      </c>
      <c r="AB429" s="4293">
        <f t="shared" si="158"/>
        <v>611</v>
      </c>
      <c r="AC429" s="3733"/>
      <c r="AD429" s="4292"/>
      <c r="AE429" s="4293"/>
      <c r="AF429" s="3733"/>
      <c r="AG429" s="4292"/>
      <c r="AH429" s="4293"/>
      <c r="AI429" s="3739">
        <v>1641</v>
      </c>
      <c r="AJ429" s="4292">
        <f t="shared" si="160"/>
        <v>0</v>
      </c>
      <c r="AK429" s="4294">
        <v>0</v>
      </c>
      <c r="AL429" s="4295">
        <f t="shared" si="161"/>
        <v>1641</v>
      </c>
      <c r="AM429" s="3741" t="s">
        <v>1061</v>
      </c>
      <c r="AN429" s="4296">
        <v>43822</v>
      </c>
      <c r="AO429" s="4297" t="s">
        <v>7517</v>
      </c>
      <c r="AP429" s="4298" t="s">
        <v>6894</v>
      </c>
      <c r="AQ429" s="4299">
        <v>1.047839</v>
      </c>
      <c r="AR429" s="3744">
        <v>0</v>
      </c>
      <c r="AS429" s="4300">
        <v>0</v>
      </c>
      <c r="AT429" s="4300">
        <v>0</v>
      </c>
      <c r="AU429" s="4300">
        <v>0</v>
      </c>
      <c r="AV429" s="4300">
        <v>0</v>
      </c>
      <c r="AW429" s="4301">
        <f>ROUND(AL429*AQ429/G429,0)</f>
        <v>1641</v>
      </c>
      <c r="AX429" s="3747"/>
      <c r="AY429" s="4029" t="s">
        <v>7416</v>
      </c>
      <c r="AZ429" s="3888">
        <f>SUM(AW416:AW429)</f>
        <v>118548</v>
      </c>
      <c r="BA429" s="4028">
        <f>AZ429</f>
        <v>118548</v>
      </c>
      <c r="BB429" s="267"/>
      <c r="BC429" s="4117">
        <f t="shared" si="155"/>
        <v>0</v>
      </c>
      <c r="BD429" s="4117">
        <f t="shared" si="148"/>
        <v>0</v>
      </c>
      <c r="BE429" s="267"/>
    </row>
    <row r="430" spans="1:57" ht="89.25">
      <c r="A430" s="5967" t="s">
        <v>11140</v>
      </c>
      <c r="B430" s="827" t="s">
        <v>6849</v>
      </c>
      <c r="C430" s="828">
        <v>0</v>
      </c>
      <c r="D430" s="829">
        <v>43228</v>
      </c>
      <c r="E430" s="829" t="s">
        <v>6385</v>
      </c>
      <c r="F430" s="1865" t="s">
        <v>6558</v>
      </c>
      <c r="G430" s="2671">
        <v>114</v>
      </c>
      <c r="H430" s="832" t="s">
        <v>5486</v>
      </c>
      <c r="I430" s="833" t="s">
        <v>5487</v>
      </c>
      <c r="J430" s="834" t="s">
        <v>4306</v>
      </c>
      <c r="K430" s="835">
        <v>43959</v>
      </c>
      <c r="L430" s="833" t="s">
        <v>5488</v>
      </c>
      <c r="M430" s="834" t="s">
        <v>5489</v>
      </c>
      <c r="N430" s="833" t="s">
        <v>5490</v>
      </c>
      <c r="O430" s="834" t="s">
        <v>5489</v>
      </c>
      <c r="P430" s="836" t="s">
        <v>7179</v>
      </c>
      <c r="Q430" s="6096" t="s">
        <v>5349</v>
      </c>
      <c r="R430" s="834" t="s">
        <v>5350</v>
      </c>
      <c r="S430" s="2405"/>
      <c r="T430" s="838">
        <v>473</v>
      </c>
      <c r="U430" s="839">
        <v>0</v>
      </c>
      <c r="V430" s="840">
        <f t="shared" si="156"/>
        <v>473</v>
      </c>
      <c r="W430" s="838">
        <v>591</v>
      </c>
      <c r="X430" s="839">
        <v>0</v>
      </c>
      <c r="Y430" s="840">
        <f t="shared" si="157"/>
        <v>591</v>
      </c>
      <c r="Z430" s="838">
        <f>168+1</f>
        <v>169</v>
      </c>
      <c r="AA430" s="839">
        <v>0</v>
      </c>
      <c r="AB430" s="840">
        <f t="shared" si="158"/>
        <v>169</v>
      </c>
      <c r="AC430" s="838"/>
      <c r="AD430" s="839"/>
      <c r="AE430" s="840"/>
      <c r="AF430" s="838"/>
      <c r="AG430" s="839"/>
      <c r="AH430" s="840"/>
      <c r="AI430" s="841">
        <f>T430+W430+Z430+AC430+AF430</f>
        <v>1233</v>
      </c>
      <c r="AJ430" s="839">
        <f t="shared" si="160"/>
        <v>0</v>
      </c>
      <c r="AK430" s="3906">
        <v>0</v>
      </c>
      <c r="AL430" s="869">
        <f t="shared" si="161"/>
        <v>1233</v>
      </c>
      <c r="AM430" s="3608" t="s">
        <v>7519</v>
      </c>
      <c r="AN430" s="3360" t="s">
        <v>7520</v>
      </c>
      <c r="AO430" s="3361" t="s">
        <v>7522</v>
      </c>
      <c r="AP430" s="3696" t="s">
        <v>6647</v>
      </c>
      <c r="AQ430" s="3697">
        <v>115.5</v>
      </c>
      <c r="AR430" s="846">
        <v>0</v>
      </c>
      <c r="AS430" s="847">
        <v>0</v>
      </c>
      <c r="AT430" s="847">
        <v>0</v>
      </c>
      <c r="AU430" s="847">
        <v>0</v>
      </c>
      <c r="AV430" s="847">
        <v>0</v>
      </c>
      <c r="AW430" s="2872">
        <f>ROUND(AL430*AQ430/G430,0)-17</f>
        <v>1232</v>
      </c>
      <c r="AX430" s="2891"/>
      <c r="BA430" s="267"/>
      <c r="BB430" s="267"/>
      <c r="BC430" s="4117">
        <f t="shared" si="155"/>
        <v>0</v>
      </c>
      <c r="BD430" s="4117">
        <f t="shared" si="148"/>
        <v>0</v>
      </c>
      <c r="BE430" s="267"/>
    </row>
    <row r="431" spans="1:57" ht="76.5">
      <c r="A431" s="5964" t="s">
        <v>11140</v>
      </c>
      <c r="B431" s="338" t="s">
        <v>6563</v>
      </c>
      <c r="C431" s="321">
        <v>0</v>
      </c>
      <c r="D431" s="323">
        <v>42757</v>
      </c>
      <c r="E431" s="3051" t="s">
        <v>6385</v>
      </c>
      <c r="F431" s="1203" t="s">
        <v>6558</v>
      </c>
      <c r="G431" s="2669">
        <v>114</v>
      </c>
      <c r="H431" s="332" t="s">
        <v>5233</v>
      </c>
      <c r="I431" s="339" t="s">
        <v>5239</v>
      </c>
      <c r="J431" s="322" t="s">
        <v>4306</v>
      </c>
      <c r="K431" s="340">
        <v>43482</v>
      </c>
      <c r="L431" s="339" t="s">
        <v>5240</v>
      </c>
      <c r="M431" s="322" t="s">
        <v>5241</v>
      </c>
      <c r="N431" s="339" t="s">
        <v>5243</v>
      </c>
      <c r="O431" s="332" t="s">
        <v>6275</v>
      </c>
      <c r="P431" s="345" t="s">
        <v>6557</v>
      </c>
      <c r="Q431" s="6094" t="s">
        <v>5234</v>
      </c>
      <c r="R431" s="322" t="s">
        <v>1100</v>
      </c>
      <c r="S431" s="346"/>
      <c r="T431" s="347">
        <v>469</v>
      </c>
      <c r="U431" s="326">
        <v>0</v>
      </c>
      <c r="V431" s="348">
        <f t="shared" si="156"/>
        <v>469</v>
      </c>
      <c r="W431" s="347">
        <v>586</v>
      </c>
      <c r="X431" s="326">
        <v>0</v>
      </c>
      <c r="Y431" s="348">
        <f t="shared" si="157"/>
        <v>586</v>
      </c>
      <c r="Z431" s="347">
        <v>167</v>
      </c>
      <c r="AA431" s="326">
        <v>0</v>
      </c>
      <c r="AB431" s="348">
        <f t="shared" si="158"/>
        <v>167</v>
      </c>
      <c r="AC431" s="347"/>
      <c r="AD431" s="326"/>
      <c r="AE431" s="348"/>
      <c r="AF431" s="347"/>
      <c r="AG431" s="326"/>
      <c r="AH431" s="348"/>
      <c r="AI431" s="482">
        <f>T431+W431+Z431+AC431+AF431</f>
        <v>1222</v>
      </c>
      <c r="AJ431" s="326">
        <f t="shared" si="160"/>
        <v>0</v>
      </c>
      <c r="AK431" s="3917">
        <v>0</v>
      </c>
      <c r="AL431" s="349">
        <f t="shared" si="161"/>
        <v>1222</v>
      </c>
      <c r="AM431" s="2002" t="s">
        <v>1061</v>
      </c>
      <c r="AN431" s="3357">
        <v>43833</v>
      </c>
      <c r="AO431" s="695" t="s">
        <v>7537</v>
      </c>
      <c r="AP431" s="3222" t="s">
        <v>6647</v>
      </c>
      <c r="AQ431" s="3223">
        <v>115.5</v>
      </c>
      <c r="AR431" s="333">
        <v>0</v>
      </c>
      <c r="AS431" s="330">
        <v>0</v>
      </c>
      <c r="AT431" s="330">
        <v>0</v>
      </c>
      <c r="AU431" s="330">
        <v>0</v>
      </c>
      <c r="AV431" s="330">
        <v>0</v>
      </c>
      <c r="AW431" s="3156">
        <f>ROUND(AL431*AQ431/G431,0)</f>
        <v>1238</v>
      </c>
      <c r="AX431" s="3140"/>
      <c r="BA431" s="267"/>
      <c r="BB431" s="267"/>
      <c r="BC431" s="4117">
        <f t="shared" si="155"/>
        <v>0</v>
      </c>
      <c r="BD431" s="4117">
        <f t="shared" si="148"/>
        <v>0</v>
      </c>
      <c r="BE431" s="267"/>
    </row>
    <row r="432" spans="1:57" ht="127.5">
      <c r="A432" s="5964" t="s">
        <v>11140</v>
      </c>
      <c r="B432" s="338" t="s">
        <v>7588</v>
      </c>
      <c r="C432" s="321">
        <v>2</v>
      </c>
      <c r="D432" s="323">
        <v>42862</v>
      </c>
      <c r="E432" s="3051" t="s">
        <v>6385</v>
      </c>
      <c r="F432" s="1203" t="s">
        <v>6032</v>
      </c>
      <c r="G432" s="2669">
        <v>113.4</v>
      </c>
      <c r="H432" s="332" t="s">
        <v>4557</v>
      </c>
      <c r="I432" s="339" t="s">
        <v>1433</v>
      </c>
      <c r="J432" s="322" t="s">
        <v>1434</v>
      </c>
      <c r="K432" s="340">
        <v>44323</v>
      </c>
      <c r="L432" s="339" t="s">
        <v>6131</v>
      </c>
      <c r="M432" s="322" t="s">
        <v>4558</v>
      </c>
      <c r="N432" s="339" t="s">
        <v>4559</v>
      </c>
      <c r="O432" s="332" t="s">
        <v>6333</v>
      </c>
      <c r="P432" s="667" t="s">
        <v>7546</v>
      </c>
      <c r="Q432" s="322" t="s">
        <v>4561</v>
      </c>
      <c r="R432" s="322" t="s">
        <v>6127</v>
      </c>
      <c r="S432" s="2461"/>
      <c r="T432" s="347">
        <v>1077</v>
      </c>
      <c r="U432" s="326">
        <v>0</v>
      </c>
      <c r="V432" s="348">
        <f t="shared" si="156"/>
        <v>1077</v>
      </c>
      <c r="W432" s="347">
        <v>639</v>
      </c>
      <c r="X432" s="326">
        <v>0</v>
      </c>
      <c r="Y432" s="348">
        <f t="shared" si="157"/>
        <v>639</v>
      </c>
      <c r="Z432" s="347">
        <v>66</v>
      </c>
      <c r="AA432" s="326">
        <v>0</v>
      </c>
      <c r="AB432" s="348">
        <f t="shared" si="158"/>
        <v>66</v>
      </c>
      <c r="AC432" s="347"/>
      <c r="AD432" s="326"/>
      <c r="AE432" s="348"/>
      <c r="AF432" s="347"/>
      <c r="AG432" s="326"/>
      <c r="AH432" s="348"/>
      <c r="AI432" s="482">
        <f>1782+1782+1782</f>
        <v>5346</v>
      </c>
      <c r="AJ432" s="326">
        <f t="shared" si="160"/>
        <v>0</v>
      </c>
      <c r="AK432" s="3917">
        <v>0</v>
      </c>
      <c r="AL432" s="349">
        <f t="shared" si="161"/>
        <v>5346</v>
      </c>
      <c r="AM432" s="3884" t="s">
        <v>6768</v>
      </c>
      <c r="AN432" s="3885">
        <v>43836</v>
      </c>
      <c r="AO432" s="3887" t="s">
        <v>7548</v>
      </c>
      <c r="AP432" s="1203" t="s">
        <v>7547</v>
      </c>
      <c r="AQ432" s="2669">
        <v>113.4</v>
      </c>
      <c r="AR432" s="333">
        <v>0</v>
      </c>
      <c r="AS432" s="330">
        <v>0</v>
      </c>
      <c r="AT432" s="330">
        <v>0</v>
      </c>
      <c r="AU432" s="330">
        <v>0</v>
      </c>
      <c r="AV432" s="4320">
        <v>0</v>
      </c>
      <c r="AW432" s="4321">
        <v>5889</v>
      </c>
      <c r="AX432" s="3140"/>
      <c r="BA432" s="267"/>
      <c r="BB432" s="267"/>
      <c r="BC432" s="4117">
        <f t="shared" si="155"/>
        <v>0</v>
      </c>
      <c r="BD432" s="4117">
        <f t="shared" si="148"/>
        <v>0</v>
      </c>
      <c r="BE432" s="267"/>
    </row>
    <row r="433" spans="1:57" ht="63.75">
      <c r="A433" s="5967" t="s">
        <v>11145</v>
      </c>
      <c r="B433" s="827" t="s">
        <v>4964</v>
      </c>
      <c r="C433" s="828">
        <v>0</v>
      </c>
      <c r="D433" s="829">
        <v>41680</v>
      </c>
      <c r="E433" s="829" t="s">
        <v>6389</v>
      </c>
      <c r="F433" s="830" t="s">
        <v>5914</v>
      </c>
      <c r="G433" s="2620">
        <v>1</v>
      </c>
      <c r="H433" s="832" t="s">
        <v>5264</v>
      </c>
      <c r="I433" s="833" t="s">
        <v>1433</v>
      </c>
      <c r="J433" s="834" t="s">
        <v>1434</v>
      </c>
      <c r="K433" s="835" t="s">
        <v>5265</v>
      </c>
      <c r="L433" s="833" t="s">
        <v>1775</v>
      </c>
      <c r="M433" s="834" t="s">
        <v>1810</v>
      </c>
      <c r="N433" s="833" t="s">
        <v>1777</v>
      </c>
      <c r="O433" s="832" t="s">
        <v>6202</v>
      </c>
      <c r="P433" s="836" t="s">
        <v>7239</v>
      </c>
      <c r="Q433" s="834" t="s">
        <v>1781</v>
      </c>
      <c r="R433" s="834" t="s">
        <v>1782</v>
      </c>
      <c r="S433" s="837"/>
      <c r="T433" s="838">
        <v>5847</v>
      </c>
      <c r="U433" s="839">
        <v>0</v>
      </c>
      <c r="V433" s="840">
        <f t="shared" si="156"/>
        <v>5847</v>
      </c>
      <c r="W433" s="838">
        <v>7309</v>
      </c>
      <c r="X433" s="839">
        <v>0</v>
      </c>
      <c r="Y433" s="840">
        <f t="shared" si="157"/>
        <v>7309</v>
      </c>
      <c r="Z433" s="838">
        <v>1462</v>
      </c>
      <c r="AA433" s="839">
        <v>0</v>
      </c>
      <c r="AB433" s="840">
        <f t="shared" si="158"/>
        <v>1462</v>
      </c>
      <c r="AC433" s="838">
        <v>306</v>
      </c>
      <c r="AD433" s="839">
        <v>0</v>
      </c>
      <c r="AE433" s="840">
        <f>AC433-AD433</f>
        <v>306</v>
      </c>
      <c r="AF433" s="838">
        <v>458</v>
      </c>
      <c r="AG433" s="839">
        <v>0</v>
      </c>
      <c r="AH433" s="840">
        <f>AF433-AG433</f>
        <v>458</v>
      </c>
      <c r="AI433" s="841">
        <f>T433+W433+Z433</f>
        <v>14618</v>
      </c>
      <c r="AJ433" s="326">
        <f>U433+X433+AA433</f>
        <v>0</v>
      </c>
      <c r="AK433" s="3906">
        <v>0</v>
      </c>
      <c r="AL433" s="349">
        <f t="shared" si="161"/>
        <v>14618</v>
      </c>
      <c r="AM433" s="3369" t="s">
        <v>1061</v>
      </c>
      <c r="AN433" s="3360">
        <v>43843</v>
      </c>
      <c r="AO433" s="3361" t="s">
        <v>7549</v>
      </c>
      <c r="AP433" s="3362" t="s">
        <v>6894</v>
      </c>
      <c r="AQ433" s="3555">
        <v>1.047839</v>
      </c>
      <c r="AR433" s="846">
        <v>0</v>
      </c>
      <c r="AS433" s="847">
        <v>0</v>
      </c>
      <c r="AT433" s="847">
        <v>0</v>
      </c>
      <c r="AU433" s="847">
        <v>0</v>
      </c>
      <c r="AV433" s="847">
        <v>0</v>
      </c>
      <c r="AW433" s="2872">
        <f t="shared" ref="AW433:AW453" si="162">ROUND(AL433*AQ433/G433,0)</f>
        <v>15317</v>
      </c>
      <c r="AX433" s="2891"/>
      <c r="BA433" s="267"/>
      <c r="BB433" s="267"/>
      <c r="BC433" s="4117">
        <f t="shared" si="155"/>
        <v>0</v>
      </c>
      <c r="BD433" s="4117">
        <f t="shared" si="148"/>
        <v>0</v>
      </c>
      <c r="BE433" s="267"/>
    </row>
    <row r="434" spans="1:57" ht="89.25">
      <c r="A434" s="2418" t="s">
        <v>11135</v>
      </c>
      <c r="B434" s="338" t="s">
        <v>7420</v>
      </c>
      <c r="C434" s="321">
        <v>0</v>
      </c>
      <c r="D434" s="323">
        <v>43172</v>
      </c>
      <c r="E434" s="3051" t="s">
        <v>6385</v>
      </c>
      <c r="F434" s="324" t="s">
        <v>5915</v>
      </c>
      <c r="G434" s="2621">
        <v>1.0119899999999999</v>
      </c>
      <c r="H434" s="332" t="s">
        <v>5368</v>
      </c>
      <c r="I434" s="339" t="s">
        <v>1433</v>
      </c>
      <c r="J434" s="322" t="s">
        <v>1434</v>
      </c>
      <c r="K434" s="340">
        <v>45364</v>
      </c>
      <c r="L434" s="339" t="s">
        <v>5369</v>
      </c>
      <c r="M434" s="322" t="s">
        <v>4960</v>
      </c>
      <c r="N434" s="339" t="s">
        <v>5370</v>
      </c>
      <c r="O434" s="332" t="s">
        <v>6309</v>
      </c>
      <c r="P434" s="345" t="s">
        <v>5372</v>
      </c>
      <c r="Q434" s="322" t="s">
        <v>5371</v>
      </c>
      <c r="R434" s="322" t="s">
        <v>5366</v>
      </c>
      <c r="S434" s="346"/>
      <c r="T434" s="347">
        <v>22048</v>
      </c>
      <c r="U434" s="326">
        <v>0</v>
      </c>
      <c r="V434" s="348">
        <f t="shared" si="156"/>
        <v>22048</v>
      </c>
      <c r="W434" s="347">
        <v>17654</v>
      </c>
      <c r="X434" s="326">
        <v>0</v>
      </c>
      <c r="Y434" s="348">
        <f t="shared" si="157"/>
        <v>17654</v>
      </c>
      <c r="Z434" s="347">
        <v>16315</v>
      </c>
      <c r="AA434" s="326">
        <v>0</v>
      </c>
      <c r="AB434" s="348">
        <f t="shared" si="158"/>
        <v>16315</v>
      </c>
      <c r="AC434" s="347"/>
      <c r="AD434" s="326"/>
      <c r="AE434" s="348"/>
      <c r="AF434" s="347"/>
      <c r="AG434" s="326"/>
      <c r="AH434" s="348"/>
      <c r="AI434" s="482">
        <f>T434+W434+Z434+AC434+AF434</f>
        <v>56017</v>
      </c>
      <c r="AJ434" s="326">
        <f>U434+X434+AA434+AD434+AG434</f>
        <v>0</v>
      </c>
      <c r="AK434" s="3917">
        <v>0</v>
      </c>
      <c r="AL434" s="349">
        <f t="shared" si="161"/>
        <v>56017</v>
      </c>
      <c r="AM434" s="2002" t="s">
        <v>1061</v>
      </c>
      <c r="AN434" s="3357">
        <v>43844</v>
      </c>
      <c r="AO434" s="695" t="s">
        <v>7550</v>
      </c>
      <c r="AP434" s="2722" t="s">
        <v>6894</v>
      </c>
      <c r="AQ434" s="2723">
        <v>1.047839</v>
      </c>
      <c r="AR434" s="333">
        <v>0</v>
      </c>
      <c r="AS434" s="330">
        <v>0</v>
      </c>
      <c r="AT434" s="330">
        <v>0</v>
      </c>
      <c r="AU434" s="330">
        <v>0</v>
      </c>
      <c r="AV434" s="330">
        <v>0</v>
      </c>
      <c r="AW434" s="3156">
        <f t="shared" si="162"/>
        <v>58001</v>
      </c>
      <c r="AX434" s="3140"/>
      <c r="BA434" s="267"/>
      <c r="BB434" s="267"/>
      <c r="BC434" s="4117">
        <f t="shared" si="155"/>
        <v>0</v>
      </c>
      <c r="BD434" s="4117">
        <f t="shared" si="148"/>
        <v>0</v>
      </c>
      <c r="BE434" s="267"/>
    </row>
    <row r="435" spans="1:57" ht="89.25">
      <c r="A435" s="2418" t="s">
        <v>11003</v>
      </c>
      <c r="B435" s="338" t="s">
        <v>11146</v>
      </c>
      <c r="C435" s="321">
        <v>0</v>
      </c>
      <c r="D435" s="323">
        <v>43833</v>
      </c>
      <c r="E435" s="3058" t="s">
        <v>7151</v>
      </c>
      <c r="F435" s="324" t="s">
        <v>6893</v>
      </c>
      <c r="G435" s="2621">
        <v>1.047839</v>
      </c>
      <c r="H435" s="332" t="s">
        <v>7530</v>
      </c>
      <c r="I435" s="339" t="s">
        <v>7531</v>
      </c>
      <c r="J435" s="2399" t="s">
        <v>4306</v>
      </c>
      <c r="K435" s="340">
        <v>44545</v>
      </c>
      <c r="L435" s="339" t="s">
        <v>7533</v>
      </c>
      <c r="M435" s="322" t="s">
        <v>7534</v>
      </c>
      <c r="N435" s="339" t="s">
        <v>2313</v>
      </c>
      <c r="O435" s="332" t="s">
        <v>7535</v>
      </c>
      <c r="P435" s="345"/>
      <c r="Q435" s="322" t="s">
        <v>7536</v>
      </c>
      <c r="R435" s="322" t="s">
        <v>7157</v>
      </c>
      <c r="S435" s="1577" t="s">
        <v>6663</v>
      </c>
      <c r="T435" s="347"/>
      <c r="U435" s="326"/>
      <c r="V435" s="348"/>
      <c r="W435" s="347"/>
      <c r="X435" s="326"/>
      <c r="Y435" s="348"/>
      <c r="Z435" s="347"/>
      <c r="AA435" s="326"/>
      <c r="AB435" s="348"/>
      <c r="AC435" s="820"/>
      <c r="AD435" s="821"/>
      <c r="AE435" s="822"/>
      <c r="AF435" s="820"/>
      <c r="AG435" s="821"/>
      <c r="AH435" s="822"/>
      <c r="AI435" s="482">
        <v>8348</v>
      </c>
      <c r="AJ435" s="326">
        <v>4174</v>
      </c>
      <c r="AK435" s="3917">
        <v>0</v>
      </c>
      <c r="AL435" s="349">
        <f t="shared" si="161"/>
        <v>4174</v>
      </c>
      <c r="AM435" s="2002" t="s">
        <v>1061</v>
      </c>
      <c r="AN435" s="3357">
        <v>43846</v>
      </c>
      <c r="AO435" s="695" t="s">
        <v>7554</v>
      </c>
      <c r="AP435" s="3362" t="s">
        <v>6894</v>
      </c>
      <c r="AQ435" s="3555">
        <v>1.047839</v>
      </c>
      <c r="AR435" s="333"/>
      <c r="AS435" s="330"/>
      <c r="AT435" s="330"/>
      <c r="AU435" s="849"/>
      <c r="AV435" s="849"/>
      <c r="AW435" s="3156">
        <f t="shared" si="162"/>
        <v>4174</v>
      </c>
      <c r="AX435" s="3140"/>
      <c r="BA435" s="267"/>
      <c r="BB435" s="267"/>
      <c r="BC435" s="4117">
        <f t="shared" si="155"/>
        <v>4174</v>
      </c>
      <c r="BD435" s="4117">
        <f t="shared" si="148"/>
        <v>0</v>
      </c>
      <c r="BE435" s="267"/>
    </row>
    <row r="436" spans="1:57" ht="89.25">
      <c r="A436" s="2418" t="s">
        <v>11135</v>
      </c>
      <c r="B436" s="2419" t="s">
        <v>7584</v>
      </c>
      <c r="C436" s="695">
        <v>1</v>
      </c>
      <c r="D436" s="323" t="s">
        <v>3673</v>
      </c>
      <c r="E436" s="829" t="s">
        <v>6387</v>
      </c>
      <c r="F436" s="830" t="s">
        <v>4932</v>
      </c>
      <c r="G436" s="2621">
        <v>1</v>
      </c>
      <c r="H436" s="332" t="s">
        <v>3631</v>
      </c>
      <c r="I436" s="339" t="s">
        <v>1433</v>
      </c>
      <c r="J436" s="322" t="s">
        <v>1434</v>
      </c>
      <c r="K436" s="340" t="s">
        <v>7410</v>
      </c>
      <c r="L436" s="339" t="s">
        <v>3632</v>
      </c>
      <c r="M436" s="322" t="s">
        <v>3621</v>
      </c>
      <c r="N436" s="339" t="s">
        <v>3669</v>
      </c>
      <c r="O436" s="332" t="s">
        <v>6338</v>
      </c>
      <c r="P436" s="345" t="s">
        <v>3668</v>
      </c>
      <c r="Q436" s="322" t="s">
        <v>3634</v>
      </c>
      <c r="R436" s="322" t="s">
        <v>3633</v>
      </c>
      <c r="S436" s="346"/>
      <c r="T436" s="347">
        <v>4800</v>
      </c>
      <c r="U436" s="326">
        <v>0</v>
      </c>
      <c r="V436" s="348">
        <f>T436-U436</f>
        <v>4800</v>
      </c>
      <c r="W436" s="347">
        <v>6000</v>
      </c>
      <c r="X436" s="326">
        <v>0</v>
      </c>
      <c r="Y436" s="348">
        <f>W436-X436</f>
        <v>6000</v>
      </c>
      <c r="Z436" s="347">
        <v>1200</v>
      </c>
      <c r="AA436" s="326">
        <v>0</v>
      </c>
      <c r="AB436" s="348">
        <f>Z436-AA436</f>
        <v>1200</v>
      </c>
      <c r="AC436" s="347"/>
      <c r="AD436" s="326"/>
      <c r="AE436" s="348"/>
      <c r="AF436" s="347"/>
      <c r="AG436" s="326"/>
      <c r="AH436" s="348"/>
      <c r="AI436" s="482">
        <f>T436+W436+Z436+AC436+AF436</f>
        <v>12000</v>
      </c>
      <c r="AJ436" s="326">
        <f>U436+X436+AA436</f>
        <v>0</v>
      </c>
      <c r="AK436" s="3917">
        <v>0</v>
      </c>
      <c r="AL436" s="349">
        <f t="shared" si="161"/>
        <v>12000</v>
      </c>
      <c r="AM436" s="2002" t="s">
        <v>1061</v>
      </c>
      <c r="AN436" s="3357">
        <v>43851</v>
      </c>
      <c r="AO436" s="695" t="s">
        <v>7561</v>
      </c>
      <c r="AP436" s="2722" t="s">
        <v>6894</v>
      </c>
      <c r="AQ436" s="2723">
        <v>1.047839</v>
      </c>
      <c r="AR436" s="333">
        <v>0</v>
      </c>
      <c r="AS436" s="330">
        <v>0</v>
      </c>
      <c r="AT436" s="330">
        <v>0</v>
      </c>
      <c r="AU436" s="330">
        <v>0</v>
      </c>
      <c r="AV436" s="330">
        <v>0</v>
      </c>
      <c r="AW436" s="3156">
        <f t="shared" si="162"/>
        <v>12574</v>
      </c>
      <c r="AX436" s="3140"/>
      <c r="BA436" s="267"/>
      <c r="BB436" s="267"/>
      <c r="BC436" s="4117">
        <f t="shared" si="155"/>
        <v>0</v>
      </c>
      <c r="BD436" s="4117">
        <f t="shared" si="148"/>
        <v>0</v>
      </c>
      <c r="BE436" s="267"/>
    </row>
    <row r="437" spans="1:57" ht="76.5">
      <c r="A437" s="2418" t="s">
        <v>11135</v>
      </c>
      <c r="B437" s="338" t="s">
        <v>7585</v>
      </c>
      <c r="C437" s="321">
        <v>0</v>
      </c>
      <c r="D437" s="323">
        <v>42368</v>
      </c>
      <c r="E437" s="829" t="s">
        <v>6387</v>
      </c>
      <c r="F437" s="830" t="s">
        <v>4932</v>
      </c>
      <c r="G437" s="2621">
        <v>1</v>
      </c>
      <c r="H437" s="332" t="s">
        <v>7417</v>
      </c>
      <c r="I437" s="339" t="s">
        <v>1433</v>
      </c>
      <c r="J437" s="322" t="s">
        <v>1434</v>
      </c>
      <c r="K437" s="1242" t="s">
        <v>7409</v>
      </c>
      <c r="L437" s="339" t="s">
        <v>3620</v>
      </c>
      <c r="M437" s="322" t="s">
        <v>3621</v>
      </c>
      <c r="N437" s="339" t="s">
        <v>3622</v>
      </c>
      <c r="O437" s="332" t="s">
        <v>6339</v>
      </c>
      <c r="P437" s="345" t="s">
        <v>3625</v>
      </c>
      <c r="Q437" s="322" t="s">
        <v>3623</v>
      </c>
      <c r="R437" s="322" t="s">
        <v>3624</v>
      </c>
      <c r="S437" s="346"/>
      <c r="T437" s="347">
        <v>3641</v>
      </c>
      <c r="U437" s="326">
        <v>0</v>
      </c>
      <c r="V437" s="348">
        <f>T437-U437</f>
        <v>3641</v>
      </c>
      <c r="W437" s="347">
        <v>643</v>
      </c>
      <c r="X437" s="326">
        <v>0</v>
      </c>
      <c r="Y437" s="348">
        <f>W437-X437</f>
        <v>643</v>
      </c>
      <c r="Z437" s="347">
        <v>0</v>
      </c>
      <c r="AA437" s="326">
        <v>0</v>
      </c>
      <c r="AB437" s="348">
        <f>Z437-AA437</f>
        <v>0</v>
      </c>
      <c r="AC437" s="347"/>
      <c r="AD437" s="326"/>
      <c r="AE437" s="348"/>
      <c r="AF437" s="347"/>
      <c r="AG437" s="326"/>
      <c r="AH437" s="348"/>
      <c r="AI437" s="482">
        <f>T437+W437+Z437+AC437+AF437</f>
        <v>4284</v>
      </c>
      <c r="AJ437" s="326">
        <f>U437+X437+AA437</f>
        <v>0</v>
      </c>
      <c r="AK437" s="3917">
        <v>0</v>
      </c>
      <c r="AL437" s="349">
        <f t="shared" si="161"/>
        <v>4284</v>
      </c>
      <c r="AM437" s="2002" t="s">
        <v>1061</v>
      </c>
      <c r="AN437" s="3357">
        <v>43858</v>
      </c>
      <c r="AO437" s="695" t="s">
        <v>7577</v>
      </c>
      <c r="AP437" s="2722" t="s">
        <v>6894</v>
      </c>
      <c r="AQ437" s="2723">
        <v>1.047839</v>
      </c>
      <c r="AR437" s="333">
        <v>0</v>
      </c>
      <c r="AS437" s="330">
        <v>0</v>
      </c>
      <c r="AT437" s="330">
        <v>0</v>
      </c>
      <c r="AU437" s="330">
        <v>0</v>
      </c>
      <c r="AV437" s="330">
        <v>0</v>
      </c>
      <c r="AW437" s="3156">
        <f t="shared" si="162"/>
        <v>4489</v>
      </c>
      <c r="AX437" s="3140"/>
      <c r="BA437" s="267"/>
      <c r="BB437" s="267"/>
      <c r="BC437" s="4117">
        <f t="shared" si="155"/>
        <v>0</v>
      </c>
      <c r="BD437" s="4117">
        <f t="shared" si="148"/>
        <v>0</v>
      </c>
      <c r="BE437" s="267"/>
    </row>
    <row r="438" spans="1:57" ht="114.75">
      <c r="A438" s="2418" t="s">
        <v>11135</v>
      </c>
      <c r="B438" s="338" t="s">
        <v>7586</v>
      </c>
      <c r="C438" s="321">
        <v>1</v>
      </c>
      <c r="D438" s="323" t="s">
        <v>6166</v>
      </c>
      <c r="E438" s="3051" t="s">
        <v>6385</v>
      </c>
      <c r="F438" s="324" t="s">
        <v>5757</v>
      </c>
      <c r="G438" s="2621">
        <v>1.0247219999999999</v>
      </c>
      <c r="H438" s="332" t="s">
        <v>6167</v>
      </c>
      <c r="I438" s="339" t="s">
        <v>1433</v>
      </c>
      <c r="J438" s="322" t="s">
        <v>1434</v>
      </c>
      <c r="K438" s="340" t="s">
        <v>6168</v>
      </c>
      <c r="L438" s="339" t="s">
        <v>5821</v>
      </c>
      <c r="M438" s="322" t="s">
        <v>5636</v>
      </c>
      <c r="N438" s="339" t="s">
        <v>5822</v>
      </c>
      <c r="O438" s="332" t="s">
        <v>6171</v>
      </c>
      <c r="P438" s="345" t="s">
        <v>6170</v>
      </c>
      <c r="Q438" s="322" t="s">
        <v>6169</v>
      </c>
      <c r="R438" s="322" t="s">
        <v>7580</v>
      </c>
      <c r="S438" s="346" t="s">
        <v>7579</v>
      </c>
      <c r="T438" s="347">
        <v>16252</v>
      </c>
      <c r="U438" s="326">
        <v>5320</v>
      </c>
      <c r="V438" s="348">
        <f>T438-U438</f>
        <v>10932</v>
      </c>
      <c r="W438" s="347">
        <v>2867</v>
      </c>
      <c r="X438" s="326">
        <v>0</v>
      </c>
      <c r="Y438" s="348">
        <f>W438-X438</f>
        <v>2867</v>
      </c>
      <c r="Z438" s="347">
        <v>5207</v>
      </c>
      <c r="AA438" s="326">
        <v>0</v>
      </c>
      <c r="AB438" s="348">
        <f>Z438-AA438</f>
        <v>5207</v>
      </c>
      <c r="AC438" s="347"/>
      <c r="AD438" s="326"/>
      <c r="AE438" s="348"/>
      <c r="AF438" s="347"/>
      <c r="AG438" s="326"/>
      <c r="AH438" s="348"/>
      <c r="AI438" s="482">
        <f>T438+W438+Z438+AC438+AF438</f>
        <v>24326</v>
      </c>
      <c r="AJ438" s="4325">
        <v>0</v>
      </c>
      <c r="AK438" s="326">
        <f>U438+X438+AA438+AD438+AG438</f>
        <v>5320</v>
      </c>
      <c r="AL438" s="349">
        <f t="shared" si="161"/>
        <v>19006</v>
      </c>
      <c r="AM438" s="2002" t="s">
        <v>1061</v>
      </c>
      <c r="AN438" s="3357">
        <v>43859</v>
      </c>
      <c r="AO438" s="695" t="s">
        <v>7578</v>
      </c>
      <c r="AP438" s="2722" t="s">
        <v>6894</v>
      </c>
      <c r="AQ438" s="2723">
        <v>1.047839</v>
      </c>
      <c r="AR438" s="333">
        <v>0</v>
      </c>
      <c r="AS438" s="330">
        <v>0</v>
      </c>
      <c r="AT438" s="330">
        <v>0</v>
      </c>
      <c r="AU438" s="330">
        <v>0</v>
      </c>
      <c r="AV438" s="330">
        <v>0</v>
      </c>
      <c r="AW438" s="3156">
        <f t="shared" si="162"/>
        <v>19435</v>
      </c>
      <c r="AX438" s="3140"/>
      <c r="BA438" s="267"/>
      <c r="BB438" s="267"/>
      <c r="BC438" s="4117">
        <f t="shared" si="155"/>
        <v>0</v>
      </c>
      <c r="BD438" s="4702">
        <f t="shared" si="148"/>
        <v>5440</v>
      </c>
      <c r="BE438" s="267"/>
    </row>
    <row r="439" spans="1:57" ht="89.25">
      <c r="A439" s="2418" t="s">
        <v>11003</v>
      </c>
      <c r="B439" s="338" t="s">
        <v>7583</v>
      </c>
      <c r="C439" s="321">
        <v>0</v>
      </c>
      <c r="D439" s="323">
        <v>43836</v>
      </c>
      <c r="E439" s="3058" t="s">
        <v>7151</v>
      </c>
      <c r="F439" s="324" t="s">
        <v>6893</v>
      </c>
      <c r="G439" s="2621">
        <v>1.047839</v>
      </c>
      <c r="H439" s="332" t="s">
        <v>7538</v>
      </c>
      <c r="I439" s="339" t="s">
        <v>7539</v>
      </c>
      <c r="J439" s="2399" t="s">
        <v>4306</v>
      </c>
      <c r="K439" s="340">
        <v>44549</v>
      </c>
      <c r="L439" s="339" t="s">
        <v>7540</v>
      </c>
      <c r="M439" s="322" t="s">
        <v>7541</v>
      </c>
      <c r="N439" s="339" t="s">
        <v>7542</v>
      </c>
      <c r="O439" s="332" t="s">
        <v>7541</v>
      </c>
      <c r="P439" s="345" t="s">
        <v>7544</v>
      </c>
      <c r="Q439" s="6094" t="s">
        <v>7543</v>
      </c>
      <c r="R439" s="322" t="s">
        <v>7545</v>
      </c>
      <c r="S439" s="346" t="s">
        <v>7390</v>
      </c>
      <c r="T439" s="347"/>
      <c r="U439" s="326"/>
      <c r="V439" s="348"/>
      <c r="W439" s="347"/>
      <c r="X439" s="326"/>
      <c r="Y439" s="348"/>
      <c r="Z439" s="347"/>
      <c r="AA439" s="326"/>
      <c r="AB439" s="348"/>
      <c r="AC439" s="347"/>
      <c r="AD439" s="326"/>
      <c r="AE439" s="348"/>
      <c r="AF439" s="347"/>
      <c r="AG439" s="326"/>
      <c r="AH439" s="348"/>
      <c r="AI439" s="482">
        <v>5624</v>
      </c>
      <c r="AJ439" s="326">
        <v>0</v>
      </c>
      <c r="AK439" s="3917">
        <v>0</v>
      </c>
      <c r="AL439" s="349">
        <f t="shared" si="161"/>
        <v>5624</v>
      </c>
      <c r="AM439" s="2002" t="s">
        <v>1061</v>
      </c>
      <c r="AN439" s="3357">
        <v>43860</v>
      </c>
      <c r="AO439" s="695" t="s">
        <v>7581</v>
      </c>
      <c r="AP439" s="3362" t="s">
        <v>6894</v>
      </c>
      <c r="AQ439" s="3555">
        <v>1.047839</v>
      </c>
      <c r="AR439" s="333"/>
      <c r="AS439" s="330"/>
      <c r="AT439" s="330"/>
      <c r="AU439" s="330"/>
      <c r="AV439" s="330"/>
      <c r="AW439" s="3156">
        <f t="shared" si="162"/>
        <v>5624</v>
      </c>
      <c r="AX439" s="3140"/>
      <c r="BA439" s="267"/>
      <c r="BB439" s="267"/>
      <c r="BC439" s="4117">
        <f t="shared" si="155"/>
        <v>0</v>
      </c>
      <c r="BD439" s="4117">
        <f t="shared" si="148"/>
        <v>0</v>
      </c>
      <c r="BE439" s="267"/>
    </row>
    <row r="440" spans="1:57" ht="115.5" thickBot="1">
      <c r="A440" s="6041" t="s">
        <v>11145</v>
      </c>
      <c r="B440" s="3748" t="s">
        <v>7587</v>
      </c>
      <c r="C440" s="4326">
        <v>0</v>
      </c>
      <c r="D440" s="4327">
        <v>42348</v>
      </c>
      <c r="E440" s="3792" t="s">
        <v>6387</v>
      </c>
      <c r="F440" s="3793" t="s">
        <v>4932</v>
      </c>
      <c r="G440" s="4328">
        <v>1</v>
      </c>
      <c r="H440" s="4329" t="s">
        <v>3585</v>
      </c>
      <c r="I440" s="3753" t="s">
        <v>1433</v>
      </c>
      <c r="J440" s="4330" t="s">
        <v>1434</v>
      </c>
      <c r="K440" s="4331" t="s">
        <v>7582</v>
      </c>
      <c r="L440" s="3753" t="s">
        <v>3586</v>
      </c>
      <c r="M440" s="4330" t="s">
        <v>3587</v>
      </c>
      <c r="N440" s="3753" t="s">
        <v>2313</v>
      </c>
      <c r="O440" s="4329" t="s">
        <v>6208</v>
      </c>
      <c r="P440" s="4332" t="s">
        <v>3591</v>
      </c>
      <c r="Q440" s="4330" t="s">
        <v>3589</v>
      </c>
      <c r="R440" s="4043" t="s">
        <v>3576</v>
      </c>
      <c r="S440" s="4333" t="s">
        <v>3588</v>
      </c>
      <c r="T440" s="3758">
        <v>32558</v>
      </c>
      <c r="U440" s="4334">
        <v>16279</v>
      </c>
      <c r="V440" s="4335">
        <f>T440-U440</f>
        <v>16279</v>
      </c>
      <c r="W440" s="3758">
        <v>5746</v>
      </c>
      <c r="X440" s="4334">
        <v>2873</v>
      </c>
      <c r="Y440" s="4335">
        <f>W440-X440</f>
        <v>2873</v>
      </c>
      <c r="Z440" s="3758">
        <v>4900</v>
      </c>
      <c r="AA440" s="4334">
        <v>2450</v>
      </c>
      <c r="AB440" s="4335">
        <f>Z440-AA440</f>
        <v>2450</v>
      </c>
      <c r="AC440" s="3758"/>
      <c r="AD440" s="4334"/>
      <c r="AE440" s="4335"/>
      <c r="AF440" s="3758"/>
      <c r="AG440" s="4334"/>
      <c r="AH440" s="4335"/>
      <c r="AI440" s="3761">
        <f>T440+W440+Z440+AC440+AF440</f>
        <v>43204</v>
      </c>
      <c r="AJ440" s="4334">
        <f>U440+X440+AA440</f>
        <v>21602</v>
      </c>
      <c r="AK440" s="4336">
        <v>0</v>
      </c>
      <c r="AL440" s="4337">
        <f t="shared" si="161"/>
        <v>21602</v>
      </c>
      <c r="AM440" s="3763" t="s">
        <v>1061</v>
      </c>
      <c r="AN440" s="4338">
        <v>43860</v>
      </c>
      <c r="AO440" s="4339" t="s">
        <v>7589</v>
      </c>
      <c r="AP440" s="4340" t="s">
        <v>6894</v>
      </c>
      <c r="AQ440" s="4341">
        <v>1.047839</v>
      </c>
      <c r="AR440" s="3768">
        <v>0</v>
      </c>
      <c r="AS440" s="4342">
        <v>0</v>
      </c>
      <c r="AT440" s="4342">
        <v>0</v>
      </c>
      <c r="AU440" s="4342">
        <v>0</v>
      </c>
      <c r="AV440" s="4342">
        <v>0</v>
      </c>
      <c r="AW440" s="4343">
        <f t="shared" si="162"/>
        <v>22635</v>
      </c>
      <c r="AX440" s="3771"/>
      <c r="AY440" s="4031" t="s">
        <v>7521</v>
      </c>
      <c r="AZ440" s="3857">
        <f>SUM(AW430:AW440)</f>
        <v>150608</v>
      </c>
      <c r="BA440" s="4028">
        <f>AZ440</f>
        <v>150608</v>
      </c>
      <c r="BB440" s="267"/>
      <c r="BC440" s="4117">
        <f t="shared" si="155"/>
        <v>22635</v>
      </c>
      <c r="BD440" s="4117">
        <f t="shared" si="148"/>
        <v>0</v>
      </c>
      <c r="BE440" s="267"/>
    </row>
    <row r="441" spans="1:57" ht="51">
      <c r="A441" s="6017" t="s">
        <v>11147</v>
      </c>
      <c r="B441" s="2298" t="s">
        <v>7590</v>
      </c>
      <c r="C441" s="2299">
        <v>0</v>
      </c>
      <c r="D441" s="2300">
        <v>42978</v>
      </c>
      <c r="E441" s="2300" t="s">
        <v>6385</v>
      </c>
      <c r="F441" s="2497" t="s">
        <v>4933</v>
      </c>
      <c r="G441" s="3110">
        <v>1.0119899999999999</v>
      </c>
      <c r="H441" s="2306" t="s">
        <v>4871</v>
      </c>
      <c r="I441" s="2303" t="s">
        <v>1433</v>
      </c>
      <c r="J441" s="2304" t="s">
        <v>1434</v>
      </c>
      <c r="K441" s="2305">
        <v>44437</v>
      </c>
      <c r="L441" s="2303" t="s">
        <v>4867</v>
      </c>
      <c r="M441" s="2304" t="s">
        <v>1957</v>
      </c>
      <c r="N441" s="2303" t="s">
        <v>4869</v>
      </c>
      <c r="O441" s="2306" t="s">
        <v>4868</v>
      </c>
      <c r="P441" s="2321"/>
      <c r="Q441" s="2304" t="s">
        <v>4870</v>
      </c>
      <c r="R441" s="2304" t="s">
        <v>3253</v>
      </c>
      <c r="S441" s="2307"/>
      <c r="T441" s="2308">
        <v>6800</v>
      </c>
      <c r="U441" s="2309">
        <v>0</v>
      </c>
      <c r="V441" s="2310">
        <f>T441-U441</f>
        <v>6800</v>
      </c>
      <c r="W441" s="2308">
        <v>8501</v>
      </c>
      <c r="X441" s="2309">
        <v>0</v>
      </c>
      <c r="Y441" s="2310">
        <f>W441-X441</f>
        <v>8501</v>
      </c>
      <c r="Z441" s="2308">
        <v>1700</v>
      </c>
      <c r="AA441" s="2309">
        <v>0</v>
      </c>
      <c r="AB441" s="2310">
        <f>Z441-AA441</f>
        <v>1700</v>
      </c>
      <c r="AC441" s="2308"/>
      <c r="AD441" s="2309"/>
      <c r="AE441" s="2310"/>
      <c r="AF441" s="2308"/>
      <c r="AG441" s="2309"/>
      <c r="AH441" s="2310"/>
      <c r="AI441" s="2311">
        <f>T441+W441+Z441+AC441+AF441</f>
        <v>17001</v>
      </c>
      <c r="AJ441" s="2309">
        <f>U441+X441+AA441+AD441+AG441</f>
        <v>0</v>
      </c>
      <c r="AK441" s="3914">
        <v>0</v>
      </c>
      <c r="AL441" s="2312">
        <f t="shared" si="161"/>
        <v>17001</v>
      </c>
      <c r="AM441" s="3491" t="s">
        <v>1061</v>
      </c>
      <c r="AN441" s="3492">
        <v>43864</v>
      </c>
      <c r="AO441" s="2492" t="s">
        <v>7591</v>
      </c>
      <c r="AP441" s="2905" t="s">
        <v>6894</v>
      </c>
      <c r="AQ441" s="2906">
        <v>1.047839</v>
      </c>
      <c r="AR441" s="2313">
        <v>0</v>
      </c>
      <c r="AS441" s="2314">
        <v>0</v>
      </c>
      <c r="AT441" s="2314">
        <v>0</v>
      </c>
      <c r="AU441" s="2314">
        <v>0</v>
      </c>
      <c r="AV441" s="2314">
        <v>0</v>
      </c>
      <c r="AW441" s="2883">
        <f t="shared" si="162"/>
        <v>17603</v>
      </c>
      <c r="AX441" s="2899"/>
      <c r="BA441" s="267"/>
      <c r="BB441" s="267"/>
      <c r="BC441" s="4117">
        <f t="shared" si="155"/>
        <v>0</v>
      </c>
      <c r="BD441" s="4117">
        <f t="shared" si="148"/>
        <v>0</v>
      </c>
      <c r="BE441" s="267"/>
    </row>
    <row r="442" spans="1:57" ht="76.5">
      <c r="A442" s="5981" t="s">
        <v>11003</v>
      </c>
      <c r="B442" s="1538" t="s">
        <v>6967</v>
      </c>
      <c r="C442" s="1509">
        <v>0</v>
      </c>
      <c r="D442" s="1510">
        <v>43864</v>
      </c>
      <c r="E442" s="4344" t="s">
        <v>7151</v>
      </c>
      <c r="F442" s="1511" t="s">
        <v>6893</v>
      </c>
      <c r="G442" s="2663">
        <v>1.047839</v>
      </c>
      <c r="H442" s="1513" t="s">
        <v>7593</v>
      </c>
      <c r="I442" s="1514" t="s">
        <v>7594</v>
      </c>
      <c r="J442" s="4345" t="s">
        <v>4306</v>
      </c>
      <c r="K442" s="1516">
        <v>44595</v>
      </c>
      <c r="L442" s="1514" t="s">
        <v>7595</v>
      </c>
      <c r="M442" s="1515" t="s">
        <v>7596</v>
      </c>
      <c r="N442" s="1514" t="s">
        <v>7597</v>
      </c>
      <c r="O442" s="1513" t="s">
        <v>7598</v>
      </c>
      <c r="P442" s="1517"/>
      <c r="Q442" s="1515" t="s">
        <v>7599</v>
      </c>
      <c r="R442" s="1515" t="s">
        <v>7157</v>
      </c>
      <c r="S442" s="1518"/>
      <c r="T442" s="1519"/>
      <c r="U442" s="1504"/>
      <c r="V442" s="1520"/>
      <c r="W442" s="1519"/>
      <c r="X442" s="1504"/>
      <c r="Y442" s="1520"/>
      <c r="Z442" s="1519"/>
      <c r="AA442" s="1504"/>
      <c r="AB442" s="1520"/>
      <c r="AC442" s="1519"/>
      <c r="AD442" s="1504"/>
      <c r="AE442" s="1520"/>
      <c r="AF442" s="1519"/>
      <c r="AG442" s="1504"/>
      <c r="AH442" s="1520"/>
      <c r="AI442" s="1503">
        <v>905</v>
      </c>
      <c r="AJ442" s="1504">
        <v>0</v>
      </c>
      <c r="AK442" s="3919">
        <v>0</v>
      </c>
      <c r="AL442" s="1505">
        <f t="shared" si="161"/>
        <v>905</v>
      </c>
      <c r="AM442" s="1508" t="s">
        <v>1061</v>
      </c>
      <c r="AN442" s="3401">
        <v>43867</v>
      </c>
      <c r="AO442" s="3402" t="s">
        <v>7623</v>
      </c>
      <c r="AP442" s="2905" t="s">
        <v>6894</v>
      </c>
      <c r="AQ442" s="2906">
        <v>1.047839</v>
      </c>
      <c r="AR442" s="1506"/>
      <c r="AS442" s="1507"/>
      <c r="AT442" s="1507"/>
      <c r="AU442" s="1507"/>
      <c r="AV442" s="1507"/>
      <c r="AW442" s="3247">
        <f t="shared" si="162"/>
        <v>905</v>
      </c>
      <c r="AX442" s="3146"/>
      <c r="BA442" s="267"/>
      <c r="BB442" s="267"/>
      <c r="BC442" s="4117">
        <f t="shared" si="155"/>
        <v>0</v>
      </c>
      <c r="BD442" s="4117">
        <f t="shared" si="148"/>
        <v>0</v>
      </c>
      <c r="BE442" s="267"/>
    </row>
    <row r="443" spans="1:57" ht="114.75">
      <c r="A443" s="5978" t="s">
        <v>11145</v>
      </c>
      <c r="B443" s="1538" t="s">
        <v>5936</v>
      </c>
      <c r="C443" s="1509">
        <v>7</v>
      </c>
      <c r="D443" s="1510" t="s">
        <v>7204</v>
      </c>
      <c r="E443" s="2300" t="s">
        <v>6386</v>
      </c>
      <c r="F443" s="2497" t="s">
        <v>5757</v>
      </c>
      <c r="G443" s="2663">
        <v>1.0247219999999999</v>
      </c>
      <c r="H443" s="1513" t="s">
        <v>7205</v>
      </c>
      <c r="I443" s="1514" t="s">
        <v>4235</v>
      </c>
      <c r="J443" s="1515" t="s">
        <v>1434</v>
      </c>
      <c r="K443" s="1516" t="s">
        <v>4260</v>
      </c>
      <c r="L443" s="1514" t="s">
        <v>1119</v>
      </c>
      <c r="M443" s="1515" t="s">
        <v>3301</v>
      </c>
      <c r="N443" s="1514" t="s">
        <v>4967</v>
      </c>
      <c r="O443" s="1513" t="s">
        <v>6192</v>
      </c>
      <c r="P443" s="1517" t="s">
        <v>6052</v>
      </c>
      <c r="Q443" s="1515" t="s">
        <v>6717</v>
      </c>
      <c r="R443" s="2145" t="s">
        <v>5245</v>
      </c>
      <c r="S443" s="1518"/>
      <c r="T443" s="1519">
        <v>3998</v>
      </c>
      <c r="U443" s="1504">
        <v>0</v>
      </c>
      <c r="V443" s="1520">
        <f>T443-U443</f>
        <v>3998</v>
      </c>
      <c r="W443" s="1519">
        <v>0</v>
      </c>
      <c r="X443" s="1504">
        <v>0</v>
      </c>
      <c r="Y443" s="1520">
        <f>W443-X443</f>
        <v>0</v>
      </c>
      <c r="Z443" s="1519">
        <v>23805</v>
      </c>
      <c r="AA443" s="1504">
        <v>0</v>
      </c>
      <c r="AB443" s="1520">
        <f>Z443-AA443</f>
        <v>23805</v>
      </c>
      <c r="AC443" s="1519"/>
      <c r="AD443" s="1504"/>
      <c r="AE443" s="1520"/>
      <c r="AF443" s="1519"/>
      <c r="AG443" s="1504"/>
      <c r="AH443" s="1520"/>
      <c r="AI443" s="1503">
        <f>T443+W443+Z443+AC443+AF443</f>
        <v>27803</v>
      </c>
      <c r="AJ443" s="1504">
        <f>U443+X443+AA443</f>
        <v>0</v>
      </c>
      <c r="AK443" s="3919">
        <v>0</v>
      </c>
      <c r="AL443" s="1505">
        <f t="shared" si="161"/>
        <v>27803</v>
      </c>
      <c r="AM443" s="1508" t="s">
        <v>1061</v>
      </c>
      <c r="AN443" s="3401">
        <v>43871</v>
      </c>
      <c r="AO443" s="3402" t="s">
        <v>7640</v>
      </c>
      <c r="AP443" s="2664" t="s">
        <v>6894</v>
      </c>
      <c r="AQ443" s="2806">
        <v>1.047839</v>
      </c>
      <c r="AR443" s="1506">
        <v>0</v>
      </c>
      <c r="AS443" s="1507">
        <v>0</v>
      </c>
      <c r="AT443" s="1507">
        <v>0</v>
      </c>
      <c r="AU443" s="1507">
        <v>0</v>
      </c>
      <c r="AV443" s="1507">
        <v>0</v>
      </c>
      <c r="AW443" s="3247">
        <f t="shared" si="162"/>
        <v>28430</v>
      </c>
      <c r="AX443" s="3146"/>
      <c r="BA443" s="267"/>
      <c r="BB443" s="267"/>
      <c r="BC443" s="4117">
        <f t="shared" si="155"/>
        <v>0</v>
      </c>
      <c r="BD443" s="4117">
        <f t="shared" si="148"/>
        <v>0</v>
      </c>
      <c r="BE443" s="267"/>
    </row>
    <row r="444" spans="1:57" ht="63.75">
      <c r="A444" s="5981" t="s">
        <v>11147</v>
      </c>
      <c r="B444" s="1538" t="s">
        <v>5710</v>
      </c>
      <c r="C444" s="1509">
        <v>0</v>
      </c>
      <c r="D444" s="1510">
        <v>43489</v>
      </c>
      <c r="E444" s="3053" t="s">
        <v>6386</v>
      </c>
      <c r="F444" s="1511" t="s">
        <v>5757</v>
      </c>
      <c r="G444" s="2663">
        <v>1.0247219999999999</v>
      </c>
      <c r="H444" s="1513" t="s">
        <v>7634</v>
      </c>
      <c r="I444" s="1514" t="s">
        <v>1433</v>
      </c>
      <c r="J444" s="1515" t="s">
        <v>1434</v>
      </c>
      <c r="K444" s="1516">
        <v>45681</v>
      </c>
      <c r="L444" s="1514" t="s">
        <v>6152</v>
      </c>
      <c r="M444" s="1515" t="s">
        <v>6153</v>
      </c>
      <c r="N444" s="1514" t="s">
        <v>6154</v>
      </c>
      <c r="O444" s="1513" t="s">
        <v>6256</v>
      </c>
      <c r="P444" s="1517" t="s">
        <v>5972</v>
      </c>
      <c r="Q444" s="6094" t="s">
        <v>6155</v>
      </c>
      <c r="R444" s="1515" t="s">
        <v>6156</v>
      </c>
      <c r="S444" s="1518"/>
      <c r="T444" s="1519">
        <v>2444</v>
      </c>
      <c r="U444" s="1504">
        <v>0</v>
      </c>
      <c r="V444" s="1520">
        <f>T444-U444</f>
        <v>2444</v>
      </c>
      <c r="W444" s="1519">
        <v>3056</v>
      </c>
      <c r="X444" s="1504">
        <v>0</v>
      </c>
      <c r="Y444" s="1520">
        <f>W444-X444</f>
        <v>3056</v>
      </c>
      <c r="Z444" s="1519">
        <v>0</v>
      </c>
      <c r="AA444" s="1504">
        <v>0</v>
      </c>
      <c r="AB444" s="1520">
        <f>Z444-AA444</f>
        <v>0</v>
      </c>
      <c r="AC444" s="1519"/>
      <c r="AD444" s="1504"/>
      <c r="AE444" s="1520"/>
      <c r="AF444" s="1519"/>
      <c r="AG444" s="1504"/>
      <c r="AH444" s="1520"/>
      <c r="AI444" s="1503">
        <f>T444+W444+Z444+AC444+AF444</f>
        <v>5500</v>
      </c>
      <c r="AJ444" s="1504">
        <f>U444+X444+AA444+AD444+AG444</f>
        <v>0</v>
      </c>
      <c r="AK444" s="3919">
        <v>0</v>
      </c>
      <c r="AL444" s="1505">
        <f t="shared" si="161"/>
        <v>5500</v>
      </c>
      <c r="AM444" s="1508" t="s">
        <v>1061</v>
      </c>
      <c r="AN444" s="3401">
        <v>43872</v>
      </c>
      <c r="AO444" s="3402" t="s">
        <v>7641</v>
      </c>
      <c r="AP444" s="2664" t="s">
        <v>6894</v>
      </c>
      <c r="AQ444" s="2806">
        <v>1.047839</v>
      </c>
      <c r="AR444" s="1506">
        <v>0</v>
      </c>
      <c r="AS444" s="1507">
        <v>0</v>
      </c>
      <c r="AT444" s="1507">
        <v>0</v>
      </c>
      <c r="AU444" s="1507">
        <v>0</v>
      </c>
      <c r="AV444" s="1507">
        <v>0</v>
      </c>
      <c r="AW444" s="3247">
        <f t="shared" si="162"/>
        <v>5624</v>
      </c>
      <c r="AX444" s="3146"/>
      <c r="BA444" s="267"/>
      <c r="BB444" s="267"/>
      <c r="BC444" s="4117">
        <f t="shared" si="155"/>
        <v>0</v>
      </c>
      <c r="BD444" s="4117">
        <f t="shared" si="148"/>
        <v>0</v>
      </c>
      <c r="BE444" s="267"/>
    </row>
    <row r="445" spans="1:57" ht="76.5">
      <c r="A445" s="5981" t="s">
        <v>11147</v>
      </c>
      <c r="B445" s="1538" t="s">
        <v>7670</v>
      </c>
      <c r="C445" s="1509">
        <v>0</v>
      </c>
      <c r="D445" s="1510">
        <v>42961</v>
      </c>
      <c r="E445" s="3053" t="s">
        <v>6385</v>
      </c>
      <c r="F445" s="1511" t="s">
        <v>4154</v>
      </c>
      <c r="G445" s="2663">
        <v>1.0111000000000001</v>
      </c>
      <c r="H445" s="1513" t="s">
        <v>4832</v>
      </c>
      <c r="I445" s="1514" t="s">
        <v>1433</v>
      </c>
      <c r="J445" s="1515" t="s">
        <v>1434</v>
      </c>
      <c r="K445" s="1516">
        <v>44422</v>
      </c>
      <c r="L445" s="1514" t="s">
        <v>4833</v>
      </c>
      <c r="M445" s="1515" t="s">
        <v>4834</v>
      </c>
      <c r="N445" s="1514" t="s">
        <v>4835</v>
      </c>
      <c r="O445" s="1513" t="s">
        <v>6327</v>
      </c>
      <c r="P445" s="1517"/>
      <c r="Q445" s="1515" t="s">
        <v>4836</v>
      </c>
      <c r="R445" s="1515" t="s">
        <v>4837</v>
      </c>
      <c r="S445" s="1518"/>
      <c r="T445" s="1519">
        <v>6794</v>
      </c>
      <c r="U445" s="1504">
        <v>0</v>
      </c>
      <c r="V445" s="1520">
        <f>T445-U445</f>
        <v>6794</v>
      </c>
      <c r="W445" s="1519">
        <v>8493</v>
      </c>
      <c r="X445" s="1504">
        <v>0</v>
      </c>
      <c r="Y445" s="1520">
        <f>W445-X445</f>
        <v>8493</v>
      </c>
      <c r="Z445" s="1519">
        <v>1699</v>
      </c>
      <c r="AA445" s="1504">
        <v>0</v>
      </c>
      <c r="AB445" s="1520">
        <f>Z445-AA445</f>
        <v>1699</v>
      </c>
      <c r="AC445" s="1519"/>
      <c r="AD445" s="1504"/>
      <c r="AE445" s="1520"/>
      <c r="AF445" s="1519"/>
      <c r="AG445" s="1504"/>
      <c r="AH445" s="1520"/>
      <c r="AI445" s="1503">
        <f>T445+W445+Z445+AC445+AF445</f>
        <v>16986</v>
      </c>
      <c r="AJ445" s="1504">
        <f>U445+X445+AA445+AD445+AG445</f>
        <v>0</v>
      </c>
      <c r="AK445" s="3919">
        <v>0</v>
      </c>
      <c r="AL445" s="1505">
        <f t="shared" si="161"/>
        <v>16986</v>
      </c>
      <c r="AM445" s="1508" t="s">
        <v>1061</v>
      </c>
      <c r="AN445" s="3401">
        <v>43872</v>
      </c>
      <c r="AO445" s="3402" t="s">
        <v>7653</v>
      </c>
      <c r="AP445" s="2664" t="s">
        <v>6894</v>
      </c>
      <c r="AQ445" s="2806">
        <v>1.047839</v>
      </c>
      <c r="AR445" s="1506">
        <v>0</v>
      </c>
      <c r="AS445" s="1507">
        <v>0</v>
      </c>
      <c r="AT445" s="1507">
        <v>0</v>
      </c>
      <c r="AU445" s="1507">
        <v>0</v>
      </c>
      <c r="AV445" s="1507">
        <v>0</v>
      </c>
      <c r="AW445" s="3247">
        <f t="shared" si="162"/>
        <v>17603</v>
      </c>
      <c r="AX445" s="3146"/>
      <c r="BA445" s="267"/>
      <c r="BB445" s="267"/>
      <c r="BC445" s="4117">
        <f t="shared" si="155"/>
        <v>0</v>
      </c>
      <c r="BD445" s="4117">
        <f t="shared" si="148"/>
        <v>0</v>
      </c>
      <c r="BE445" s="267"/>
    </row>
    <row r="446" spans="1:57" ht="51">
      <c r="A446" s="5981" t="s">
        <v>11147</v>
      </c>
      <c r="B446" s="1538" t="s">
        <v>5738</v>
      </c>
      <c r="C446" s="1509">
        <v>0</v>
      </c>
      <c r="D446" s="1510">
        <v>43773</v>
      </c>
      <c r="E446" s="2300" t="s">
        <v>7151</v>
      </c>
      <c r="F446" s="3798" t="s">
        <v>6893</v>
      </c>
      <c r="G446" s="3110">
        <v>1.047839</v>
      </c>
      <c r="H446" s="1513" t="s">
        <v>7304</v>
      </c>
      <c r="I446" s="1514" t="s">
        <v>5753</v>
      </c>
      <c r="J446" s="1515" t="s">
        <v>2712</v>
      </c>
      <c r="K446" s="1516">
        <v>45234</v>
      </c>
      <c r="L446" s="1514" t="s">
        <v>7305</v>
      </c>
      <c r="M446" s="1515" t="s">
        <v>6628</v>
      </c>
      <c r="N446" s="1514" t="s">
        <v>7306</v>
      </c>
      <c r="O446" s="1513" t="s">
        <v>7307</v>
      </c>
      <c r="P446" s="1517"/>
      <c r="Q446" s="1515" t="s">
        <v>7308</v>
      </c>
      <c r="R446" s="1515" t="s">
        <v>7320</v>
      </c>
      <c r="S446" s="1518"/>
      <c r="T446" s="1519"/>
      <c r="U446" s="1504"/>
      <c r="V446" s="1520"/>
      <c r="W446" s="1519"/>
      <c r="X446" s="1504"/>
      <c r="Y446" s="1520"/>
      <c r="Z446" s="1519"/>
      <c r="AA446" s="1504"/>
      <c r="AB446" s="1520"/>
      <c r="AC446" s="1519"/>
      <c r="AD446" s="1504"/>
      <c r="AE446" s="1520"/>
      <c r="AF446" s="1519"/>
      <c r="AG446" s="1504"/>
      <c r="AH446" s="1520"/>
      <c r="AI446" s="1503">
        <v>17603</v>
      </c>
      <c r="AJ446" s="1504">
        <v>0</v>
      </c>
      <c r="AK446" s="3919">
        <v>0</v>
      </c>
      <c r="AL446" s="1505">
        <f t="shared" si="161"/>
        <v>17603</v>
      </c>
      <c r="AM446" s="1508" t="s">
        <v>1061</v>
      </c>
      <c r="AN446" s="3401">
        <v>43872</v>
      </c>
      <c r="AO446" s="3402" t="s">
        <v>7654</v>
      </c>
      <c r="AP446" s="2905" t="s">
        <v>6894</v>
      </c>
      <c r="AQ446" s="2906">
        <v>1.047839</v>
      </c>
      <c r="AR446" s="1506"/>
      <c r="AS446" s="1507"/>
      <c r="AT446" s="1507"/>
      <c r="AU446" s="1507"/>
      <c r="AV446" s="1507"/>
      <c r="AW446" s="3247">
        <f t="shared" si="162"/>
        <v>17603</v>
      </c>
      <c r="AX446" s="3146"/>
      <c r="AY446" s="3635"/>
      <c r="AZ446" s="4030"/>
      <c r="BB446" s="267"/>
      <c r="BC446" s="4117">
        <f t="shared" si="155"/>
        <v>0</v>
      </c>
      <c r="BD446" s="4117">
        <f t="shared" si="148"/>
        <v>0</v>
      </c>
      <c r="BE446" s="267"/>
    </row>
    <row r="447" spans="1:57" ht="63.75">
      <c r="A447" s="5981" t="s">
        <v>11147</v>
      </c>
      <c r="B447" s="1538" t="s">
        <v>7671</v>
      </c>
      <c r="C447" s="1509">
        <v>0</v>
      </c>
      <c r="D447" s="1510">
        <v>43200</v>
      </c>
      <c r="E447" s="3053" t="s">
        <v>6385</v>
      </c>
      <c r="F447" s="1511" t="s">
        <v>5915</v>
      </c>
      <c r="G447" s="2663">
        <v>1.0119899999999999</v>
      </c>
      <c r="H447" s="1513" t="s">
        <v>5429</v>
      </c>
      <c r="I447" s="1514" t="s">
        <v>1433</v>
      </c>
      <c r="J447" s="1515" t="s">
        <v>1434</v>
      </c>
      <c r="K447" s="1516">
        <v>45392</v>
      </c>
      <c r="L447" s="1514" t="s">
        <v>5432</v>
      </c>
      <c r="M447" s="1515" t="s">
        <v>4960</v>
      </c>
      <c r="N447" s="1514" t="s">
        <v>5433</v>
      </c>
      <c r="O447" s="1513" t="s">
        <v>5430</v>
      </c>
      <c r="P447" s="1517"/>
      <c r="Q447" s="1515" t="s">
        <v>5440</v>
      </c>
      <c r="R447" s="1515" t="s">
        <v>3617</v>
      </c>
      <c r="S447" s="1518"/>
      <c r="T447" s="1519">
        <v>6800</v>
      </c>
      <c r="U447" s="1504">
        <v>0</v>
      </c>
      <c r="V447" s="1520">
        <f>T447-U447</f>
        <v>6800</v>
      </c>
      <c r="W447" s="1519">
        <v>8501</v>
      </c>
      <c r="X447" s="1504">
        <v>0</v>
      </c>
      <c r="Y447" s="1520">
        <f>W447-X447</f>
        <v>8501</v>
      </c>
      <c r="Z447" s="1519">
        <v>1700</v>
      </c>
      <c r="AA447" s="1504">
        <v>0</v>
      </c>
      <c r="AB447" s="1520">
        <f>Z447-AA447</f>
        <v>1700</v>
      </c>
      <c r="AC447" s="1519"/>
      <c r="AD447" s="1504"/>
      <c r="AE447" s="1520"/>
      <c r="AF447" s="1519"/>
      <c r="AG447" s="1504"/>
      <c r="AH447" s="1520"/>
      <c r="AI447" s="1503">
        <f>T447+W447+Z447+AC447+AF447</f>
        <v>17001</v>
      </c>
      <c r="AJ447" s="1504">
        <f>U447+X447+AA447+AD447+AG447</f>
        <v>0</v>
      </c>
      <c r="AK447" s="3919">
        <v>0</v>
      </c>
      <c r="AL447" s="1505">
        <f t="shared" si="161"/>
        <v>17001</v>
      </c>
      <c r="AM447" s="1508" t="s">
        <v>1061</v>
      </c>
      <c r="AN447" s="3401">
        <v>43880</v>
      </c>
      <c r="AO447" s="3402" t="s">
        <v>7663</v>
      </c>
      <c r="AP447" s="2905" t="s">
        <v>6894</v>
      </c>
      <c r="AQ447" s="2906">
        <v>1.047839</v>
      </c>
      <c r="AR447" s="1506">
        <v>0</v>
      </c>
      <c r="AS447" s="1507">
        <v>0</v>
      </c>
      <c r="AT447" s="1507">
        <v>0</v>
      </c>
      <c r="AU447" s="1507">
        <v>0</v>
      </c>
      <c r="AV447" s="1507">
        <v>0</v>
      </c>
      <c r="AW447" s="3247">
        <f t="shared" si="162"/>
        <v>17603</v>
      </c>
      <c r="AX447" s="3146"/>
      <c r="BA447" s="267"/>
      <c r="BB447" s="267"/>
      <c r="BC447" s="4117">
        <f t="shared" si="155"/>
        <v>0</v>
      </c>
      <c r="BD447" s="4117">
        <f t="shared" si="148"/>
        <v>0</v>
      </c>
      <c r="BE447" s="267"/>
    </row>
    <row r="448" spans="1:57" ht="90" thickBot="1">
      <c r="A448" s="6042" t="s">
        <v>11147</v>
      </c>
      <c r="B448" s="3723" t="s">
        <v>7672</v>
      </c>
      <c r="C448" s="4281">
        <v>0</v>
      </c>
      <c r="D448" s="4283">
        <v>42831</v>
      </c>
      <c r="E448" s="4283" t="s">
        <v>6385</v>
      </c>
      <c r="F448" s="4284" t="s">
        <v>4154</v>
      </c>
      <c r="G448" s="4351">
        <v>1.0111000000000001</v>
      </c>
      <c r="H448" s="4352" t="s">
        <v>4499</v>
      </c>
      <c r="I448" s="3728" t="s">
        <v>1433</v>
      </c>
      <c r="J448" s="4287" t="s">
        <v>1434</v>
      </c>
      <c r="K448" s="4353">
        <v>44292</v>
      </c>
      <c r="L448" s="3728" t="s">
        <v>4500</v>
      </c>
      <c r="M448" s="4287" t="s">
        <v>1957</v>
      </c>
      <c r="N448" s="3728" t="s">
        <v>4501</v>
      </c>
      <c r="O448" s="4352" t="s">
        <v>6228</v>
      </c>
      <c r="P448" s="3731"/>
      <c r="Q448" s="4287" t="s">
        <v>4502</v>
      </c>
      <c r="R448" s="4287" t="s">
        <v>4052</v>
      </c>
      <c r="S448" s="4354"/>
      <c r="T448" s="3733">
        <v>3154</v>
      </c>
      <c r="U448" s="4292">
        <v>0</v>
      </c>
      <c r="V448" s="4355">
        <f>T448-U448</f>
        <v>3154</v>
      </c>
      <c r="W448" s="3733">
        <v>3943</v>
      </c>
      <c r="X448" s="4292">
        <v>0</v>
      </c>
      <c r="Y448" s="4355">
        <f>W448-X448</f>
        <v>3943</v>
      </c>
      <c r="Z448" s="3733">
        <v>789</v>
      </c>
      <c r="AA448" s="4292">
        <v>0</v>
      </c>
      <c r="AB448" s="4355">
        <f>Z448-AA448</f>
        <v>789</v>
      </c>
      <c r="AC448" s="3733"/>
      <c r="AD448" s="4292"/>
      <c r="AE448" s="4355"/>
      <c r="AF448" s="3733"/>
      <c r="AG448" s="4292"/>
      <c r="AH448" s="4355"/>
      <c r="AI448" s="3739">
        <f>T448+W448+Z448+AC448+AF448</f>
        <v>7886</v>
      </c>
      <c r="AJ448" s="4292">
        <f>U448+X448+AA448+AD448+AG448</f>
        <v>0</v>
      </c>
      <c r="AK448" s="4294">
        <v>0</v>
      </c>
      <c r="AL448" s="4356">
        <f t="shared" si="161"/>
        <v>7886</v>
      </c>
      <c r="AM448" s="3741" t="s">
        <v>1061</v>
      </c>
      <c r="AN448" s="4296">
        <v>43882</v>
      </c>
      <c r="AO448" s="4297" t="s">
        <v>7673</v>
      </c>
      <c r="AP448" s="4298" t="s">
        <v>6894</v>
      </c>
      <c r="AQ448" s="4357">
        <v>1.047839</v>
      </c>
      <c r="AR448" s="3744">
        <v>0</v>
      </c>
      <c r="AS448" s="4300">
        <v>0</v>
      </c>
      <c r="AT448" s="4300">
        <v>0</v>
      </c>
      <c r="AU448" s="4300">
        <v>0</v>
      </c>
      <c r="AV448" s="4300">
        <v>0</v>
      </c>
      <c r="AW448" s="4301">
        <f t="shared" si="162"/>
        <v>8173</v>
      </c>
      <c r="AX448" s="3747"/>
      <c r="AY448" s="4029" t="s">
        <v>7592</v>
      </c>
      <c r="AZ448" s="3888">
        <f>SUM(AW441:AW448)</f>
        <v>113544</v>
      </c>
      <c r="BA448" s="4028">
        <f>AZ448</f>
        <v>113544</v>
      </c>
      <c r="BB448" s="267"/>
      <c r="BC448" s="4117">
        <f t="shared" si="155"/>
        <v>0</v>
      </c>
      <c r="BD448" s="4117">
        <f t="shared" si="148"/>
        <v>0</v>
      </c>
      <c r="BE448" s="267"/>
    </row>
    <row r="449" spans="1:57" ht="89.25">
      <c r="A449" s="2418" t="s">
        <v>11003</v>
      </c>
      <c r="B449" s="338" t="s">
        <v>7695</v>
      </c>
      <c r="C449" s="321">
        <v>0</v>
      </c>
      <c r="D449" s="323">
        <v>43881</v>
      </c>
      <c r="E449" s="3058" t="s">
        <v>7151</v>
      </c>
      <c r="F449" s="324" t="s">
        <v>6893</v>
      </c>
      <c r="G449" s="2621">
        <v>1.047839</v>
      </c>
      <c r="H449" s="332" t="s">
        <v>7669</v>
      </c>
      <c r="I449" s="339" t="s">
        <v>1433</v>
      </c>
      <c r="J449" s="322" t="s">
        <v>1434</v>
      </c>
      <c r="K449" s="340" t="s">
        <v>7664</v>
      </c>
      <c r="L449" s="339" t="s">
        <v>7665</v>
      </c>
      <c r="M449" s="322" t="s">
        <v>6628</v>
      </c>
      <c r="N449" s="339" t="s">
        <v>7666</v>
      </c>
      <c r="O449" s="332" t="s">
        <v>6309</v>
      </c>
      <c r="P449" s="345" t="s">
        <v>7668</v>
      </c>
      <c r="Q449" s="322" t="s">
        <v>7667</v>
      </c>
      <c r="R449" s="322" t="s">
        <v>7157</v>
      </c>
      <c r="S449" s="346"/>
      <c r="T449" s="347"/>
      <c r="U449" s="326"/>
      <c r="V449" s="348"/>
      <c r="W449" s="347"/>
      <c r="X449" s="326"/>
      <c r="Y449" s="348"/>
      <c r="Z449" s="347"/>
      <c r="AA449" s="326"/>
      <c r="AB449" s="348"/>
      <c r="AC449" s="347"/>
      <c r="AD449" s="326"/>
      <c r="AE449" s="348"/>
      <c r="AF449" s="347"/>
      <c r="AG449" s="326"/>
      <c r="AH449" s="348"/>
      <c r="AI449" s="482">
        <v>1106</v>
      </c>
      <c r="AJ449" s="326">
        <v>0</v>
      </c>
      <c r="AK449" s="3917">
        <v>0</v>
      </c>
      <c r="AL449" s="349">
        <f t="shared" si="161"/>
        <v>1106</v>
      </c>
      <c r="AM449" s="2002" t="s">
        <v>1061</v>
      </c>
      <c r="AN449" s="3357">
        <v>43893</v>
      </c>
      <c r="AO449" s="695" t="s">
        <v>7697</v>
      </c>
      <c r="AP449" s="3362" t="s">
        <v>6894</v>
      </c>
      <c r="AQ449" s="3555">
        <v>1.047839</v>
      </c>
      <c r="AR449" s="333"/>
      <c r="AS449" s="330"/>
      <c r="AT449" s="330"/>
      <c r="AU449" s="330"/>
      <c r="AV449" s="330"/>
      <c r="AW449" s="3156">
        <f t="shared" si="162"/>
        <v>1106</v>
      </c>
      <c r="AX449" s="3140"/>
      <c r="BA449" s="267"/>
      <c r="BB449" s="267"/>
      <c r="BC449" s="4117">
        <f t="shared" si="155"/>
        <v>0</v>
      </c>
      <c r="BD449" s="4117">
        <f t="shared" si="148"/>
        <v>0</v>
      </c>
      <c r="BE449" s="267"/>
    </row>
    <row r="450" spans="1:57" ht="63.75">
      <c r="A450" s="2418" t="s">
        <v>11147</v>
      </c>
      <c r="B450" s="338" t="s">
        <v>7711</v>
      </c>
      <c r="C450" s="321">
        <v>0</v>
      </c>
      <c r="D450" s="323">
        <v>43203</v>
      </c>
      <c r="E450" s="3051" t="s">
        <v>6385</v>
      </c>
      <c r="F450" s="324" t="s">
        <v>5915</v>
      </c>
      <c r="G450" s="2621">
        <v>1.0119899999999999</v>
      </c>
      <c r="H450" s="332" t="s">
        <v>5435</v>
      </c>
      <c r="I450" s="339" t="s">
        <v>1433</v>
      </c>
      <c r="J450" s="322" t="s">
        <v>1434</v>
      </c>
      <c r="K450" s="340">
        <v>45395</v>
      </c>
      <c r="L450" s="339" t="s">
        <v>5436</v>
      </c>
      <c r="M450" s="322" t="s">
        <v>5437</v>
      </c>
      <c r="N450" s="339" t="s">
        <v>5438</v>
      </c>
      <c r="O450" s="332" t="s">
        <v>6306</v>
      </c>
      <c r="P450" s="345"/>
      <c r="Q450" s="322" t="s">
        <v>5439</v>
      </c>
      <c r="R450" s="322" t="s">
        <v>3617</v>
      </c>
      <c r="S450" s="346"/>
      <c r="T450" s="347">
        <v>2914</v>
      </c>
      <c r="U450" s="326">
        <v>0</v>
      </c>
      <c r="V450" s="348">
        <f>T450-U450</f>
        <v>2914</v>
      </c>
      <c r="W450" s="347">
        <v>3643</v>
      </c>
      <c r="X450" s="326">
        <v>0</v>
      </c>
      <c r="Y450" s="348">
        <f>W450-X450</f>
        <v>3643</v>
      </c>
      <c r="Z450" s="347">
        <v>729</v>
      </c>
      <c r="AA450" s="326">
        <v>0</v>
      </c>
      <c r="AB450" s="348">
        <f>Z450-AA450</f>
        <v>729</v>
      </c>
      <c r="AC450" s="347"/>
      <c r="AD450" s="326"/>
      <c r="AE450" s="348"/>
      <c r="AF450" s="347"/>
      <c r="AG450" s="326"/>
      <c r="AH450" s="348"/>
      <c r="AI450" s="482">
        <f>T450+W450+Z450+AC450+AF450</f>
        <v>7286</v>
      </c>
      <c r="AJ450" s="326">
        <f>U450+X450+AA450+AD450+AG450</f>
        <v>0</v>
      </c>
      <c r="AK450" s="3917">
        <v>0</v>
      </c>
      <c r="AL450" s="349">
        <f t="shared" si="161"/>
        <v>7286</v>
      </c>
      <c r="AM450" s="2002" t="s">
        <v>1061</v>
      </c>
      <c r="AN450" s="3357">
        <v>43901</v>
      </c>
      <c r="AO450" s="695" t="s">
        <v>7712</v>
      </c>
      <c r="AP450" s="2722" t="s">
        <v>6894</v>
      </c>
      <c r="AQ450" s="2723">
        <v>1.047839</v>
      </c>
      <c r="AR450" s="333">
        <v>0</v>
      </c>
      <c r="AS450" s="330">
        <v>0</v>
      </c>
      <c r="AT450" s="330">
        <v>0</v>
      </c>
      <c r="AU450" s="330">
        <v>0</v>
      </c>
      <c r="AV450" s="330">
        <v>0</v>
      </c>
      <c r="AW450" s="3156">
        <f t="shared" si="162"/>
        <v>7544</v>
      </c>
      <c r="AX450" s="3140"/>
      <c r="AY450" s="3635"/>
      <c r="AZ450" s="4030"/>
      <c r="BA450" s="1727"/>
      <c r="BB450" s="267"/>
      <c r="BC450" s="4117">
        <f t="shared" si="155"/>
        <v>0</v>
      </c>
      <c r="BD450" s="4117">
        <f t="shared" si="148"/>
        <v>0</v>
      </c>
      <c r="BE450" s="267"/>
    </row>
    <row r="451" spans="1:57" ht="76.5">
      <c r="A451" s="2418" t="s">
        <v>11147</v>
      </c>
      <c r="B451" s="338" t="s">
        <v>7723</v>
      </c>
      <c r="C451" s="321">
        <v>0</v>
      </c>
      <c r="D451" s="323">
        <v>43738</v>
      </c>
      <c r="E451" s="829" t="s">
        <v>7151</v>
      </c>
      <c r="F451" s="3774" t="s">
        <v>6893</v>
      </c>
      <c r="G451" s="2620">
        <v>1.047839</v>
      </c>
      <c r="H451" s="332" t="s">
        <v>7159</v>
      </c>
      <c r="I451" s="339" t="s">
        <v>7160</v>
      </c>
      <c r="J451" s="322" t="s">
        <v>4306</v>
      </c>
      <c r="K451" s="340">
        <v>44469</v>
      </c>
      <c r="L451" s="339" t="s">
        <v>7161</v>
      </c>
      <c r="M451" s="322" t="s">
        <v>7162</v>
      </c>
      <c r="N451" s="339" t="s">
        <v>7163</v>
      </c>
      <c r="O451" s="322" t="s">
        <v>7162</v>
      </c>
      <c r="P451" s="345"/>
      <c r="Q451" s="6094" t="s">
        <v>5708</v>
      </c>
      <c r="R451" s="322" t="s">
        <v>5350</v>
      </c>
      <c r="S451" s="346"/>
      <c r="T451" s="347"/>
      <c r="U451" s="326"/>
      <c r="V451" s="348"/>
      <c r="W451" s="347"/>
      <c r="X451" s="326"/>
      <c r="Y451" s="348"/>
      <c r="Z451" s="347"/>
      <c r="AA451" s="326"/>
      <c r="AB451" s="348"/>
      <c r="AC451" s="347"/>
      <c r="AD451" s="326"/>
      <c r="AE451" s="348"/>
      <c r="AF451" s="347"/>
      <c r="AG451" s="326"/>
      <c r="AH451" s="348"/>
      <c r="AI451" s="482">
        <v>6249</v>
      </c>
      <c r="AJ451" s="326">
        <v>0</v>
      </c>
      <c r="AK451" s="3917">
        <v>0</v>
      </c>
      <c r="AL451" s="349">
        <f t="shared" si="161"/>
        <v>6249</v>
      </c>
      <c r="AM451" s="2002" t="s">
        <v>1061</v>
      </c>
      <c r="AN451" s="3357">
        <v>43902</v>
      </c>
      <c r="AO451" s="695" t="s">
        <v>7713</v>
      </c>
      <c r="AP451" s="3362" t="s">
        <v>6894</v>
      </c>
      <c r="AQ451" s="3555">
        <v>1.047839</v>
      </c>
      <c r="AR451" s="333"/>
      <c r="AS451" s="330"/>
      <c r="AT451" s="330"/>
      <c r="AU451" s="330"/>
      <c r="AV451" s="330"/>
      <c r="AW451" s="3156">
        <f t="shared" si="162"/>
        <v>6249</v>
      </c>
      <c r="AX451" s="3140"/>
      <c r="BA451" s="267"/>
      <c r="BB451" s="267"/>
      <c r="BC451" s="4117">
        <f t="shared" si="155"/>
        <v>0</v>
      </c>
      <c r="BD451" s="4117">
        <f t="shared" si="148"/>
        <v>0</v>
      </c>
      <c r="BE451" s="267"/>
    </row>
    <row r="452" spans="1:57" ht="76.5">
      <c r="A452" s="5964" t="s">
        <v>11145</v>
      </c>
      <c r="B452" s="338" t="s">
        <v>7735</v>
      </c>
      <c r="C452" s="321">
        <v>0</v>
      </c>
      <c r="D452" s="323">
        <v>43346</v>
      </c>
      <c r="E452" s="3051" t="s">
        <v>6385</v>
      </c>
      <c r="F452" s="324" t="s">
        <v>5757</v>
      </c>
      <c r="G452" s="2621">
        <v>1.0247219999999999</v>
      </c>
      <c r="H452" s="332" t="s">
        <v>5855</v>
      </c>
      <c r="I452" s="339" t="s">
        <v>5856</v>
      </c>
      <c r="J452" s="322" t="s">
        <v>4306</v>
      </c>
      <c r="K452" s="340">
        <v>44077</v>
      </c>
      <c r="L452" s="339" t="s">
        <v>5857</v>
      </c>
      <c r="M452" s="322" t="s">
        <v>5858</v>
      </c>
      <c r="N452" s="339" t="s">
        <v>5859</v>
      </c>
      <c r="O452" s="332" t="s">
        <v>6172</v>
      </c>
      <c r="P452" s="345"/>
      <c r="Q452" s="6094" t="s">
        <v>5708</v>
      </c>
      <c r="R452" s="322" t="s">
        <v>5350</v>
      </c>
      <c r="S452" s="346"/>
      <c r="T452" s="347">
        <v>2344</v>
      </c>
      <c r="U452" s="326">
        <v>0</v>
      </c>
      <c r="V452" s="348">
        <f>T452-U452</f>
        <v>2344</v>
      </c>
      <c r="W452" s="347">
        <v>2930</v>
      </c>
      <c r="X452" s="326">
        <v>0</v>
      </c>
      <c r="Y452" s="348">
        <f>W452-X452</f>
        <v>2930</v>
      </c>
      <c r="Z452" s="347">
        <v>837</v>
      </c>
      <c r="AA452" s="326">
        <v>0</v>
      </c>
      <c r="AB452" s="348">
        <f>Z452-AA452</f>
        <v>837</v>
      </c>
      <c r="AC452" s="347"/>
      <c r="AD452" s="326"/>
      <c r="AE452" s="348"/>
      <c r="AF452" s="347"/>
      <c r="AG452" s="326"/>
      <c r="AH452" s="348"/>
      <c r="AI452" s="482">
        <f>T452+W452+Z452+AC452+AF452</f>
        <v>6111</v>
      </c>
      <c r="AJ452" s="326">
        <f>U452+X452+AA452+AD452+AG452</f>
        <v>0</v>
      </c>
      <c r="AK452" s="3917">
        <v>0</v>
      </c>
      <c r="AL452" s="349">
        <f t="shared" si="161"/>
        <v>6111</v>
      </c>
      <c r="AM452" s="2002" t="s">
        <v>1061</v>
      </c>
      <c r="AN452" s="3357">
        <v>43916</v>
      </c>
      <c r="AO452" s="695" t="s">
        <v>7736</v>
      </c>
      <c r="AP452" s="2722" t="s">
        <v>6894</v>
      </c>
      <c r="AQ452" s="2723">
        <v>1.047839</v>
      </c>
      <c r="AR452" s="333">
        <v>0</v>
      </c>
      <c r="AS452" s="330">
        <v>0</v>
      </c>
      <c r="AT452" s="330">
        <v>0</v>
      </c>
      <c r="AU452" s="330">
        <v>0</v>
      </c>
      <c r="AV452" s="330">
        <v>0</v>
      </c>
      <c r="AW452" s="3156">
        <f t="shared" si="162"/>
        <v>6249</v>
      </c>
      <c r="AX452" s="3140"/>
      <c r="BA452" s="267"/>
      <c r="BB452" s="267"/>
      <c r="BC452" s="4117">
        <f t="shared" si="155"/>
        <v>0</v>
      </c>
      <c r="BD452" s="4117">
        <f t="shared" ref="BD452:BD515" si="163">ROUND($AK452*$AQ452/$G452,0)</f>
        <v>0</v>
      </c>
      <c r="BE452" s="267"/>
    </row>
    <row r="453" spans="1:57" ht="114.75">
      <c r="A453" s="5964" t="s">
        <v>11148</v>
      </c>
      <c r="B453" s="338" t="s">
        <v>5930</v>
      </c>
      <c r="C453" s="321">
        <v>7</v>
      </c>
      <c r="D453" s="323" t="s">
        <v>7204</v>
      </c>
      <c r="E453" s="829" t="s">
        <v>6386</v>
      </c>
      <c r="F453" s="830" t="s">
        <v>5757</v>
      </c>
      <c r="G453" s="2621">
        <v>1.0247219999999999</v>
      </c>
      <c r="H453" s="332" t="s">
        <v>7205</v>
      </c>
      <c r="I453" s="339" t="s">
        <v>4235</v>
      </c>
      <c r="J453" s="322" t="s">
        <v>1434</v>
      </c>
      <c r="K453" s="340" t="s">
        <v>6050</v>
      </c>
      <c r="L453" s="339" t="s">
        <v>1119</v>
      </c>
      <c r="M453" s="322" t="s">
        <v>3301</v>
      </c>
      <c r="N453" s="339" t="s">
        <v>4967</v>
      </c>
      <c r="O453" s="332" t="s">
        <v>6192</v>
      </c>
      <c r="P453" s="345" t="s">
        <v>6051</v>
      </c>
      <c r="Q453" s="322" t="s">
        <v>6054</v>
      </c>
      <c r="R453" s="322" t="s">
        <v>3253</v>
      </c>
      <c r="S453" s="346"/>
      <c r="T453" s="347">
        <v>8264</v>
      </c>
      <c r="U453" s="326">
        <v>0</v>
      </c>
      <c r="V453" s="348">
        <f>T453-U453</f>
        <v>8264</v>
      </c>
      <c r="W453" s="347">
        <v>0</v>
      </c>
      <c r="X453" s="326">
        <v>0</v>
      </c>
      <c r="Y453" s="348">
        <f>W453-X453</f>
        <v>0</v>
      </c>
      <c r="Z453" s="347">
        <v>51646</v>
      </c>
      <c r="AA453" s="326">
        <v>0</v>
      </c>
      <c r="AB453" s="348">
        <f>Z453-AA453</f>
        <v>51646</v>
      </c>
      <c r="AC453" s="347"/>
      <c r="AD453" s="326"/>
      <c r="AE453" s="348"/>
      <c r="AF453" s="347"/>
      <c r="AG453" s="326"/>
      <c r="AH453" s="348"/>
      <c r="AI453" s="482">
        <f>T453+W453+Z453+AC453+AF453</f>
        <v>59910</v>
      </c>
      <c r="AJ453" s="326">
        <f>U453+X453+AA453</f>
        <v>0</v>
      </c>
      <c r="AK453" s="3917">
        <v>0</v>
      </c>
      <c r="AL453" s="349">
        <f t="shared" si="161"/>
        <v>59910</v>
      </c>
      <c r="AM453" s="2002" t="s">
        <v>1061</v>
      </c>
      <c r="AN453" s="3357">
        <v>43916</v>
      </c>
      <c r="AO453" s="695" t="s">
        <v>7737</v>
      </c>
      <c r="AP453" s="2722" t="s">
        <v>6894</v>
      </c>
      <c r="AQ453" s="2723">
        <v>1.047839</v>
      </c>
      <c r="AR453" s="333">
        <v>0</v>
      </c>
      <c r="AS453" s="330">
        <v>0</v>
      </c>
      <c r="AT453" s="330">
        <v>0</v>
      </c>
      <c r="AU453" s="330">
        <v>0</v>
      </c>
      <c r="AV453" s="330">
        <v>0</v>
      </c>
      <c r="AW453" s="3156">
        <f t="shared" si="162"/>
        <v>61262</v>
      </c>
      <c r="AX453" s="3140"/>
      <c r="BA453" s="267"/>
      <c r="BB453" s="267"/>
      <c r="BC453" s="4117">
        <f t="shared" si="155"/>
        <v>0</v>
      </c>
      <c r="BD453" s="4117">
        <f t="shared" si="163"/>
        <v>0</v>
      </c>
      <c r="BE453" s="267"/>
    </row>
    <row r="454" spans="1:57" ht="51.75" thickBot="1">
      <c r="A454" s="6043" t="s">
        <v>11147</v>
      </c>
      <c r="B454" s="3748" t="s">
        <v>7211</v>
      </c>
      <c r="C454" s="4326">
        <v>0</v>
      </c>
      <c r="D454" s="4327">
        <v>43054</v>
      </c>
      <c r="E454" s="4327" t="s">
        <v>6385</v>
      </c>
      <c r="F454" s="4358" t="s">
        <v>5915</v>
      </c>
      <c r="G454" s="4328">
        <v>1.0119899999999999</v>
      </c>
      <c r="H454" s="4359" t="s">
        <v>5088</v>
      </c>
      <c r="I454" s="3753" t="s">
        <v>1433</v>
      </c>
      <c r="J454" s="4330" t="s">
        <v>1434</v>
      </c>
      <c r="K454" s="4360">
        <v>44515</v>
      </c>
      <c r="L454" s="3753" t="s">
        <v>5083</v>
      </c>
      <c r="M454" s="4330" t="s">
        <v>5084</v>
      </c>
      <c r="N454" s="3753" t="s">
        <v>5085</v>
      </c>
      <c r="O454" s="4359" t="s">
        <v>6321</v>
      </c>
      <c r="P454" s="3756"/>
      <c r="Q454" s="4330" t="s">
        <v>5086</v>
      </c>
      <c r="R454" s="4330" t="s">
        <v>5087</v>
      </c>
      <c r="S454" s="4361"/>
      <c r="T454" s="3758">
        <v>9715</v>
      </c>
      <c r="U454" s="4334">
        <v>0</v>
      </c>
      <c r="V454" s="4362">
        <f>T454-U454</f>
        <v>9715</v>
      </c>
      <c r="W454" s="3758">
        <v>12144</v>
      </c>
      <c r="X454" s="4334">
        <v>0</v>
      </c>
      <c r="Y454" s="4362">
        <f>W454-X454</f>
        <v>12144</v>
      </c>
      <c r="Z454" s="3758">
        <v>2428</v>
      </c>
      <c r="AA454" s="4334">
        <v>0</v>
      </c>
      <c r="AB454" s="4362">
        <f>Z454-AA454</f>
        <v>2428</v>
      </c>
      <c r="AC454" s="3758"/>
      <c r="AD454" s="4334"/>
      <c r="AE454" s="4362"/>
      <c r="AF454" s="3758"/>
      <c r="AG454" s="4334"/>
      <c r="AH454" s="4362"/>
      <c r="AI454" s="3761">
        <v>0</v>
      </c>
      <c r="AJ454" s="4334">
        <f>U454+X454+AA454+AD454+AG454</f>
        <v>0</v>
      </c>
      <c r="AK454" s="4336">
        <v>0</v>
      </c>
      <c r="AL454" s="4363">
        <f t="shared" si="161"/>
        <v>0</v>
      </c>
      <c r="AM454" s="4364" t="s">
        <v>7724</v>
      </c>
      <c r="AN454" s="4365">
        <v>43916</v>
      </c>
      <c r="AO454" s="4339" t="s">
        <v>7738</v>
      </c>
      <c r="AP454" s="4340" t="s">
        <v>6894</v>
      </c>
      <c r="AQ454" s="4366">
        <v>1.047839</v>
      </c>
      <c r="AR454" s="3768">
        <v>0</v>
      </c>
      <c r="AS454" s="4342">
        <v>0</v>
      </c>
      <c r="AT454" s="4342">
        <v>0</v>
      </c>
      <c r="AU454" s="4342">
        <v>0</v>
      </c>
      <c r="AV454" s="4342">
        <v>0</v>
      </c>
      <c r="AW454" s="4343">
        <v>2000</v>
      </c>
      <c r="AX454" s="4367" t="s">
        <v>7725</v>
      </c>
      <c r="AY454" s="4031" t="s">
        <v>7696</v>
      </c>
      <c r="AZ454" s="3857">
        <f>SUM(AW449:AW454)</f>
        <v>84410</v>
      </c>
      <c r="BA454" s="4028">
        <f>AZ454</f>
        <v>84410</v>
      </c>
      <c r="BB454" s="267"/>
      <c r="BC454" s="4117">
        <f t="shared" si="155"/>
        <v>0</v>
      </c>
      <c r="BD454" s="4117">
        <f t="shared" si="163"/>
        <v>0</v>
      </c>
      <c r="BE454" s="267"/>
    </row>
    <row r="455" spans="1:57" ht="51">
      <c r="A455" s="5981" t="s">
        <v>11003</v>
      </c>
      <c r="B455" s="1538" t="s">
        <v>6971</v>
      </c>
      <c r="C455" s="1509">
        <v>0</v>
      </c>
      <c r="D455" s="1510">
        <v>43917</v>
      </c>
      <c r="E455" s="4344" t="s">
        <v>7151</v>
      </c>
      <c r="F455" s="1511" t="s">
        <v>6893</v>
      </c>
      <c r="G455" s="2663">
        <v>1.047839</v>
      </c>
      <c r="H455" s="1513" t="s">
        <v>7728</v>
      </c>
      <c r="I455" s="1514" t="s">
        <v>1433</v>
      </c>
      <c r="J455" s="1515" t="s">
        <v>1434</v>
      </c>
      <c r="K455" s="3799" t="s">
        <v>7715</v>
      </c>
      <c r="L455" s="1514" t="s">
        <v>7729</v>
      </c>
      <c r="M455" s="1515" t="s">
        <v>7730</v>
      </c>
      <c r="N455" s="1514" t="s">
        <v>7731</v>
      </c>
      <c r="O455" s="1513" t="s">
        <v>7732</v>
      </c>
      <c r="P455" s="1517"/>
      <c r="Q455" s="1515" t="s">
        <v>7733</v>
      </c>
      <c r="R455" s="1515" t="s">
        <v>7734</v>
      </c>
      <c r="S455" s="1518"/>
      <c r="T455" s="1519"/>
      <c r="U455" s="1504"/>
      <c r="V455" s="1520"/>
      <c r="W455" s="1519"/>
      <c r="X455" s="1504"/>
      <c r="Y455" s="1520"/>
      <c r="Z455" s="1519"/>
      <c r="AA455" s="1504"/>
      <c r="AB455" s="1520"/>
      <c r="AC455" s="1519"/>
      <c r="AD455" s="1504"/>
      <c r="AE455" s="1520"/>
      <c r="AF455" s="1519"/>
      <c r="AG455" s="1504"/>
      <c r="AH455" s="1520"/>
      <c r="AI455" s="1503">
        <v>3366</v>
      </c>
      <c r="AJ455" s="1504">
        <v>0</v>
      </c>
      <c r="AK455" s="3919">
        <v>0</v>
      </c>
      <c r="AL455" s="1505">
        <f t="shared" si="161"/>
        <v>3366</v>
      </c>
      <c r="AM455" s="1508" t="s">
        <v>1061</v>
      </c>
      <c r="AN455" s="3401">
        <v>43922</v>
      </c>
      <c r="AO455" s="3402" t="s">
        <v>7747</v>
      </c>
      <c r="AP455" s="2905" t="s">
        <v>6894</v>
      </c>
      <c r="AQ455" s="2906">
        <v>1.047839</v>
      </c>
      <c r="AR455" s="1506"/>
      <c r="AS455" s="1507"/>
      <c r="AT455" s="1507"/>
      <c r="AU455" s="1507"/>
      <c r="AV455" s="1507"/>
      <c r="AW455" s="3247">
        <f>ROUND(AL455*AQ455/G455,0)</f>
        <v>3366</v>
      </c>
      <c r="AX455" s="3146"/>
      <c r="BC455" s="4117">
        <f t="shared" si="155"/>
        <v>0</v>
      </c>
      <c r="BD455" s="4117">
        <f t="shared" si="163"/>
        <v>0</v>
      </c>
      <c r="BE455" s="267"/>
    </row>
    <row r="456" spans="1:57" ht="89.25">
      <c r="A456" s="5978" t="s">
        <v>11149</v>
      </c>
      <c r="B456" s="1538" t="s">
        <v>7770</v>
      </c>
      <c r="C456" s="1509">
        <v>0</v>
      </c>
      <c r="D456" s="1510">
        <v>42885</v>
      </c>
      <c r="E456" s="3053" t="s">
        <v>6385</v>
      </c>
      <c r="F456" s="2139" t="s">
        <v>6558</v>
      </c>
      <c r="G456" s="2805">
        <v>114</v>
      </c>
      <c r="H456" s="1513" t="s">
        <v>6481</v>
      </c>
      <c r="I456" s="1514" t="s">
        <v>4619</v>
      </c>
      <c r="J456" s="1515" t="s">
        <v>4306</v>
      </c>
      <c r="K456" s="1516">
        <v>43615</v>
      </c>
      <c r="L456" s="1514" t="s">
        <v>4620</v>
      </c>
      <c r="M456" s="1515" t="s">
        <v>4621</v>
      </c>
      <c r="N456" s="1514" t="s">
        <v>4622</v>
      </c>
      <c r="O456" s="1513" t="s">
        <v>6232</v>
      </c>
      <c r="P456" s="1517" t="s">
        <v>7758</v>
      </c>
      <c r="Q456" s="6094" t="s">
        <v>4332</v>
      </c>
      <c r="R456" s="1515" t="s">
        <v>1046</v>
      </c>
      <c r="S456" s="1518"/>
      <c r="T456" s="1519">
        <v>465</v>
      </c>
      <c r="U456" s="1504">
        <v>0</v>
      </c>
      <c r="V456" s="1520">
        <f>T456-U456</f>
        <v>465</v>
      </c>
      <c r="W456" s="1519">
        <v>581</v>
      </c>
      <c r="X456" s="1504">
        <v>0</v>
      </c>
      <c r="Y456" s="1520">
        <f>W456-X456</f>
        <v>581</v>
      </c>
      <c r="Z456" s="1519">
        <v>166</v>
      </c>
      <c r="AA456" s="1504">
        <v>0</v>
      </c>
      <c r="AB456" s="1520">
        <f>Z456-AA456</f>
        <v>166</v>
      </c>
      <c r="AC456" s="1519"/>
      <c r="AD456" s="1504"/>
      <c r="AE456" s="1520"/>
      <c r="AF456" s="1519"/>
      <c r="AG456" s="1504"/>
      <c r="AH456" s="1520"/>
      <c r="AI456" s="1503">
        <v>0</v>
      </c>
      <c r="AJ456" s="1504">
        <f>U456+X456+AA456+AD456+AG456</f>
        <v>0</v>
      </c>
      <c r="AK456" s="3919">
        <v>0</v>
      </c>
      <c r="AL456" s="1505">
        <f t="shared" ref="AL456:AL487" si="164">AI456-AJ456-AK456</f>
        <v>0</v>
      </c>
      <c r="AM456" s="1508" t="s">
        <v>4488</v>
      </c>
      <c r="AN456" s="3401">
        <v>43927</v>
      </c>
      <c r="AO456" s="3402" t="s">
        <v>7768</v>
      </c>
      <c r="AP456" s="3251" t="s">
        <v>7742</v>
      </c>
      <c r="AQ456" s="3248">
        <v>116.3</v>
      </c>
      <c r="AR456" s="1506">
        <v>0</v>
      </c>
      <c r="AS456" s="1507">
        <v>0</v>
      </c>
      <c r="AT456" s="1507">
        <v>0</v>
      </c>
      <c r="AU456" s="1507">
        <v>0</v>
      </c>
      <c r="AV456" s="1507">
        <v>0</v>
      </c>
      <c r="AW456" s="3247">
        <v>412</v>
      </c>
      <c r="AX456" s="3148" t="s">
        <v>7767</v>
      </c>
      <c r="BA456" s="267"/>
      <c r="BB456" s="267"/>
      <c r="BC456" s="4117">
        <f t="shared" si="155"/>
        <v>0</v>
      </c>
      <c r="BD456" s="4117">
        <f t="shared" si="163"/>
        <v>0</v>
      </c>
      <c r="BE456" s="267"/>
    </row>
    <row r="457" spans="1:57" ht="64.5" thickBot="1">
      <c r="A457" s="6044" t="s">
        <v>11147</v>
      </c>
      <c r="B457" s="3723" t="s">
        <v>7834</v>
      </c>
      <c r="C457" s="4281">
        <v>0</v>
      </c>
      <c r="D457" s="4283">
        <v>43347</v>
      </c>
      <c r="E457" s="4283" t="s">
        <v>6385</v>
      </c>
      <c r="F457" s="4284" t="s">
        <v>5757</v>
      </c>
      <c r="G457" s="4351">
        <v>1.0247219999999999</v>
      </c>
      <c r="H457" s="4553" t="s">
        <v>5860</v>
      </c>
      <c r="I457" s="3728" t="s">
        <v>1433</v>
      </c>
      <c r="J457" s="4287" t="s">
        <v>1434</v>
      </c>
      <c r="K457" s="4554">
        <v>45538</v>
      </c>
      <c r="L457" s="3728" t="s">
        <v>5861</v>
      </c>
      <c r="M457" s="4287" t="s">
        <v>5862</v>
      </c>
      <c r="N457" s="3728" t="s">
        <v>5863</v>
      </c>
      <c r="O457" s="4553" t="s">
        <v>6296</v>
      </c>
      <c r="P457" s="4555" t="s">
        <v>7744</v>
      </c>
      <c r="Q457" s="4287" t="s">
        <v>5811</v>
      </c>
      <c r="R457" s="4287" t="s">
        <v>5350</v>
      </c>
      <c r="S457" s="4556"/>
      <c r="T457" s="3733">
        <v>6886</v>
      </c>
      <c r="U457" s="4292">
        <v>0</v>
      </c>
      <c r="V457" s="4557">
        <f>T457-U457</f>
        <v>6886</v>
      </c>
      <c r="W457" s="3733">
        <v>8608</v>
      </c>
      <c r="X457" s="4292">
        <v>0</v>
      </c>
      <c r="Y457" s="4557">
        <f>W457-X457</f>
        <v>8608</v>
      </c>
      <c r="Z457" s="3733">
        <v>1721</v>
      </c>
      <c r="AA457" s="4292">
        <v>0</v>
      </c>
      <c r="AB457" s="4557">
        <f>Z457-AA457</f>
        <v>1721</v>
      </c>
      <c r="AC457" s="3733"/>
      <c r="AD457" s="4292"/>
      <c r="AE457" s="4557"/>
      <c r="AF457" s="3733"/>
      <c r="AG457" s="4292"/>
      <c r="AH457" s="4557"/>
      <c r="AI457" s="3739">
        <f>T457+W457+Z457+AC457+AF457</f>
        <v>17215</v>
      </c>
      <c r="AJ457" s="4292">
        <f>U457+X457+AA457+AD457+AG457</f>
        <v>0</v>
      </c>
      <c r="AK457" s="4558">
        <v>0</v>
      </c>
      <c r="AL457" s="4559">
        <f t="shared" si="164"/>
        <v>17215</v>
      </c>
      <c r="AM457" s="3741" t="s">
        <v>1061</v>
      </c>
      <c r="AN457" s="4296">
        <v>43945</v>
      </c>
      <c r="AO457" s="4297" t="s">
        <v>7835</v>
      </c>
      <c r="AP457" s="4298" t="s">
        <v>6894</v>
      </c>
      <c r="AQ457" s="4560">
        <v>1.047839</v>
      </c>
      <c r="AR457" s="3744">
        <v>0</v>
      </c>
      <c r="AS457" s="4300">
        <v>0</v>
      </c>
      <c r="AT457" s="4300">
        <v>0</v>
      </c>
      <c r="AU457" s="4300">
        <v>0</v>
      </c>
      <c r="AV457" s="4300">
        <v>0</v>
      </c>
      <c r="AW457" s="4551">
        <f>ROUND(AL457*AQ457/G457,0)</f>
        <v>17603</v>
      </c>
      <c r="AX457" s="3747"/>
      <c r="AY457" s="4029" t="s">
        <v>7748</v>
      </c>
      <c r="AZ457" s="3888">
        <f>SUM(AW455:AW457)</f>
        <v>21381</v>
      </c>
      <c r="BA457" s="4028">
        <f>AZ457</f>
        <v>21381</v>
      </c>
      <c r="BB457" s="267"/>
      <c r="BC457" s="4117">
        <f t="shared" si="155"/>
        <v>0</v>
      </c>
      <c r="BD457" s="4117">
        <f t="shared" si="163"/>
        <v>0</v>
      </c>
      <c r="BE457" s="267"/>
    </row>
    <row r="458" spans="1:57" ht="76.5">
      <c r="A458" s="6045" t="s">
        <v>11003</v>
      </c>
      <c r="B458" s="564" t="s">
        <v>6974</v>
      </c>
      <c r="C458" s="565">
        <v>0</v>
      </c>
      <c r="D458" s="566">
        <v>43944</v>
      </c>
      <c r="E458" s="4561" t="s">
        <v>7151</v>
      </c>
      <c r="F458" s="567" t="s">
        <v>6893</v>
      </c>
      <c r="G458" s="4562">
        <v>1.047839</v>
      </c>
      <c r="H458" s="568" t="s">
        <v>7827</v>
      </c>
      <c r="I458" s="569" t="s">
        <v>1433</v>
      </c>
      <c r="J458" s="570" t="s">
        <v>1434</v>
      </c>
      <c r="K458" s="571" t="s">
        <v>7715</v>
      </c>
      <c r="L458" s="569" t="s">
        <v>3586</v>
      </c>
      <c r="M458" s="570" t="s">
        <v>1957</v>
      </c>
      <c r="N458" s="569" t="s">
        <v>2313</v>
      </c>
      <c r="O458" s="568" t="s">
        <v>7828</v>
      </c>
      <c r="P458" s="572"/>
      <c r="Q458" s="570" t="s">
        <v>7829</v>
      </c>
      <c r="R458" s="570" t="s">
        <v>7830</v>
      </c>
      <c r="S458" s="573" t="s">
        <v>6663</v>
      </c>
      <c r="T458" s="574"/>
      <c r="U458" s="575"/>
      <c r="V458" s="576"/>
      <c r="W458" s="574"/>
      <c r="X458" s="575"/>
      <c r="Y458" s="576"/>
      <c r="Z458" s="574"/>
      <c r="AA458" s="575"/>
      <c r="AB458" s="576"/>
      <c r="AC458" s="574"/>
      <c r="AD458" s="575"/>
      <c r="AE458" s="576"/>
      <c r="AF458" s="574"/>
      <c r="AG458" s="575"/>
      <c r="AH458" s="576"/>
      <c r="AI458" s="577">
        <v>58478</v>
      </c>
      <c r="AJ458" s="575">
        <v>29239</v>
      </c>
      <c r="AK458" s="3902">
        <v>0</v>
      </c>
      <c r="AL458" s="578">
        <f t="shared" si="164"/>
        <v>29239</v>
      </c>
      <c r="AM458" s="3404" t="s">
        <v>2977</v>
      </c>
      <c r="AN458" s="3346">
        <v>43952</v>
      </c>
      <c r="AO458" s="3347" t="s">
        <v>7845</v>
      </c>
      <c r="AP458" s="3348" t="s">
        <v>6894</v>
      </c>
      <c r="AQ458" s="4563">
        <v>1.047839</v>
      </c>
      <c r="AR458" s="579"/>
      <c r="AS458" s="580"/>
      <c r="AT458" s="580"/>
      <c r="AU458" s="580"/>
      <c r="AV458" s="580"/>
      <c r="AW458" s="2868">
        <f>ROUND(AL458*AQ458/G458,0)</f>
        <v>29239</v>
      </c>
      <c r="AX458" s="2889"/>
      <c r="BA458" s="267"/>
      <c r="BB458" s="267"/>
      <c r="BC458" s="4117">
        <f t="shared" si="155"/>
        <v>29239</v>
      </c>
      <c r="BD458" s="4117">
        <f t="shared" si="163"/>
        <v>0</v>
      </c>
      <c r="BE458" s="267"/>
    </row>
    <row r="459" spans="1:57" ht="76.5">
      <c r="A459" s="2418" t="s">
        <v>11003</v>
      </c>
      <c r="B459" s="338" t="s">
        <v>6975</v>
      </c>
      <c r="C459" s="321">
        <v>0</v>
      </c>
      <c r="D459" s="323">
        <v>43945</v>
      </c>
      <c r="E459" s="3058" t="s">
        <v>7151</v>
      </c>
      <c r="F459" s="324" t="s">
        <v>6893</v>
      </c>
      <c r="G459" s="2621">
        <v>1.047839</v>
      </c>
      <c r="H459" s="332" t="s">
        <v>7836</v>
      </c>
      <c r="I459" s="339" t="s">
        <v>1433</v>
      </c>
      <c r="J459" s="322" t="s">
        <v>1434</v>
      </c>
      <c r="K459" s="340">
        <v>46135</v>
      </c>
      <c r="L459" s="339" t="s">
        <v>7837</v>
      </c>
      <c r="M459" s="322" t="s">
        <v>7838</v>
      </c>
      <c r="N459" s="339" t="s">
        <v>7839</v>
      </c>
      <c r="O459" s="332" t="s">
        <v>7840</v>
      </c>
      <c r="P459" s="345"/>
      <c r="Q459" s="322" t="s">
        <v>7841</v>
      </c>
      <c r="R459" s="322" t="s">
        <v>7830</v>
      </c>
      <c r="S459" s="346"/>
      <c r="T459" s="347"/>
      <c r="U459" s="326"/>
      <c r="V459" s="348"/>
      <c r="W459" s="347"/>
      <c r="X459" s="326"/>
      <c r="Y459" s="348"/>
      <c r="Z459" s="347"/>
      <c r="AA459" s="326"/>
      <c r="AB459" s="348"/>
      <c r="AC459" s="820"/>
      <c r="AD459" s="821"/>
      <c r="AE459" s="822"/>
      <c r="AF459" s="820"/>
      <c r="AG459" s="821"/>
      <c r="AH459" s="822"/>
      <c r="AI459" s="482">
        <v>20659</v>
      </c>
      <c r="AJ459" s="326">
        <v>0</v>
      </c>
      <c r="AK459" s="3917">
        <v>0</v>
      </c>
      <c r="AL459" s="349">
        <f t="shared" si="164"/>
        <v>20659</v>
      </c>
      <c r="AM459" s="2002" t="s">
        <v>1061</v>
      </c>
      <c r="AN459" s="3357">
        <v>43959</v>
      </c>
      <c r="AO459" s="695" t="s">
        <v>7855</v>
      </c>
      <c r="AP459" s="3362" t="s">
        <v>6894</v>
      </c>
      <c r="AQ459" s="3555">
        <v>1.047839</v>
      </c>
      <c r="AR459" s="333"/>
      <c r="AS459" s="330"/>
      <c r="AT459" s="330"/>
      <c r="AU459" s="849"/>
      <c r="AV459" s="849"/>
      <c r="AW459" s="3156">
        <f>ROUND(AL459*AQ459/G459,0)</f>
        <v>20659</v>
      </c>
      <c r="AX459" s="3140"/>
      <c r="BA459" s="267"/>
      <c r="BB459" s="267"/>
      <c r="BC459" s="4117">
        <f t="shared" si="155"/>
        <v>0</v>
      </c>
      <c r="BD459" s="4117">
        <f t="shared" si="163"/>
        <v>0</v>
      </c>
      <c r="BE459" s="267"/>
    </row>
    <row r="460" spans="1:57" ht="63.75">
      <c r="A460" s="2418" t="s">
        <v>11147</v>
      </c>
      <c r="B460" s="338" t="s">
        <v>7876</v>
      </c>
      <c r="C460" s="321">
        <v>0</v>
      </c>
      <c r="D460" s="323">
        <v>42815</v>
      </c>
      <c r="E460" s="3051" t="s">
        <v>6385</v>
      </c>
      <c r="F460" s="324" t="s">
        <v>4154</v>
      </c>
      <c r="G460" s="2621">
        <v>1.0111000000000001</v>
      </c>
      <c r="H460" s="332" t="s">
        <v>7765</v>
      </c>
      <c r="I460" s="339" t="s">
        <v>1433</v>
      </c>
      <c r="J460" s="322" t="s">
        <v>1434</v>
      </c>
      <c r="K460" s="340">
        <v>44272</v>
      </c>
      <c r="L460" s="339" t="s">
        <v>4459</v>
      </c>
      <c r="M460" s="322" t="s">
        <v>4460</v>
      </c>
      <c r="N460" s="339" t="s">
        <v>4461</v>
      </c>
      <c r="O460" s="332" t="s">
        <v>6225</v>
      </c>
      <c r="P460" s="667" t="s">
        <v>7875</v>
      </c>
      <c r="Q460" s="322" t="s">
        <v>4462</v>
      </c>
      <c r="R460" s="322" t="s">
        <v>4052</v>
      </c>
      <c r="S460" s="346"/>
      <c r="T460" s="347">
        <v>23633</v>
      </c>
      <c r="U460" s="326">
        <v>0</v>
      </c>
      <c r="V460" s="348">
        <f>T460-U460</f>
        <v>23633</v>
      </c>
      <c r="W460" s="347">
        <v>29540</v>
      </c>
      <c r="X460" s="326">
        <v>0</v>
      </c>
      <c r="Y460" s="348">
        <f>W460-X460</f>
        <v>29540</v>
      </c>
      <c r="Z460" s="347">
        <v>5908</v>
      </c>
      <c r="AA460" s="326">
        <v>0</v>
      </c>
      <c r="AB460" s="348">
        <f>Z460-AA460</f>
        <v>5908</v>
      </c>
      <c r="AC460" s="820"/>
      <c r="AD460" s="821"/>
      <c r="AE460" s="822"/>
      <c r="AF460" s="820"/>
      <c r="AG460" s="821"/>
      <c r="AH460" s="822"/>
      <c r="AI460" s="482">
        <v>0</v>
      </c>
      <c r="AJ460" s="326">
        <f>U460+X460+AA460+AD460+AG460</f>
        <v>0</v>
      </c>
      <c r="AK460" s="3917">
        <v>0</v>
      </c>
      <c r="AL460" s="349">
        <f t="shared" si="164"/>
        <v>0</v>
      </c>
      <c r="AM460" s="4662" t="s">
        <v>7877</v>
      </c>
      <c r="AN460" s="3357">
        <v>43972</v>
      </c>
      <c r="AO460" s="695" t="s">
        <v>7882</v>
      </c>
      <c r="AP460" s="3362" t="s">
        <v>6894</v>
      </c>
      <c r="AQ460" s="3555">
        <v>1.047839</v>
      </c>
      <c r="AR460" s="4134">
        <v>0</v>
      </c>
      <c r="AS460" s="4135">
        <v>0</v>
      </c>
      <c r="AT460" s="4135">
        <v>0</v>
      </c>
      <c r="AU460" s="4135">
        <v>0</v>
      </c>
      <c r="AV460" s="4135">
        <v>0</v>
      </c>
      <c r="AW460" s="3156">
        <f>18500</f>
        <v>18500</v>
      </c>
      <c r="AX460" s="3140"/>
      <c r="BA460" s="267"/>
      <c r="BB460" s="267"/>
      <c r="BC460" s="4117">
        <f t="shared" si="155"/>
        <v>0</v>
      </c>
      <c r="BD460" s="4117">
        <f t="shared" si="163"/>
        <v>0</v>
      </c>
      <c r="BE460" s="267"/>
    </row>
    <row r="461" spans="1:57" ht="76.5">
      <c r="A461" s="2418" t="s">
        <v>11147</v>
      </c>
      <c r="B461" s="338" t="s">
        <v>7878</v>
      </c>
      <c r="C461" s="321">
        <v>0</v>
      </c>
      <c r="D461" s="323">
        <v>42815</v>
      </c>
      <c r="E461" s="3051" t="s">
        <v>6385</v>
      </c>
      <c r="F461" s="324" t="s">
        <v>4154</v>
      </c>
      <c r="G461" s="2621">
        <v>1.0111000000000001</v>
      </c>
      <c r="H461" s="332" t="s">
        <v>7765</v>
      </c>
      <c r="I461" s="339" t="s">
        <v>1433</v>
      </c>
      <c r="J461" s="322" t="s">
        <v>1434</v>
      </c>
      <c r="K461" s="340">
        <v>44272</v>
      </c>
      <c r="L461" s="339" t="s">
        <v>4459</v>
      </c>
      <c r="M461" s="322" t="s">
        <v>4460</v>
      </c>
      <c r="N461" s="339" t="s">
        <v>4461</v>
      </c>
      <c r="O461" s="332" t="s">
        <v>6225</v>
      </c>
      <c r="P461" s="667" t="s">
        <v>7880</v>
      </c>
      <c r="Q461" s="322" t="s">
        <v>4462</v>
      </c>
      <c r="R461" s="322" t="s">
        <v>4052</v>
      </c>
      <c r="S461" s="346"/>
      <c r="T461" s="347">
        <v>23633</v>
      </c>
      <c r="U461" s="326">
        <v>0</v>
      </c>
      <c r="V461" s="348">
        <f>T461-U461</f>
        <v>23633</v>
      </c>
      <c r="W461" s="347">
        <v>29540</v>
      </c>
      <c r="X461" s="326">
        <v>0</v>
      </c>
      <c r="Y461" s="348">
        <f>W461-X461</f>
        <v>29540</v>
      </c>
      <c r="Z461" s="347">
        <v>5908</v>
      </c>
      <c r="AA461" s="326">
        <v>0</v>
      </c>
      <c r="AB461" s="348">
        <f>Z461-AA461</f>
        <v>5908</v>
      </c>
      <c r="AC461" s="347"/>
      <c r="AD461" s="326"/>
      <c r="AE461" s="348"/>
      <c r="AF461" s="347"/>
      <c r="AG461" s="326"/>
      <c r="AH461" s="348"/>
      <c r="AI461" s="482">
        <f>T461+W461+Z461+AC461+AF461</f>
        <v>59081</v>
      </c>
      <c r="AJ461" s="326">
        <f>U461+X461+AA461+AD461+AG461</f>
        <v>0</v>
      </c>
      <c r="AK461" s="3917">
        <v>0</v>
      </c>
      <c r="AL461" s="349">
        <f t="shared" si="164"/>
        <v>59081</v>
      </c>
      <c r="AM461" s="4662" t="s">
        <v>7879</v>
      </c>
      <c r="AN461" s="3357">
        <v>43977</v>
      </c>
      <c r="AO461" s="695" t="s">
        <v>7881</v>
      </c>
      <c r="AP461" s="3222" t="s">
        <v>6894</v>
      </c>
      <c r="AQ461" s="3223">
        <v>1.047839</v>
      </c>
      <c r="AR461" s="333">
        <v>0</v>
      </c>
      <c r="AS461" s="330">
        <v>0</v>
      </c>
      <c r="AT461" s="330">
        <v>0</v>
      </c>
      <c r="AU461" s="330">
        <v>0</v>
      </c>
      <c r="AV461" s="330">
        <v>0</v>
      </c>
      <c r="AW461" s="3156">
        <f>ROUND(AL461*AQ461/G461,0)-18500</f>
        <v>42728</v>
      </c>
      <c r="AX461" s="3140"/>
      <c r="BA461" s="267"/>
      <c r="BB461" s="267"/>
      <c r="BC461" s="4117">
        <f t="shared" si="155"/>
        <v>0</v>
      </c>
      <c r="BD461" s="4117">
        <f t="shared" si="163"/>
        <v>0</v>
      </c>
      <c r="BE461" s="267"/>
    </row>
    <row r="462" spans="1:57" ht="51.75" thickBot="1">
      <c r="A462" s="6046" t="s">
        <v>11147</v>
      </c>
      <c r="B462" s="3748" t="s">
        <v>7865</v>
      </c>
      <c r="C462" s="4326">
        <v>0</v>
      </c>
      <c r="D462" s="4327">
        <v>43432</v>
      </c>
      <c r="E462" s="4327" t="s">
        <v>6386</v>
      </c>
      <c r="F462" s="4358" t="s">
        <v>6057</v>
      </c>
      <c r="G462" s="4328">
        <v>1.0247219999999999</v>
      </c>
      <c r="H462" s="4664" t="s">
        <v>7866</v>
      </c>
      <c r="I462" s="3753" t="s">
        <v>1433</v>
      </c>
      <c r="J462" s="4330" t="s">
        <v>1434</v>
      </c>
      <c r="K462" s="4665">
        <v>45624</v>
      </c>
      <c r="L462" s="3753" t="s">
        <v>6058</v>
      </c>
      <c r="M462" s="4330" t="s">
        <v>5165</v>
      </c>
      <c r="N462" s="3753" t="s">
        <v>6059</v>
      </c>
      <c r="O462" s="4664" t="s">
        <v>6258</v>
      </c>
      <c r="P462" s="3756"/>
      <c r="Q462" s="4330" t="s">
        <v>6060</v>
      </c>
      <c r="R462" s="4330" t="s">
        <v>6061</v>
      </c>
      <c r="S462" s="4666"/>
      <c r="T462" s="3758">
        <v>46281</v>
      </c>
      <c r="U462" s="4334">
        <v>0</v>
      </c>
      <c r="V462" s="4667">
        <f>T462-U462</f>
        <v>46281</v>
      </c>
      <c r="W462" s="3758">
        <v>0</v>
      </c>
      <c r="X462" s="4334">
        <v>0</v>
      </c>
      <c r="Y462" s="4667">
        <f>W462-X462</f>
        <v>0</v>
      </c>
      <c r="Z462" s="3758">
        <v>96924</v>
      </c>
      <c r="AA462" s="4334">
        <v>0</v>
      </c>
      <c r="AB462" s="4667">
        <f>Z462-AA462</f>
        <v>96924</v>
      </c>
      <c r="AC462" s="3736"/>
      <c r="AD462" s="4451"/>
      <c r="AE462" s="4668"/>
      <c r="AF462" s="3736"/>
      <c r="AG462" s="4451"/>
      <c r="AH462" s="4668"/>
      <c r="AI462" s="3761">
        <f>T462+W462+Z462+AC462+AF462</f>
        <v>143205</v>
      </c>
      <c r="AJ462" s="4334">
        <f>U462+X462+AA462+AD462+AG462</f>
        <v>0</v>
      </c>
      <c r="AK462" s="4669">
        <v>0</v>
      </c>
      <c r="AL462" s="4670">
        <f t="shared" si="164"/>
        <v>143205</v>
      </c>
      <c r="AM462" s="3763" t="s">
        <v>909</v>
      </c>
      <c r="AN462" s="4338">
        <v>43979</v>
      </c>
      <c r="AO462" s="4339" t="s">
        <v>7893</v>
      </c>
      <c r="AP462" s="4340" t="s">
        <v>6894</v>
      </c>
      <c r="AQ462" s="4671">
        <v>1.047839</v>
      </c>
      <c r="AR462" s="3768">
        <v>0</v>
      </c>
      <c r="AS462" s="4342">
        <v>0</v>
      </c>
      <c r="AT462" s="4342">
        <v>0</v>
      </c>
      <c r="AU462" s="4342">
        <v>0</v>
      </c>
      <c r="AV462" s="4342">
        <v>0</v>
      </c>
      <c r="AW462" s="4672">
        <f>ROUND(AL462*AQ462/G462,0)</f>
        <v>146436</v>
      </c>
      <c r="AX462" s="3771"/>
      <c r="AY462" s="4031" t="s">
        <v>7846</v>
      </c>
      <c r="AZ462" s="3857">
        <f>SUM(AW458:AW462)</f>
        <v>257562</v>
      </c>
      <c r="BA462" s="4028">
        <f>AZ462</f>
        <v>257562</v>
      </c>
      <c r="BB462" s="267"/>
      <c r="BC462" s="4117">
        <f t="shared" si="155"/>
        <v>0</v>
      </c>
      <c r="BD462" s="4117">
        <f t="shared" si="163"/>
        <v>0</v>
      </c>
      <c r="BE462" s="267"/>
    </row>
    <row r="463" spans="1:57" ht="63.75">
      <c r="A463" s="5978" t="s">
        <v>11150</v>
      </c>
      <c r="B463" s="1538" t="s">
        <v>7905</v>
      </c>
      <c r="C463" s="1509">
        <v>0</v>
      </c>
      <c r="D463" s="1510">
        <v>43005</v>
      </c>
      <c r="E463" s="3053" t="s">
        <v>6385</v>
      </c>
      <c r="F463" s="1511" t="s">
        <v>5915</v>
      </c>
      <c r="G463" s="2663">
        <v>1.0119899999999999</v>
      </c>
      <c r="H463" s="1513" t="s">
        <v>7874</v>
      </c>
      <c r="I463" s="1514" t="s">
        <v>1433</v>
      </c>
      <c r="J463" s="1515" t="s">
        <v>1434</v>
      </c>
      <c r="K463" s="1516">
        <v>44529</v>
      </c>
      <c r="L463" s="1514" t="s">
        <v>4972</v>
      </c>
      <c r="M463" s="1515" t="s">
        <v>4974</v>
      </c>
      <c r="N463" s="1514" t="s">
        <v>4975</v>
      </c>
      <c r="O463" s="1513" t="s">
        <v>6325</v>
      </c>
      <c r="P463" s="1517" t="s">
        <v>7906</v>
      </c>
      <c r="Q463" s="1515" t="s">
        <v>4970</v>
      </c>
      <c r="R463" s="1515" t="s">
        <v>4971</v>
      </c>
      <c r="S463" s="1518"/>
      <c r="T463" s="1519">
        <v>162</v>
      </c>
      <c r="U463" s="1504">
        <v>0</v>
      </c>
      <c r="V463" s="1520">
        <f>T463-U463</f>
        <v>162</v>
      </c>
      <c r="W463" s="1519">
        <v>0</v>
      </c>
      <c r="X463" s="1504">
        <v>0</v>
      </c>
      <c r="Y463" s="1520">
        <f>W463-X463</f>
        <v>0</v>
      </c>
      <c r="Z463" s="1519">
        <v>0</v>
      </c>
      <c r="AA463" s="1504">
        <v>0</v>
      </c>
      <c r="AB463" s="1520">
        <f>Z463-AA463</f>
        <v>0</v>
      </c>
      <c r="AC463" s="1519"/>
      <c r="AD463" s="1504"/>
      <c r="AE463" s="1520"/>
      <c r="AF463" s="1519"/>
      <c r="AG463" s="1504"/>
      <c r="AH463" s="1520"/>
      <c r="AI463" s="1503">
        <f>T463+W463+Z463+AC463+AF463+956</f>
        <v>1118</v>
      </c>
      <c r="AJ463" s="1504">
        <f>U463+X463+AA463+AD463+AG463</f>
        <v>0</v>
      </c>
      <c r="AK463" s="3919">
        <v>0</v>
      </c>
      <c r="AL463" s="1505">
        <f t="shared" si="164"/>
        <v>1118</v>
      </c>
      <c r="AM463" s="1508" t="s">
        <v>7908</v>
      </c>
      <c r="AN463" s="3401">
        <v>43992</v>
      </c>
      <c r="AO463" s="3402" t="s">
        <v>7900</v>
      </c>
      <c r="AP463" s="3251" t="s">
        <v>7873</v>
      </c>
      <c r="AQ463" s="3248">
        <v>1.047839</v>
      </c>
      <c r="AR463" s="1506">
        <v>0</v>
      </c>
      <c r="AS463" s="1507">
        <v>0</v>
      </c>
      <c r="AT463" s="1507">
        <v>0</v>
      </c>
      <c r="AU463" s="1507">
        <v>0</v>
      </c>
      <c r="AV463" s="1507">
        <v>0</v>
      </c>
      <c r="AW463" s="3247">
        <f>(1090+168)*50%</f>
        <v>629</v>
      </c>
      <c r="AX463" s="3146"/>
      <c r="BA463" s="267"/>
      <c r="BB463" s="267"/>
      <c r="BC463" s="4117">
        <f t="shared" si="155"/>
        <v>0</v>
      </c>
      <c r="BD463" s="4117">
        <f t="shared" si="163"/>
        <v>0</v>
      </c>
      <c r="BE463" s="267"/>
    </row>
    <row r="464" spans="1:57" ht="63.75">
      <c r="A464" s="6089" t="s">
        <v>11137</v>
      </c>
      <c r="B464" s="1538" t="s">
        <v>7905</v>
      </c>
      <c r="C464" s="1509">
        <v>0</v>
      </c>
      <c r="D464" s="1510">
        <v>43005</v>
      </c>
      <c r="E464" s="3053" t="s">
        <v>6385</v>
      </c>
      <c r="F464" s="1511" t="s">
        <v>5915</v>
      </c>
      <c r="G464" s="2663">
        <v>1.0119899999999999</v>
      </c>
      <c r="H464" s="1513" t="s">
        <v>7874</v>
      </c>
      <c r="I464" s="1514" t="s">
        <v>1433</v>
      </c>
      <c r="J464" s="1515" t="s">
        <v>1434</v>
      </c>
      <c r="K464" s="1516">
        <v>44529</v>
      </c>
      <c r="L464" s="1514" t="s">
        <v>4972</v>
      </c>
      <c r="M464" s="1515" t="s">
        <v>4974</v>
      </c>
      <c r="N464" s="1514" t="s">
        <v>4975</v>
      </c>
      <c r="O464" s="1513" t="s">
        <v>6325</v>
      </c>
      <c r="P464" s="1517" t="s">
        <v>7906</v>
      </c>
      <c r="Q464" s="1515" t="s">
        <v>4970</v>
      </c>
      <c r="R464" s="1515" t="s">
        <v>4971</v>
      </c>
      <c r="S464" s="1518"/>
      <c r="T464" s="1519">
        <v>162</v>
      </c>
      <c r="U464" s="1504">
        <v>0</v>
      </c>
      <c r="V464" s="1520">
        <f>T464-U464</f>
        <v>162</v>
      </c>
      <c r="W464" s="1519">
        <v>0</v>
      </c>
      <c r="X464" s="1504">
        <v>0</v>
      </c>
      <c r="Y464" s="1520">
        <f>W464-X464</f>
        <v>0</v>
      </c>
      <c r="Z464" s="1519">
        <v>0</v>
      </c>
      <c r="AA464" s="1504">
        <v>0</v>
      </c>
      <c r="AB464" s="1520">
        <f>Z464-AA464</f>
        <v>0</v>
      </c>
      <c r="AC464" s="1519"/>
      <c r="AD464" s="1504"/>
      <c r="AE464" s="1520"/>
      <c r="AF464" s="1519"/>
      <c r="AG464" s="1504"/>
      <c r="AH464" s="1520"/>
      <c r="AI464" s="1503"/>
      <c r="AJ464" s="1504">
        <f>U464+X464+AA464+AD464+AG464</f>
        <v>0</v>
      </c>
      <c r="AK464" s="3919">
        <v>0</v>
      </c>
      <c r="AL464" s="1505">
        <f t="shared" si="164"/>
        <v>0</v>
      </c>
      <c r="AM464" s="1508" t="s">
        <v>7907</v>
      </c>
      <c r="AN464" s="3401">
        <v>43993</v>
      </c>
      <c r="AO464" s="3402" t="s">
        <v>7915</v>
      </c>
      <c r="AP464" s="3251" t="s">
        <v>7873</v>
      </c>
      <c r="AQ464" s="3248">
        <v>1.047839</v>
      </c>
      <c r="AR464" s="1506">
        <v>0</v>
      </c>
      <c r="AS464" s="1507">
        <v>0</v>
      </c>
      <c r="AT464" s="1507">
        <v>0</v>
      </c>
      <c r="AU464" s="1507">
        <v>0</v>
      </c>
      <c r="AV464" s="1507">
        <v>0</v>
      </c>
      <c r="AW464" s="3247">
        <f>(1090+168)*50%</f>
        <v>629</v>
      </c>
      <c r="AX464" s="3146"/>
      <c r="BA464" s="267"/>
      <c r="BB464" s="267"/>
      <c r="BC464" s="4117">
        <f t="shared" si="155"/>
        <v>0</v>
      </c>
      <c r="BD464" s="4117">
        <f t="shared" si="163"/>
        <v>0</v>
      </c>
      <c r="BE464" s="267"/>
    </row>
    <row r="465" spans="1:62" ht="76.5">
      <c r="A465" s="5981" t="s">
        <v>11003</v>
      </c>
      <c r="B465" s="1538" t="s">
        <v>7914</v>
      </c>
      <c r="C465" s="1509">
        <v>0</v>
      </c>
      <c r="D465" s="1510">
        <v>43979</v>
      </c>
      <c r="E465" s="4344" t="s">
        <v>7151</v>
      </c>
      <c r="F465" s="1511" t="s">
        <v>6893</v>
      </c>
      <c r="G465" s="2663">
        <v>1.047839</v>
      </c>
      <c r="H465" s="1513" t="s">
        <v>7885</v>
      </c>
      <c r="I465" s="1514" t="s">
        <v>1433</v>
      </c>
      <c r="J465" s="1515" t="s">
        <v>1434</v>
      </c>
      <c r="K465" s="1516" t="s">
        <v>7886</v>
      </c>
      <c r="L465" s="1514" t="s">
        <v>7887</v>
      </c>
      <c r="M465" s="1515" t="s">
        <v>1957</v>
      </c>
      <c r="N465" s="1514" t="s">
        <v>7888</v>
      </c>
      <c r="O465" s="1513" t="s">
        <v>7889</v>
      </c>
      <c r="P465" s="1517" t="s">
        <v>7892</v>
      </c>
      <c r="Q465" s="1515" t="s">
        <v>7890</v>
      </c>
      <c r="R465" s="1515" t="s">
        <v>7891</v>
      </c>
      <c r="S465" s="1518"/>
      <c r="T465" s="1519"/>
      <c r="U465" s="1504"/>
      <c r="V465" s="1520"/>
      <c r="W465" s="1519"/>
      <c r="X465" s="1504"/>
      <c r="Y465" s="1520"/>
      <c r="Z465" s="1519"/>
      <c r="AA465" s="1504"/>
      <c r="AB465" s="1520"/>
      <c r="AC465" s="1519"/>
      <c r="AD465" s="1504"/>
      <c r="AE465" s="1520"/>
      <c r="AF465" s="1519"/>
      <c r="AG465" s="1504"/>
      <c r="AH465" s="1520"/>
      <c r="AI465" s="1503">
        <v>4545</v>
      </c>
      <c r="AJ465" s="1504">
        <v>0</v>
      </c>
      <c r="AK465" s="3919">
        <v>0</v>
      </c>
      <c r="AL465" s="1505">
        <f t="shared" si="164"/>
        <v>4545</v>
      </c>
      <c r="AM465" s="1508" t="s">
        <v>1061</v>
      </c>
      <c r="AN465" s="3401">
        <v>43993</v>
      </c>
      <c r="AO465" s="3402" t="s">
        <v>7916</v>
      </c>
      <c r="AP465" s="2664" t="s">
        <v>6894</v>
      </c>
      <c r="AQ465" s="2806">
        <v>1.047839</v>
      </c>
      <c r="AR465" s="1506"/>
      <c r="AS465" s="1507"/>
      <c r="AT465" s="1507"/>
      <c r="AU465" s="1507"/>
      <c r="AV465" s="1507"/>
      <c r="AW465" s="3247">
        <f>ROUND(AL465*AQ465/G465,0)</f>
        <v>4545</v>
      </c>
      <c r="AX465" s="3146"/>
      <c r="BA465" s="267"/>
      <c r="BB465" s="267"/>
      <c r="BC465" s="4117">
        <f t="shared" si="155"/>
        <v>0</v>
      </c>
      <c r="BD465" s="4117">
        <f t="shared" si="163"/>
        <v>0</v>
      </c>
      <c r="BE465" s="267"/>
    </row>
    <row r="466" spans="1:62" ht="76.5">
      <c r="A466" s="6047" t="s">
        <v>11147</v>
      </c>
      <c r="B466" s="4676" t="s">
        <v>7917</v>
      </c>
      <c r="C466" s="4677">
        <v>0</v>
      </c>
      <c r="D466" s="4678">
        <v>43664</v>
      </c>
      <c r="E466" s="4678" t="s">
        <v>6386</v>
      </c>
      <c r="F466" s="4679" t="s">
        <v>6893</v>
      </c>
      <c r="G466" s="4680">
        <v>1.047839</v>
      </c>
      <c r="H466" s="4681" t="s">
        <v>6903</v>
      </c>
      <c r="I466" s="4682" t="s">
        <v>1433</v>
      </c>
      <c r="J466" s="4683" t="s">
        <v>1434</v>
      </c>
      <c r="K466" s="4684">
        <v>45857</v>
      </c>
      <c r="L466" s="4682" t="s">
        <v>6901</v>
      </c>
      <c r="M466" s="4683" t="s">
        <v>6902</v>
      </c>
      <c r="N466" s="4682" t="s">
        <v>6904</v>
      </c>
      <c r="O466" s="4681" t="s">
        <v>6905</v>
      </c>
      <c r="P466" s="4685" t="s">
        <v>7575</v>
      </c>
      <c r="Q466" s="4683" t="s">
        <v>6906</v>
      </c>
      <c r="R466" s="4683" t="s">
        <v>6907</v>
      </c>
      <c r="S466" s="4686" t="s">
        <v>6908</v>
      </c>
      <c r="T466" s="4687"/>
      <c r="U466" s="4688"/>
      <c r="V466" s="4689"/>
      <c r="W466" s="4687"/>
      <c r="X466" s="4688"/>
      <c r="Y466" s="4689"/>
      <c r="Z466" s="4687"/>
      <c r="AA466" s="4688"/>
      <c r="AB466" s="4689"/>
      <c r="AC466" s="4687"/>
      <c r="AD466" s="4688"/>
      <c r="AE466" s="4689"/>
      <c r="AF466" s="4687"/>
      <c r="AG466" s="4688"/>
      <c r="AH466" s="4689"/>
      <c r="AI466" s="4690">
        <v>7543</v>
      </c>
      <c r="AJ466" s="4691">
        <v>0</v>
      </c>
      <c r="AK466" s="4688">
        <v>7442</v>
      </c>
      <c r="AL466" s="4692">
        <f t="shared" si="164"/>
        <v>101</v>
      </c>
      <c r="AM466" s="4693" t="s">
        <v>1061</v>
      </c>
      <c r="AN466" s="4694">
        <v>43994</v>
      </c>
      <c r="AO466" s="4701" t="s">
        <v>7918</v>
      </c>
      <c r="AP466" s="4695" t="s">
        <v>6894</v>
      </c>
      <c r="AQ466" s="4696">
        <v>1.047839</v>
      </c>
      <c r="AR466" s="4697"/>
      <c r="AS466" s="4698"/>
      <c r="AT466" s="4698"/>
      <c r="AU466" s="4698"/>
      <c r="AV466" s="4698"/>
      <c r="AW466" s="4699">
        <f>ROUND(AL466*AQ466/G466,0)</f>
        <v>101</v>
      </c>
      <c r="AX466" s="4700"/>
      <c r="BA466" s="267"/>
      <c r="BB466" s="267"/>
      <c r="BC466" s="4117">
        <f t="shared" si="155"/>
        <v>0</v>
      </c>
      <c r="BD466" s="4702">
        <f t="shared" si="163"/>
        <v>7442</v>
      </c>
      <c r="BE466" s="267"/>
    </row>
    <row r="467" spans="1:62" ht="51">
      <c r="A467" s="5981" t="s">
        <v>11147</v>
      </c>
      <c r="B467" s="1538" t="s">
        <v>7919</v>
      </c>
      <c r="C467" s="1509">
        <v>0</v>
      </c>
      <c r="D467" s="1510">
        <v>42472</v>
      </c>
      <c r="E467" s="2300" t="s">
        <v>6387</v>
      </c>
      <c r="F467" s="2497" t="s">
        <v>4932</v>
      </c>
      <c r="G467" s="2663">
        <v>1</v>
      </c>
      <c r="H467" s="1513" t="s">
        <v>3713</v>
      </c>
      <c r="I467" s="1514" t="s">
        <v>1436</v>
      </c>
      <c r="J467" s="1515" t="s">
        <v>1437</v>
      </c>
      <c r="K467" s="1516">
        <v>43984</v>
      </c>
      <c r="L467" s="1514" t="s">
        <v>3714</v>
      </c>
      <c r="M467" s="1515" t="s">
        <v>3715</v>
      </c>
      <c r="N467" s="1514" t="s">
        <v>3716</v>
      </c>
      <c r="O467" s="1513" t="s">
        <v>6209</v>
      </c>
      <c r="P467" s="2215" t="s">
        <v>7744</v>
      </c>
      <c r="Q467" s="1515" t="s">
        <v>3717</v>
      </c>
      <c r="R467" s="1515" t="s">
        <v>3718</v>
      </c>
      <c r="S467" s="1518"/>
      <c r="T467" s="1519">
        <v>13440</v>
      </c>
      <c r="U467" s="1504">
        <v>0</v>
      </c>
      <c r="V467" s="1520">
        <f>T467-U467</f>
        <v>13440</v>
      </c>
      <c r="W467" s="1519">
        <v>16800</v>
      </c>
      <c r="X467" s="1504">
        <v>0</v>
      </c>
      <c r="Y467" s="1520">
        <f>W467-X467</f>
        <v>16800</v>
      </c>
      <c r="Z467" s="1519">
        <v>3360</v>
      </c>
      <c r="AA467" s="1504">
        <v>0</v>
      </c>
      <c r="AB467" s="1520">
        <f>Z467-AA467</f>
        <v>3360</v>
      </c>
      <c r="AC467" s="1519"/>
      <c r="AD467" s="1504"/>
      <c r="AE467" s="1520"/>
      <c r="AF467" s="1519"/>
      <c r="AG467" s="1504"/>
      <c r="AH467" s="1520"/>
      <c r="AI467" s="1503">
        <f>T467+W467+Z467+AC467+AF467</f>
        <v>33600</v>
      </c>
      <c r="AJ467" s="1504">
        <f>U467+X467+AA467</f>
        <v>0</v>
      </c>
      <c r="AK467" s="3919">
        <v>0</v>
      </c>
      <c r="AL467" s="1505">
        <f t="shared" si="164"/>
        <v>33600</v>
      </c>
      <c r="AM467" s="1508" t="s">
        <v>1061</v>
      </c>
      <c r="AN467" s="3401">
        <v>43998</v>
      </c>
      <c r="AO467" s="3402" t="s">
        <v>7920</v>
      </c>
      <c r="AP467" s="2664" t="s">
        <v>6894</v>
      </c>
      <c r="AQ467" s="2806">
        <v>1.047839</v>
      </c>
      <c r="AR467" s="1506">
        <v>0</v>
      </c>
      <c r="AS467" s="1507">
        <v>0</v>
      </c>
      <c r="AT467" s="1507">
        <v>0</v>
      </c>
      <c r="AU467" s="1507">
        <v>0</v>
      </c>
      <c r="AV467" s="1507">
        <v>0</v>
      </c>
      <c r="AW467" s="3247">
        <f>ROUND(AL467*AQ467/G467,0)</f>
        <v>35207</v>
      </c>
      <c r="AX467" s="3146"/>
      <c r="BA467" s="267"/>
      <c r="BB467" s="267"/>
      <c r="BC467" s="4117">
        <f t="shared" si="155"/>
        <v>0</v>
      </c>
      <c r="BD467" s="4117">
        <f t="shared" si="163"/>
        <v>0</v>
      </c>
      <c r="BE467" s="267"/>
    </row>
    <row r="468" spans="1:62" ht="76.5">
      <c r="A468" s="5981" t="s">
        <v>11147</v>
      </c>
      <c r="B468" s="2546" t="s">
        <v>7921</v>
      </c>
      <c r="C468" s="1509">
        <v>0</v>
      </c>
      <c r="D468" s="1510">
        <v>42964</v>
      </c>
      <c r="E468" s="3053" t="s">
        <v>6385</v>
      </c>
      <c r="F468" s="1511" t="s">
        <v>4154</v>
      </c>
      <c r="G468" s="2663">
        <v>1.0111000000000001</v>
      </c>
      <c r="H468" s="1513" t="s">
        <v>7764</v>
      </c>
      <c r="I468" s="1514" t="s">
        <v>1433</v>
      </c>
      <c r="J468" s="1515" t="s">
        <v>1434</v>
      </c>
      <c r="K468" s="1516">
        <v>44425</v>
      </c>
      <c r="L468" s="1514" t="s">
        <v>4845</v>
      </c>
      <c r="M468" s="1515" t="s">
        <v>2323</v>
      </c>
      <c r="N468" s="1514" t="s">
        <v>7922</v>
      </c>
      <c r="O468" s="1513" t="s">
        <v>7923</v>
      </c>
      <c r="P468" s="2215" t="s">
        <v>7744</v>
      </c>
      <c r="Q468" s="1515" t="s">
        <v>4846</v>
      </c>
      <c r="R468" s="1515" t="s">
        <v>939</v>
      </c>
      <c r="S468" s="1518"/>
      <c r="T468" s="1519">
        <v>6794</v>
      </c>
      <c r="U468" s="1504">
        <v>0</v>
      </c>
      <c r="V468" s="1520">
        <f>T468-U468</f>
        <v>6794</v>
      </c>
      <c r="W468" s="1519">
        <v>8493</v>
      </c>
      <c r="X468" s="1504">
        <v>0</v>
      </c>
      <c r="Y468" s="1520">
        <f>W468-X468</f>
        <v>8493</v>
      </c>
      <c r="Z468" s="1519">
        <v>1699</v>
      </c>
      <c r="AA468" s="1504">
        <v>0</v>
      </c>
      <c r="AB468" s="1520">
        <f>Z468-AA468</f>
        <v>1699</v>
      </c>
      <c r="AC468" s="1519"/>
      <c r="AD468" s="1504"/>
      <c r="AE468" s="1520"/>
      <c r="AF468" s="1519"/>
      <c r="AG468" s="1504"/>
      <c r="AH468" s="1520"/>
      <c r="AI468" s="1503">
        <f>T468+W468+Z468+AC468+AF468</f>
        <v>16986</v>
      </c>
      <c r="AJ468" s="1504">
        <f>U468+X468+AA468+AD468+AG468</f>
        <v>0</v>
      </c>
      <c r="AK468" s="3919">
        <v>0</v>
      </c>
      <c r="AL468" s="1505">
        <f t="shared" si="164"/>
        <v>16986</v>
      </c>
      <c r="AM468" s="1508" t="s">
        <v>1061</v>
      </c>
      <c r="AN468" s="3401">
        <v>44005</v>
      </c>
      <c r="AO468" s="3402" t="s">
        <v>7926</v>
      </c>
      <c r="AP468" s="2664" t="s">
        <v>6894</v>
      </c>
      <c r="AQ468" s="2806">
        <v>1.047839</v>
      </c>
      <c r="AR468" s="1506">
        <v>0</v>
      </c>
      <c r="AS468" s="1507">
        <v>0</v>
      </c>
      <c r="AT468" s="1507">
        <v>0</v>
      </c>
      <c r="AU468" s="1507">
        <v>0</v>
      </c>
      <c r="AV468" s="1507">
        <v>0</v>
      </c>
      <c r="AW468" s="3247">
        <f>ROUND(AL468*AQ468/G468,0)</f>
        <v>17603</v>
      </c>
      <c r="AX468" s="3146"/>
      <c r="BA468" s="267"/>
      <c r="BB468" s="267"/>
      <c r="BC468" s="4117">
        <f t="shared" si="155"/>
        <v>0</v>
      </c>
      <c r="BD468" s="4117">
        <f t="shared" si="163"/>
        <v>0</v>
      </c>
      <c r="BE468" s="267"/>
    </row>
    <row r="469" spans="1:62" ht="106.5" customHeight="1">
      <c r="A469" s="5978" t="s">
        <v>11149</v>
      </c>
      <c r="B469" s="1538" t="s">
        <v>7924</v>
      </c>
      <c r="C469" s="1509">
        <v>0</v>
      </c>
      <c r="D469" s="1510">
        <v>42837</v>
      </c>
      <c r="E469" s="3053" t="s">
        <v>6385</v>
      </c>
      <c r="F469" s="2139" t="s">
        <v>6558</v>
      </c>
      <c r="G469" s="2805">
        <v>114</v>
      </c>
      <c r="H469" s="1513" t="s">
        <v>6480</v>
      </c>
      <c r="I469" s="1514" t="s">
        <v>4507</v>
      </c>
      <c r="J469" s="1515" t="s">
        <v>4306</v>
      </c>
      <c r="K469" s="1516">
        <v>43567</v>
      </c>
      <c r="L469" s="1514" t="s">
        <v>7750</v>
      </c>
      <c r="M469" s="1515" t="s">
        <v>7749</v>
      </c>
      <c r="N469" s="1514" t="s">
        <v>4509</v>
      </c>
      <c r="O469" s="1513" t="s">
        <v>6229</v>
      </c>
      <c r="P469" s="1517" t="s">
        <v>7925</v>
      </c>
      <c r="Q469" s="6094" t="s">
        <v>4332</v>
      </c>
      <c r="R469" s="1515" t="s">
        <v>1046</v>
      </c>
      <c r="S469" s="1518"/>
      <c r="T469" s="1519">
        <v>464</v>
      </c>
      <c r="U469" s="1504">
        <v>0</v>
      </c>
      <c r="V469" s="1520">
        <f>T469-U469</f>
        <v>464</v>
      </c>
      <c r="W469" s="1519">
        <v>580</v>
      </c>
      <c r="X469" s="1504">
        <v>0</v>
      </c>
      <c r="Y469" s="1520">
        <f>W469-X469</f>
        <v>580</v>
      </c>
      <c r="Z469" s="1519">
        <v>166</v>
      </c>
      <c r="AA469" s="1504">
        <v>0</v>
      </c>
      <c r="AB469" s="1520">
        <f>Z469-AA469</f>
        <v>166</v>
      </c>
      <c r="AC469" s="1519"/>
      <c r="AD469" s="1504"/>
      <c r="AE469" s="1520"/>
      <c r="AF469" s="1519"/>
      <c r="AG469" s="1504"/>
      <c r="AH469" s="1520"/>
      <c r="AI469" s="1503">
        <f>T469+W469+Z469+AC469+AF469+1206</f>
        <v>2416</v>
      </c>
      <c r="AJ469" s="1504">
        <f>U469+X469+AA469+AD469+AG469</f>
        <v>0</v>
      </c>
      <c r="AK469" s="3919">
        <v>0</v>
      </c>
      <c r="AL469" s="1505">
        <f t="shared" si="164"/>
        <v>2416</v>
      </c>
      <c r="AM469" s="1508" t="s">
        <v>1061</v>
      </c>
      <c r="AN469" s="3401">
        <v>44005</v>
      </c>
      <c r="AO469" s="3402" t="s">
        <v>7927</v>
      </c>
      <c r="AP469" s="3251" t="s">
        <v>7742</v>
      </c>
      <c r="AQ469" s="3248">
        <v>116.3</v>
      </c>
      <c r="AR469" s="1506">
        <v>0</v>
      </c>
      <c r="AS469" s="1507">
        <v>0</v>
      </c>
      <c r="AT469" s="1507">
        <v>0</v>
      </c>
      <c r="AU469" s="1507">
        <v>0</v>
      </c>
      <c r="AV469" s="1507">
        <v>0</v>
      </c>
      <c r="AW469" s="3247">
        <f>ROUNDDOWN(AL469*AQ469/G469,0)</f>
        <v>2464</v>
      </c>
      <c r="AX469" s="3146"/>
      <c r="BA469" s="267"/>
      <c r="BB469" s="267"/>
      <c r="BC469" s="4117">
        <f t="shared" si="155"/>
        <v>0</v>
      </c>
      <c r="BD469" s="4117">
        <f t="shared" si="163"/>
        <v>0</v>
      </c>
      <c r="BE469" s="267"/>
    </row>
    <row r="470" spans="1:62" ht="90" thickBot="1">
      <c r="A470" s="6048" t="s">
        <v>11003</v>
      </c>
      <c r="B470" s="3723" t="s">
        <v>7934</v>
      </c>
      <c r="C470" s="4703">
        <v>0</v>
      </c>
      <c r="D470" s="4704">
        <v>43892</v>
      </c>
      <c r="E470" s="4705" t="s">
        <v>7151</v>
      </c>
      <c r="F470" s="4706" t="s">
        <v>6893</v>
      </c>
      <c r="G470" s="4707">
        <v>1.047839</v>
      </c>
      <c r="H470" s="4708" t="s">
        <v>7687</v>
      </c>
      <c r="I470" s="3728" t="s">
        <v>7688</v>
      </c>
      <c r="J470" s="4709" t="s">
        <v>4306</v>
      </c>
      <c r="K470" s="4710">
        <v>44622</v>
      </c>
      <c r="L470" s="3728" t="s">
        <v>7689</v>
      </c>
      <c r="M470" s="4709" t="s">
        <v>7690</v>
      </c>
      <c r="N470" s="3728" t="s">
        <v>7691</v>
      </c>
      <c r="O470" s="4709" t="s">
        <v>7690</v>
      </c>
      <c r="P470" s="4555" t="s">
        <v>7744</v>
      </c>
      <c r="Q470" s="6106" t="s">
        <v>5708</v>
      </c>
      <c r="R470" s="4709" t="s">
        <v>5350</v>
      </c>
      <c r="S470" s="4711"/>
      <c r="T470" s="3733"/>
      <c r="U470" s="4712"/>
      <c r="V470" s="4713"/>
      <c r="W470" s="3733"/>
      <c r="X470" s="4712"/>
      <c r="Y470" s="4713"/>
      <c r="Z470" s="3733"/>
      <c r="AA470" s="4712"/>
      <c r="AB470" s="4713"/>
      <c r="AC470" s="3733"/>
      <c r="AD470" s="4712"/>
      <c r="AE470" s="4713"/>
      <c r="AF470" s="3733"/>
      <c r="AG470" s="4712"/>
      <c r="AH470" s="4713"/>
      <c r="AI470" s="3739">
        <v>6249</v>
      </c>
      <c r="AJ470" s="4712">
        <v>0</v>
      </c>
      <c r="AK470" s="4714">
        <v>0</v>
      </c>
      <c r="AL470" s="4715">
        <f t="shared" si="164"/>
        <v>6249</v>
      </c>
      <c r="AM470" s="3741" t="s">
        <v>1061</v>
      </c>
      <c r="AN470" s="4716">
        <v>44011</v>
      </c>
      <c r="AO470" s="4717" t="s">
        <v>7935</v>
      </c>
      <c r="AP470" s="4718" t="s">
        <v>6894</v>
      </c>
      <c r="AQ470" s="4719">
        <v>1.047839</v>
      </c>
      <c r="AR470" s="3744"/>
      <c r="AS470" s="4720"/>
      <c r="AT470" s="4720"/>
      <c r="AU470" s="4720"/>
      <c r="AV470" s="4720"/>
      <c r="AW470" s="4721">
        <f>ROUND(AL470*AQ470/G470,0)</f>
        <v>6249</v>
      </c>
      <c r="AX470" s="3747"/>
      <c r="AY470" s="4029" t="s">
        <v>7909</v>
      </c>
      <c r="AZ470" s="3888">
        <f>SUM(AW463:AW470)</f>
        <v>67427</v>
      </c>
      <c r="BA470" s="4028">
        <f>AZ470</f>
        <v>67427</v>
      </c>
      <c r="BB470" s="307"/>
      <c r="BC470" s="4118">
        <f t="shared" si="155"/>
        <v>0</v>
      </c>
      <c r="BD470" s="4118">
        <f t="shared" si="163"/>
        <v>0</v>
      </c>
      <c r="BE470" s="307"/>
      <c r="BF470" s="4523">
        <f>SUM(BA367:BA470)</f>
        <v>1347009</v>
      </c>
      <c r="BG470" s="4673">
        <f>SUM(BC367:BC470)</f>
        <v>67065</v>
      </c>
      <c r="BH470" s="4673">
        <f>SUM(BD367:BD470)</f>
        <v>12882</v>
      </c>
      <c r="BI470" s="4674">
        <f>SUM(BE367:BE470)</f>
        <v>0</v>
      </c>
      <c r="BJ470" s="4855">
        <f>BF470+'3) PSP+ICP (Paid-NSA-2014+)'!BG204</f>
        <v>1994321</v>
      </c>
    </row>
    <row r="471" spans="1:62" ht="51">
      <c r="A471" s="2418" t="s">
        <v>11147</v>
      </c>
      <c r="B471" s="338" t="s">
        <v>3559</v>
      </c>
      <c r="C471" s="321">
        <v>0</v>
      </c>
      <c r="D471" s="323">
        <v>42720</v>
      </c>
      <c r="E471" s="3051" t="s">
        <v>6385</v>
      </c>
      <c r="F471" s="324" t="s">
        <v>4154</v>
      </c>
      <c r="G471" s="2621">
        <v>1.0111000000000001</v>
      </c>
      <c r="H471" s="332" t="s">
        <v>4252</v>
      </c>
      <c r="I471" s="339" t="s">
        <v>1436</v>
      </c>
      <c r="J471" s="322" t="s">
        <v>1437</v>
      </c>
      <c r="K471" s="340">
        <v>44181</v>
      </c>
      <c r="L471" s="339" t="s">
        <v>4232</v>
      </c>
      <c r="M471" s="322" t="s">
        <v>2323</v>
      </c>
      <c r="N471" s="339" t="s">
        <v>4233</v>
      </c>
      <c r="O471" s="332" t="s">
        <v>6218</v>
      </c>
      <c r="P471" s="345"/>
      <c r="Q471" s="322" t="s">
        <v>4234</v>
      </c>
      <c r="R471" s="322" t="s">
        <v>3617</v>
      </c>
      <c r="S471" s="346"/>
      <c r="T471" s="347">
        <v>6794</v>
      </c>
      <c r="U471" s="326">
        <v>0</v>
      </c>
      <c r="V471" s="348">
        <f>T471-U471</f>
        <v>6794</v>
      </c>
      <c r="W471" s="347">
        <v>8493</v>
      </c>
      <c r="X471" s="326">
        <v>0</v>
      </c>
      <c r="Y471" s="348">
        <f>W471-X471</f>
        <v>8493</v>
      </c>
      <c r="Z471" s="347">
        <v>1699</v>
      </c>
      <c r="AA471" s="326">
        <v>0</v>
      </c>
      <c r="AB471" s="348">
        <f>Z471-AA471</f>
        <v>1699</v>
      </c>
      <c r="AC471" s="347"/>
      <c r="AD471" s="326"/>
      <c r="AE471" s="348"/>
      <c r="AF471" s="347"/>
      <c r="AG471" s="326"/>
      <c r="AH471" s="348"/>
      <c r="AI471" s="482">
        <f>T471+W471+Z471+AC471+AF471</f>
        <v>16986</v>
      </c>
      <c r="AJ471" s="326">
        <f>U471+X471+AA471+AD471+AG471</f>
        <v>0</v>
      </c>
      <c r="AK471" s="3917">
        <v>0</v>
      </c>
      <c r="AL471" s="349">
        <f t="shared" si="164"/>
        <v>16986</v>
      </c>
      <c r="AM471" s="2002" t="s">
        <v>1061</v>
      </c>
      <c r="AN471" s="3357">
        <v>44014</v>
      </c>
      <c r="AO471" s="695" t="s">
        <v>7947</v>
      </c>
      <c r="AP471" s="2722" t="s">
        <v>6894</v>
      </c>
      <c r="AQ471" s="2723">
        <v>1.047839</v>
      </c>
      <c r="AR471" s="333">
        <v>0</v>
      </c>
      <c r="AS471" s="330">
        <v>0</v>
      </c>
      <c r="AT471" s="330">
        <v>0</v>
      </c>
      <c r="AU471" s="330">
        <v>0</v>
      </c>
      <c r="AV471" s="330">
        <v>0</v>
      </c>
      <c r="AW471" s="3156">
        <f>ROUND(AL471*AQ471/G471,0)</f>
        <v>17603</v>
      </c>
      <c r="AX471" s="3140"/>
      <c r="BC471" s="4117">
        <f t="shared" ref="BC471:BC534" si="165">ROUND($AJ471*$AQ471/$G471,0)</f>
        <v>0</v>
      </c>
      <c r="BD471" s="4117">
        <f t="shared" si="163"/>
        <v>0</v>
      </c>
    </row>
    <row r="472" spans="1:62" ht="76.5">
      <c r="A472" s="5964" t="s">
        <v>11151</v>
      </c>
      <c r="B472" s="338" t="s">
        <v>7964</v>
      </c>
      <c r="C472" s="321">
        <v>0</v>
      </c>
      <c r="D472" s="323">
        <v>42949</v>
      </c>
      <c r="E472" s="3051" t="s">
        <v>6385</v>
      </c>
      <c r="F472" s="324" t="s">
        <v>6558</v>
      </c>
      <c r="G472" s="2621">
        <v>114</v>
      </c>
      <c r="H472" s="332" t="s">
        <v>4785</v>
      </c>
      <c r="I472" s="339" t="s">
        <v>4809</v>
      </c>
      <c r="J472" s="322" t="s">
        <v>4306</v>
      </c>
      <c r="K472" s="340">
        <v>43679</v>
      </c>
      <c r="L472" s="339" t="s">
        <v>4787</v>
      </c>
      <c r="M472" s="322" t="s">
        <v>4788</v>
      </c>
      <c r="N472" s="339" t="s">
        <v>4789</v>
      </c>
      <c r="O472" s="332" t="s">
        <v>6239</v>
      </c>
      <c r="P472" s="345" t="s">
        <v>7756</v>
      </c>
      <c r="Q472" s="6094" t="s">
        <v>4332</v>
      </c>
      <c r="R472" s="322" t="s">
        <v>1046</v>
      </c>
      <c r="S472" s="346"/>
      <c r="T472" s="347">
        <v>467</v>
      </c>
      <c r="U472" s="326">
        <v>0</v>
      </c>
      <c r="V472" s="348">
        <f>T472-U472</f>
        <v>467</v>
      </c>
      <c r="W472" s="347">
        <v>584</v>
      </c>
      <c r="X472" s="326">
        <v>0</v>
      </c>
      <c r="Y472" s="348">
        <f>W472-X472</f>
        <v>584</v>
      </c>
      <c r="Z472" s="347">
        <v>167</v>
      </c>
      <c r="AA472" s="326">
        <v>0</v>
      </c>
      <c r="AB472" s="348">
        <f>Z472-AA472</f>
        <v>167</v>
      </c>
      <c r="AC472" s="347"/>
      <c r="AD472" s="326"/>
      <c r="AE472" s="348"/>
      <c r="AF472" s="347"/>
      <c r="AG472" s="326"/>
      <c r="AH472" s="348"/>
      <c r="AI472" s="482">
        <f>T472+W472+Z472+AC472+AF472+19+16</f>
        <v>1253</v>
      </c>
      <c r="AJ472" s="326">
        <f>U472+X472+AA472+AD472+AG472</f>
        <v>0</v>
      </c>
      <c r="AK472" s="3917">
        <v>0</v>
      </c>
      <c r="AL472" s="349">
        <f t="shared" si="164"/>
        <v>1253</v>
      </c>
      <c r="AM472" s="2002" t="s">
        <v>1898</v>
      </c>
      <c r="AN472" s="3357">
        <v>44033</v>
      </c>
      <c r="AO472" s="695" t="s">
        <v>7965</v>
      </c>
      <c r="AP472" s="3222" t="s">
        <v>7742</v>
      </c>
      <c r="AQ472" s="3223">
        <v>116.3</v>
      </c>
      <c r="AR472" s="333">
        <v>0</v>
      </c>
      <c r="AS472" s="330">
        <v>0</v>
      </c>
      <c r="AT472" s="330">
        <v>0</v>
      </c>
      <c r="AU472" s="330">
        <v>0</v>
      </c>
      <c r="AV472" s="330">
        <v>0</v>
      </c>
      <c r="AW472" s="3156">
        <v>278</v>
      </c>
      <c r="AX472" s="3140"/>
      <c r="BA472" s="267"/>
      <c r="BB472" s="267"/>
      <c r="BC472" s="4117">
        <f t="shared" si="165"/>
        <v>0</v>
      </c>
      <c r="BD472" s="4117">
        <f t="shared" si="163"/>
        <v>0</v>
      </c>
      <c r="BE472" s="267"/>
    </row>
    <row r="473" spans="1:62" ht="77.25" thickBot="1">
      <c r="A473" s="6049" t="s">
        <v>11147</v>
      </c>
      <c r="B473" s="3748" t="s">
        <v>6963</v>
      </c>
      <c r="C473" s="4738">
        <v>0</v>
      </c>
      <c r="D473" s="4739">
        <v>43794</v>
      </c>
      <c r="E473" s="4740" t="s">
        <v>7151</v>
      </c>
      <c r="F473" s="4741" t="s">
        <v>6893</v>
      </c>
      <c r="G473" s="4742">
        <v>1.047839</v>
      </c>
      <c r="H473" s="4743" t="s">
        <v>7385</v>
      </c>
      <c r="I473" s="3753" t="s">
        <v>7386</v>
      </c>
      <c r="J473" s="4744" t="s">
        <v>4306</v>
      </c>
      <c r="K473" s="4745">
        <v>44525</v>
      </c>
      <c r="L473" s="3753" t="s">
        <v>7387</v>
      </c>
      <c r="M473" s="4744" t="s">
        <v>7003</v>
      </c>
      <c r="N473" s="3753" t="s">
        <v>7388</v>
      </c>
      <c r="O473" s="4743" t="s">
        <v>7389</v>
      </c>
      <c r="P473" s="3756" t="s">
        <v>7390</v>
      </c>
      <c r="Q473" s="6107" t="s">
        <v>5708</v>
      </c>
      <c r="R473" s="4744" t="s">
        <v>5350</v>
      </c>
      <c r="S473" s="4746"/>
      <c r="T473" s="3758"/>
      <c r="U473" s="4747"/>
      <c r="V473" s="4748"/>
      <c r="W473" s="3758"/>
      <c r="X473" s="4747"/>
      <c r="Y473" s="4748"/>
      <c r="Z473" s="3758"/>
      <c r="AA473" s="4747"/>
      <c r="AB473" s="4748"/>
      <c r="AC473" s="3758"/>
      <c r="AD473" s="4747"/>
      <c r="AE473" s="4748"/>
      <c r="AF473" s="3758"/>
      <c r="AG473" s="4747"/>
      <c r="AH473" s="4748"/>
      <c r="AI473" s="3761">
        <v>5624</v>
      </c>
      <c r="AJ473" s="4747">
        <v>0</v>
      </c>
      <c r="AK473" s="4749">
        <v>0</v>
      </c>
      <c r="AL473" s="4750">
        <f t="shared" si="164"/>
        <v>5624</v>
      </c>
      <c r="AM473" s="3763" t="s">
        <v>1061</v>
      </c>
      <c r="AN473" s="4751">
        <v>44042</v>
      </c>
      <c r="AO473" s="4752" t="s">
        <v>7971</v>
      </c>
      <c r="AP473" s="3387" t="s">
        <v>7957</v>
      </c>
      <c r="AQ473" s="4753">
        <v>1.0795220000000001</v>
      </c>
      <c r="AR473" s="3768"/>
      <c r="AS473" s="4754"/>
      <c r="AT473" s="4754"/>
      <c r="AU473" s="4754"/>
      <c r="AV473" s="4754"/>
      <c r="AW473" s="4755">
        <f>ROUND(AL473*AQ473/G473,0)</f>
        <v>5794</v>
      </c>
      <c r="AX473" s="3771"/>
      <c r="AY473" s="4031" t="s">
        <v>7946</v>
      </c>
      <c r="AZ473" s="3857">
        <f>SUM(AW471:AW473)</f>
        <v>23675</v>
      </c>
      <c r="BA473" s="4028">
        <f>AZ473</f>
        <v>23675</v>
      </c>
      <c r="BB473" s="267"/>
      <c r="BC473" s="4117">
        <f t="shared" si="165"/>
        <v>0</v>
      </c>
      <c r="BD473" s="4117">
        <f t="shared" si="163"/>
        <v>0</v>
      </c>
      <c r="BE473" s="267"/>
      <c r="BF473" s="4788"/>
      <c r="BG473" s="267"/>
      <c r="BH473" s="267"/>
    </row>
    <row r="474" spans="1:62" ht="51.75" thickBot="1">
      <c r="A474" s="6050" t="s">
        <v>11147</v>
      </c>
      <c r="B474" s="4758" t="s">
        <v>6965</v>
      </c>
      <c r="C474" s="4759">
        <v>0</v>
      </c>
      <c r="D474" s="4760">
        <v>43811</v>
      </c>
      <c r="E474" s="4761" t="s">
        <v>7151</v>
      </c>
      <c r="F474" s="4762" t="s">
        <v>6893</v>
      </c>
      <c r="G474" s="4763">
        <v>1.047839</v>
      </c>
      <c r="H474" s="4764" t="s">
        <v>7432</v>
      </c>
      <c r="I474" s="4765" t="s">
        <v>1433</v>
      </c>
      <c r="J474" s="4766" t="s">
        <v>1434</v>
      </c>
      <c r="K474" s="4767">
        <v>45570</v>
      </c>
      <c r="L474" s="4765" t="s">
        <v>5960</v>
      </c>
      <c r="M474" s="4766" t="s">
        <v>1957</v>
      </c>
      <c r="N474" s="4765" t="s">
        <v>7434</v>
      </c>
      <c r="O474" s="4764" t="s">
        <v>7433</v>
      </c>
      <c r="P474" s="4768"/>
      <c r="Q474" s="4766" t="s">
        <v>7938</v>
      </c>
      <c r="R474" s="4766" t="s">
        <v>7939</v>
      </c>
      <c r="S474" s="4769"/>
      <c r="T474" s="4770"/>
      <c r="U474" s="4771"/>
      <c r="V474" s="4772"/>
      <c r="W474" s="4770"/>
      <c r="X474" s="4771"/>
      <c r="Y474" s="4772"/>
      <c r="Z474" s="4770"/>
      <c r="AA474" s="4771"/>
      <c r="AB474" s="4772"/>
      <c r="AC474" s="4770"/>
      <c r="AD474" s="4771"/>
      <c r="AE474" s="4772"/>
      <c r="AF474" s="4770"/>
      <c r="AG474" s="4771"/>
      <c r="AH474" s="4772"/>
      <c r="AI474" s="4773">
        <v>5029</v>
      </c>
      <c r="AJ474" s="4771">
        <v>0</v>
      </c>
      <c r="AK474" s="4774">
        <v>0</v>
      </c>
      <c r="AL474" s="4775">
        <f t="shared" si="164"/>
        <v>5029</v>
      </c>
      <c r="AM474" s="4776" t="s">
        <v>1061</v>
      </c>
      <c r="AN474" s="4777">
        <v>44063</v>
      </c>
      <c r="AO474" s="4778" t="s">
        <v>7995</v>
      </c>
      <c r="AP474" s="4779" t="s">
        <v>7957</v>
      </c>
      <c r="AQ474" s="4780">
        <v>1.0795220000000001</v>
      </c>
      <c r="AR474" s="4781"/>
      <c r="AS474" s="4782"/>
      <c r="AT474" s="4782"/>
      <c r="AU474" s="4782"/>
      <c r="AV474" s="4782"/>
      <c r="AW474" s="4783">
        <f>ROUND(AL474*AQ474/G474,0)</f>
        <v>5181</v>
      </c>
      <c r="AX474" s="4784"/>
      <c r="AY474" s="4785" t="s">
        <v>7996</v>
      </c>
      <c r="AZ474" s="4786">
        <f>SUM(AW474)</f>
        <v>5181</v>
      </c>
      <c r="BA474" s="4787">
        <f>AZ474</f>
        <v>5181</v>
      </c>
      <c r="BB474" s="267"/>
      <c r="BC474" s="4117">
        <f t="shared" si="165"/>
        <v>0</v>
      </c>
      <c r="BD474" s="4117">
        <f t="shared" si="163"/>
        <v>0</v>
      </c>
      <c r="BE474" s="267"/>
      <c r="BF474" s="4788"/>
      <c r="BG474" s="267"/>
      <c r="BH474" s="267"/>
    </row>
    <row r="475" spans="1:62" ht="89.25">
      <c r="A475" s="2418" t="s">
        <v>11003</v>
      </c>
      <c r="B475" s="338" t="s">
        <v>8040</v>
      </c>
      <c r="C475" s="695">
        <v>1</v>
      </c>
      <c r="D475" s="323">
        <v>44063</v>
      </c>
      <c r="E475" s="3058" t="s">
        <v>7972</v>
      </c>
      <c r="F475" s="324" t="s">
        <v>7957</v>
      </c>
      <c r="G475" s="2621">
        <v>1.0795220000000001</v>
      </c>
      <c r="H475" s="332" t="s">
        <v>7997</v>
      </c>
      <c r="I475" s="339" t="s">
        <v>1433</v>
      </c>
      <c r="J475" s="322" t="s">
        <v>1434</v>
      </c>
      <c r="K475" s="340">
        <v>46184</v>
      </c>
      <c r="L475" s="339" t="s">
        <v>7998</v>
      </c>
      <c r="M475" s="322" t="s">
        <v>1957</v>
      </c>
      <c r="N475" s="339" t="s">
        <v>7999</v>
      </c>
      <c r="O475" s="332" t="s">
        <v>8000</v>
      </c>
      <c r="P475" s="930" t="s">
        <v>8041</v>
      </c>
      <c r="Q475" s="322" t="s">
        <v>8001</v>
      </c>
      <c r="R475" s="322" t="s">
        <v>8002</v>
      </c>
      <c r="S475" s="346"/>
      <c r="T475" s="347"/>
      <c r="U475" s="326"/>
      <c r="V475" s="348"/>
      <c r="W475" s="347"/>
      <c r="X475" s="326"/>
      <c r="Y475" s="348"/>
      <c r="Z475" s="347"/>
      <c r="AA475" s="326"/>
      <c r="AB475" s="348"/>
      <c r="AC475" s="820"/>
      <c r="AD475" s="821"/>
      <c r="AE475" s="822"/>
      <c r="AF475" s="820"/>
      <c r="AG475" s="821"/>
      <c r="AH475" s="822"/>
      <c r="AI475" s="482">
        <v>0</v>
      </c>
      <c r="AJ475" s="326">
        <v>0</v>
      </c>
      <c r="AK475" s="3917">
        <v>0</v>
      </c>
      <c r="AL475" s="349">
        <f t="shared" si="164"/>
        <v>0</v>
      </c>
      <c r="AM475" s="2002" t="s">
        <v>8043</v>
      </c>
      <c r="AN475" s="3357" t="s">
        <v>175</v>
      </c>
      <c r="AO475" s="695" t="s">
        <v>175</v>
      </c>
      <c r="AP475" s="3362" t="s">
        <v>7957</v>
      </c>
      <c r="AQ475" s="3555">
        <v>1.0795220000000001</v>
      </c>
      <c r="AR475" s="333"/>
      <c r="AS475" s="330"/>
      <c r="AT475" s="330"/>
      <c r="AU475" s="849"/>
      <c r="AV475" s="849"/>
      <c r="AW475" s="3156">
        <f>ROUND(AL475*AQ475/G475,0)</f>
        <v>0</v>
      </c>
      <c r="AX475" s="3140"/>
      <c r="AY475" s="289"/>
      <c r="BA475" s="267"/>
      <c r="BB475" s="267"/>
      <c r="BC475" s="4117">
        <f t="shared" si="165"/>
        <v>0</v>
      </c>
      <c r="BD475" s="4117">
        <f t="shared" si="163"/>
        <v>0</v>
      </c>
      <c r="BE475" s="267"/>
      <c r="BF475" s="4788"/>
      <c r="BG475" s="267"/>
      <c r="BH475" s="267"/>
    </row>
    <row r="476" spans="1:62" ht="38.25">
      <c r="A476" s="2418" t="s">
        <v>11147</v>
      </c>
      <c r="B476" s="338" t="s">
        <v>4538</v>
      </c>
      <c r="C476" s="321">
        <v>0</v>
      </c>
      <c r="D476" s="323">
        <v>43242</v>
      </c>
      <c r="E476" s="3051" t="s">
        <v>6385</v>
      </c>
      <c r="F476" s="324" t="s">
        <v>5915</v>
      </c>
      <c r="G476" s="2621">
        <v>1.0119899999999999</v>
      </c>
      <c r="H476" s="332" t="s">
        <v>5544</v>
      </c>
      <c r="I476" s="339" t="s">
        <v>1433</v>
      </c>
      <c r="J476" s="322" t="s">
        <v>1434</v>
      </c>
      <c r="K476" s="340">
        <v>45434</v>
      </c>
      <c r="L476" s="339" t="s">
        <v>5545</v>
      </c>
      <c r="M476" s="322" t="s">
        <v>5546</v>
      </c>
      <c r="N476" s="339" t="s">
        <v>5547</v>
      </c>
      <c r="O476" s="332" t="s">
        <v>6302</v>
      </c>
      <c r="P476" s="345"/>
      <c r="Q476" s="322" t="s">
        <v>5483</v>
      </c>
      <c r="R476" s="322" t="s">
        <v>5503</v>
      </c>
      <c r="S476" s="346"/>
      <c r="T476" s="347">
        <v>6800</v>
      </c>
      <c r="U476" s="326">
        <v>0</v>
      </c>
      <c r="V476" s="348">
        <f>T476-U476</f>
        <v>6800</v>
      </c>
      <c r="W476" s="347">
        <v>8501</v>
      </c>
      <c r="X476" s="326">
        <v>0</v>
      </c>
      <c r="Y476" s="348">
        <f>W476-X476</f>
        <v>8501</v>
      </c>
      <c r="Z476" s="347">
        <v>1700</v>
      </c>
      <c r="AA476" s="326">
        <v>0</v>
      </c>
      <c r="AB476" s="348">
        <f>Z476-AA476</f>
        <v>1700</v>
      </c>
      <c r="AC476" s="347"/>
      <c r="AD476" s="326"/>
      <c r="AE476" s="348"/>
      <c r="AF476" s="347"/>
      <c r="AG476" s="326"/>
      <c r="AH476" s="348"/>
      <c r="AI476" s="482">
        <f>T476+W476+Z476+AC476+AF476</f>
        <v>17001</v>
      </c>
      <c r="AJ476" s="326">
        <f>U476+X476+AA476+AD476+AG476</f>
        <v>0</v>
      </c>
      <c r="AK476" s="3917">
        <v>0</v>
      </c>
      <c r="AL476" s="349">
        <f t="shared" si="164"/>
        <v>17001</v>
      </c>
      <c r="AM476" s="2002" t="s">
        <v>1061</v>
      </c>
      <c r="AN476" s="3357">
        <v>44082</v>
      </c>
      <c r="AO476" s="695" t="s">
        <v>8044</v>
      </c>
      <c r="AP476" s="2722" t="s">
        <v>7957</v>
      </c>
      <c r="AQ476" s="2723">
        <v>1.0795220000000001</v>
      </c>
      <c r="AR476" s="333">
        <v>0</v>
      </c>
      <c r="AS476" s="330">
        <v>0</v>
      </c>
      <c r="AT476" s="330">
        <v>0</v>
      </c>
      <c r="AU476" s="330">
        <v>0</v>
      </c>
      <c r="AV476" s="330">
        <v>0</v>
      </c>
      <c r="AW476" s="3156">
        <f>ROUND(AL476*AQ476/G476,0)</f>
        <v>18136</v>
      </c>
      <c r="AX476" s="3140"/>
      <c r="BA476" s="267"/>
      <c r="BB476" s="267"/>
      <c r="BC476" s="4117">
        <f t="shared" si="165"/>
        <v>0</v>
      </c>
      <c r="BD476" s="4117">
        <f t="shared" si="163"/>
        <v>0</v>
      </c>
      <c r="BE476" s="267"/>
      <c r="BF476" s="4788"/>
      <c r="BG476" s="267"/>
      <c r="BH476" s="267"/>
    </row>
    <row r="477" spans="1:62" ht="76.5">
      <c r="A477" s="2418" t="s">
        <v>11003</v>
      </c>
      <c r="B477" s="338" t="s">
        <v>7988</v>
      </c>
      <c r="C477" s="695">
        <v>1</v>
      </c>
      <c r="D477" s="323" t="s">
        <v>7989</v>
      </c>
      <c r="E477" s="3051" t="s">
        <v>7990</v>
      </c>
      <c r="F477" s="324" t="s">
        <v>7991</v>
      </c>
      <c r="G477" s="2621">
        <v>1.0795220000000001</v>
      </c>
      <c r="H477" s="332" t="s">
        <v>7993</v>
      </c>
      <c r="I477" s="339" t="s">
        <v>1433</v>
      </c>
      <c r="J477" s="322" t="s">
        <v>1434</v>
      </c>
      <c r="K477" s="340">
        <v>45780</v>
      </c>
      <c r="L477" s="339" t="s">
        <v>6659</v>
      </c>
      <c r="M477" s="322" t="s">
        <v>6660</v>
      </c>
      <c r="N477" s="339" t="s">
        <v>4067</v>
      </c>
      <c r="O477" s="332" t="s">
        <v>6661</v>
      </c>
      <c r="P477" s="345" t="s">
        <v>7576</v>
      </c>
      <c r="Q477" s="322" t="s">
        <v>6662</v>
      </c>
      <c r="R477" s="322" t="s">
        <v>7992</v>
      </c>
      <c r="S477" s="1577" t="s">
        <v>6663</v>
      </c>
      <c r="T477" s="347">
        <v>37677</v>
      </c>
      <c r="U477" s="326">
        <v>18838</v>
      </c>
      <c r="V477" s="348">
        <f>T477-U477</f>
        <v>18839</v>
      </c>
      <c r="W477" s="347">
        <v>6649</v>
      </c>
      <c r="X477" s="326">
        <v>3325</v>
      </c>
      <c r="Y477" s="348">
        <f>W477-X477</f>
        <v>3324</v>
      </c>
      <c r="Z477" s="347">
        <v>4274</v>
      </c>
      <c r="AA477" s="326">
        <v>2137</v>
      </c>
      <c r="AB477" s="348">
        <f>Z477-AA477</f>
        <v>2137</v>
      </c>
      <c r="AC477" s="820"/>
      <c r="AD477" s="821"/>
      <c r="AE477" s="822"/>
      <c r="AF477" s="820"/>
      <c r="AG477" s="821"/>
      <c r="AH477" s="822"/>
      <c r="AI477" s="482">
        <v>66869</v>
      </c>
      <c r="AJ477" s="326">
        <v>33435</v>
      </c>
      <c r="AK477" s="3917">
        <v>0</v>
      </c>
      <c r="AL477" s="349">
        <f t="shared" si="164"/>
        <v>33434</v>
      </c>
      <c r="AM477" s="2002" t="s">
        <v>1061</v>
      </c>
      <c r="AN477" s="3357">
        <v>44089</v>
      </c>
      <c r="AO477" s="695" t="s">
        <v>8069</v>
      </c>
      <c r="AP477" s="2722" t="s">
        <v>7957</v>
      </c>
      <c r="AQ477" s="2723">
        <v>1.0795220000000001</v>
      </c>
      <c r="AR477" s="333">
        <v>0</v>
      </c>
      <c r="AS477" s="330">
        <v>0</v>
      </c>
      <c r="AT477" s="330">
        <v>0</v>
      </c>
      <c r="AU477" s="849">
        <v>0</v>
      </c>
      <c r="AV477" s="849">
        <v>0</v>
      </c>
      <c r="AW477" s="3156">
        <f>ROUND(AL477*AQ477/G477,0)</f>
        <v>33434</v>
      </c>
      <c r="AX477" s="3140"/>
      <c r="BC477" s="4117">
        <f t="shared" si="165"/>
        <v>33435</v>
      </c>
      <c r="BD477" s="4117">
        <f t="shared" si="163"/>
        <v>0</v>
      </c>
    </row>
    <row r="478" spans="1:62" ht="76.5">
      <c r="A478" s="5964" t="s">
        <v>11151</v>
      </c>
      <c r="B478" s="338" t="s">
        <v>8070</v>
      </c>
      <c r="C478" s="321">
        <v>0</v>
      </c>
      <c r="D478" s="323">
        <v>42949</v>
      </c>
      <c r="E478" s="3051" t="s">
        <v>6385</v>
      </c>
      <c r="F478" s="4379" t="s">
        <v>6558</v>
      </c>
      <c r="G478" s="4380">
        <v>114</v>
      </c>
      <c r="H478" s="332" t="s">
        <v>4785</v>
      </c>
      <c r="I478" s="339" t="s">
        <v>4809</v>
      </c>
      <c r="J478" s="322" t="s">
        <v>4306</v>
      </c>
      <c r="K478" s="340">
        <v>43679</v>
      </c>
      <c r="L478" s="339" t="s">
        <v>4787</v>
      </c>
      <c r="M478" s="322" t="s">
        <v>4788</v>
      </c>
      <c r="N478" s="339" t="s">
        <v>4789</v>
      </c>
      <c r="O478" s="332" t="s">
        <v>6239</v>
      </c>
      <c r="P478" s="345" t="s">
        <v>7756</v>
      </c>
      <c r="Q478" s="6094" t="s">
        <v>4332</v>
      </c>
      <c r="R478" s="322" t="s">
        <v>1046</v>
      </c>
      <c r="S478" s="346"/>
      <c r="T478" s="347">
        <v>467</v>
      </c>
      <c r="U478" s="326">
        <v>0</v>
      </c>
      <c r="V478" s="348">
        <f>T478-U478</f>
        <v>467</v>
      </c>
      <c r="W478" s="347">
        <v>584</v>
      </c>
      <c r="X478" s="326">
        <v>0</v>
      </c>
      <c r="Y478" s="348">
        <f>W478-X478</f>
        <v>584</v>
      </c>
      <c r="Z478" s="347">
        <v>167</v>
      </c>
      <c r="AA478" s="326">
        <v>0</v>
      </c>
      <c r="AB478" s="348">
        <f>Z478-AA478</f>
        <v>167</v>
      </c>
      <c r="AC478" s="347"/>
      <c r="AD478" s="326"/>
      <c r="AE478" s="348"/>
      <c r="AF478" s="347"/>
      <c r="AG478" s="326"/>
      <c r="AH478" s="348"/>
      <c r="AI478" s="482">
        <v>0</v>
      </c>
      <c r="AJ478" s="326">
        <f>U478+X478+AA478+AD478+AG478</f>
        <v>0</v>
      </c>
      <c r="AK478" s="3917">
        <v>0</v>
      </c>
      <c r="AL478" s="349">
        <f t="shared" si="164"/>
        <v>0</v>
      </c>
      <c r="AM478" s="2002" t="s">
        <v>4488</v>
      </c>
      <c r="AN478" s="3357">
        <v>44090</v>
      </c>
      <c r="AO478" s="695" t="s">
        <v>8073</v>
      </c>
      <c r="AP478" s="3222" t="s">
        <v>7742</v>
      </c>
      <c r="AQ478" s="3223">
        <v>116.3</v>
      </c>
      <c r="AR478" s="333">
        <v>0</v>
      </c>
      <c r="AS478" s="330">
        <v>0</v>
      </c>
      <c r="AT478" s="330">
        <v>0</v>
      </c>
      <c r="AU478" s="330">
        <v>0</v>
      </c>
      <c r="AV478" s="330">
        <v>0</v>
      </c>
      <c r="AW478" s="3156">
        <v>200</v>
      </c>
      <c r="AX478" s="3140"/>
      <c r="BA478" s="267"/>
      <c r="BB478" s="267"/>
      <c r="BC478" s="4117">
        <f t="shared" si="165"/>
        <v>0</v>
      </c>
      <c r="BD478" s="4117">
        <f t="shared" si="163"/>
        <v>0</v>
      </c>
      <c r="BE478" s="267"/>
    </row>
    <row r="479" spans="1:62" ht="89.25">
      <c r="A479" s="2418" t="s">
        <v>11003</v>
      </c>
      <c r="B479" s="338" t="s">
        <v>7606</v>
      </c>
      <c r="C479" s="321">
        <v>0</v>
      </c>
      <c r="D479" s="323">
        <v>44084</v>
      </c>
      <c r="E479" s="3058" t="s">
        <v>7972</v>
      </c>
      <c r="F479" s="324" t="s">
        <v>7957</v>
      </c>
      <c r="G479" s="2621">
        <v>1.0795220000000001</v>
      </c>
      <c r="H479" s="332" t="s">
        <v>8062</v>
      </c>
      <c r="I479" s="339" t="s">
        <v>8074</v>
      </c>
      <c r="J479" s="2399" t="s">
        <v>4306</v>
      </c>
      <c r="K479" s="340">
        <v>44814</v>
      </c>
      <c r="L479" s="339" t="s">
        <v>8063</v>
      </c>
      <c r="M479" s="322" t="s">
        <v>8064</v>
      </c>
      <c r="N479" s="339" t="s">
        <v>8072</v>
      </c>
      <c r="O479" s="332" t="s">
        <v>8071</v>
      </c>
      <c r="P479" s="345" t="s">
        <v>8067</v>
      </c>
      <c r="Q479" s="322" t="s">
        <v>8065</v>
      </c>
      <c r="R479" s="322" t="s">
        <v>8066</v>
      </c>
      <c r="S479" s="346"/>
      <c r="T479" s="347"/>
      <c r="U479" s="326"/>
      <c r="V479" s="348"/>
      <c r="W479" s="347"/>
      <c r="X479" s="326"/>
      <c r="Y479" s="348"/>
      <c r="Z479" s="347"/>
      <c r="AA479" s="326"/>
      <c r="AB479" s="348"/>
      <c r="AC479" s="347"/>
      <c r="AD479" s="326"/>
      <c r="AE479" s="348"/>
      <c r="AF479" s="347"/>
      <c r="AG479" s="326"/>
      <c r="AH479" s="348"/>
      <c r="AI479" s="482">
        <v>480</v>
      </c>
      <c r="AJ479" s="326">
        <v>0</v>
      </c>
      <c r="AK479" s="3917">
        <v>0</v>
      </c>
      <c r="AL479" s="349">
        <f t="shared" si="164"/>
        <v>480</v>
      </c>
      <c r="AM479" s="2002" t="s">
        <v>1061</v>
      </c>
      <c r="AN479" s="3357">
        <v>44097</v>
      </c>
      <c r="AO479" s="695" t="s">
        <v>8079</v>
      </c>
      <c r="AP479" s="3362" t="s">
        <v>7957</v>
      </c>
      <c r="AQ479" s="3555">
        <v>1.0795220000000001</v>
      </c>
      <c r="AR479" s="333"/>
      <c r="AS479" s="330"/>
      <c r="AT479" s="330"/>
      <c r="AU479" s="330"/>
      <c r="AV479" s="330"/>
      <c r="AW479" s="3156">
        <f t="shared" ref="AW479:AW486" si="166">ROUND(AL479*AQ479/G479,0)</f>
        <v>480</v>
      </c>
      <c r="AX479" s="3140"/>
      <c r="BA479" s="267"/>
      <c r="BB479" s="267"/>
      <c r="BC479" s="4117">
        <f t="shared" si="165"/>
        <v>0</v>
      </c>
      <c r="BD479" s="4117">
        <f t="shared" si="163"/>
        <v>0</v>
      </c>
      <c r="BE479" s="267"/>
    </row>
    <row r="480" spans="1:62" ht="89.25">
      <c r="A480" s="2418" t="s">
        <v>11003</v>
      </c>
      <c r="B480" s="338" t="s">
        <v>8058</v>
      </c>
      <c r="C480" s="695">
        <v>1</v>
      </c>
      <c r="D480" s="323" t="s">
        <v>8059</v>
      </c>
      <c r="E480" s="3058" t="s">
        <v>7972</v>
      </c>
      <c r="F480" s="324" t="s">
        <v>7957</v>
      </c>
      <c r="G480" s="2621">
        <v>1.0795220000000001</v>
      </c>
      <c r="H480" s="332" t="s">
        <v>8038</v>
      </c>
      <c r="I480" s="339" t="s">
        <v>8025</v>
      </c>
      <c r="J480" s="2399" t="s">
        <v>4306</v>
      </c>
      <c r="K480" s="340">
        <v>44806</v>
      </c>
      <c r="L480" s="339" t="s">
        <v>349</v>
      </c>
      <c r="M480" s="322" t="s">
        <v>8033</v>
      </c>
      <c r="N480" s="339" t="s">
        <v>8027</v>
      </c>
      <c r="O480" s="332" t="s">
        <v>8028</v>
      </c>
      <c r="P480" s="345" t="s">
        <v>8060</v>
      </c>
      <c r="Q480" s="322" t="s">
        <v>8061</v>
      </c>
      <c r="R480" s="322" t="s">
        <v>8029</v>
      </c>
      <c r="S480" s="346"/>
      <c r="T480" s="347"/>
      <c r="U480" s="326"/>
      <c r="V480" s="348"/>
      <c r="W480" s="347"/>
      <c r="X480" s="326"/>
      <c r="Y480" s="348"/>
      <c r="Z480" s="347"/>
      <c r="AA480" s="326"/>
      <c r="AB480" s="348"/>
      <c r="AC480" s="820"/>
      <c r="AD480" s="821"/>
      <c r="AE480" s="822"/>
      <c r="AF480" s="820"/>
      <c r="AG480" s="821"/>
      <c r="AH480" s="822"/>
      <c r="AI480" s="482">
        <v>100555</v>
      </c>
      <c r="AJ480" s="326">
        <v>0</v>
      </c>
      <c r="AK480" s="3917">
        <v>0</v>
      </c>
      <c r="AL480" s="349">
        <f t="shared" si="164"/>
        <v>100555</v>
      </c>
      <c r="AM480" s="2002" t="s">
        <v>1061</v>
      </c>
      <c r="AN480" s="3357">
        <v>44099</v>
      </c>
      <c r="AO480" s="695" t="s">
        <v>8097</v>
      </c>
      <c r="AP480" s="3362" t="s">
        <v>7957</v>
      </c>
      <c r="AQ480" s="3555">
        <v>1.0795220000000001</v>
      </c>
      <c r="AR480" s="333"/>
      <c r="AS480" s="330"/>
      <c r="AT480" s="330"/>
      <c r="AU480" s="849"/>
      <c r="AV480" s="849"/>
      <c r="AW480" s="3156">
        <f t="shared" si="166"/>
        <v>100555</v>
      </c>
      <c r="AX480" s="3140"/>
      <c r="BA480" s="267"/>
      <c r="BB480" s="267"/>
      <c r="BC480" s="4117">
        <f t="shared" si="165"/>
        <v>0</v>
      </c>
      <c r="BD480" s="4117">
        <f t="shared" si="163"/>
        <v>0</v>
      </c>
      <c r="BE480" s="267"/>
    </row>
    <row r="481" spans="1:60" ht="102.75" thickBot="1">
      <c r="A481" s="6090" t="s">
        <v>11137</v>
      </c>
      <c r="B481" s="3748" t="s">
        <v>4122</v>
      </c>
      <c r="C481" s="4814">
        <v>0</v>
      </c>
      <c r="D481" s="4815">
        <v>42676</v>
      </c>
      <c r="E481" s="4815" t="s">
        <v>6385</v>
      </c>
      <c r="F481" s="4816" t="s">
        <v>4154</v>
      </c>
      <c r="G481" s="4817">
        <v>1.0111000000000001</v>
      </c>
      <c r="H481" s="4818" t="s">
        <v>4118</v>
      </c>
      <c r="I481" s="3753" t="s">
        <v>1436</v>
      </c>
      <c r="J481" s="4819" t="s">
        <v>1437</v>
      </c>
      <c r="K481" s="4820">
        <v>44139</v>
      </c>
      <c r="L481" s="3753" t="s">
        <v>4111</v>
      </c>
      <c r="M481" s="4819" t="s">
        <v>4112</v>
      </c>
      <c r="N481" s="3753" t="s">
        <v>4113</v>
      </c>
      <c r="O481" s="4818" t="s">
        <v>4114</v>
      </c>
      <c r="P481" s="3756" t="s">
        <v>4117</v>
      </c>
      <c r="Q481" s="4819" t="s">
        <v>4116</v>
      </c>
      <c r="R481" s="4819" t="s">
        <v>4115</v>
      </c>
      <c r="S481" s="4821"/>
      <c r="T481" s="3758">
        <v>778</v>
      </c>
      <c r="U481" s="4822">
        <v>0</v>
      </c>
      <c r="V481" s="4823">
        <f>T481-U481</f>
        <v>778</v>
      </c>
      <c r="W481" s="3758">
        <v>0</v>
      </c>
      <c r="X481" s="4822">
        <v>0</v>
      </c>
      <c r="Y481" s="4823">
        <f>W481-X481</f>
        <v>0</v>
      </c>
      <c r="Z481" s="3758">
        <v>5256</v>
      </c>
      <c r="AA481" s="4822">
        <v>0</v>
      </c>
      <c r="AB481" s="4823">
        <f>Z481-AA481</f>
        <v>5256</v>
      </c>
      <c r="AC481" s="3736"/>
      <c r="AD481" s="4824"/>
      <c r="AE481" s="4825"/>
      <c r="AF481" s="3736"/>
      <c r="AG481" s="4824"/>
      <c r="AH481" s="4825"/>
      <c r="AI481" s="3761">
        <f>T481+W481+Z481+AC481+AF481</f>
        <v>6034</v>
      </c>
      <c r="AJ481" s="4822">
        <f>U481+X481+AA481+AD481+AG481</f>
        <v>0</v>
      </c>
      <c r="AK481" s="4826">
        <v>0</v>
      </c>
      <c r="AL481" s="4827">
        <f t="shared" si="164"/>
        <v>6034</v>
      </c>
      <c r="AM481" s="3763" t="s">
        <v>1061</v>
      </c>
      <c r="AN481" s="4828">
        <v>44103</v>
      </c>
      <c r="AO481" s="4829" t="s">
        <v>8099</v>
      </c>
      <c r="AP481" s="4830" t="s">
        <v>7957</v>
      </c>
      <c r="AQ481" s="4831">
        <v>1.0795220000000001</v>
      </c>
      <c r="AR481" s="3768">
        <v>0</v>
      </c>
      <c r="AS481" s="4832">
        <v>0</v>
      </c>
      <c r="AT481" s="4832">
        <v>0</v>
      </c>
      <c r="AU481" s="4832">
        <v>0</v>
      </c>
      <c r="AV481" s="4832">
        <v>0</v>
      </c>
      <c r="AW481" s="4833">
        <f t="shared" si="166"/>
        <v>6442</v>
      </c>
      <c r="AX481" s="3771"/>
      <c r="AY481" s="4031" t="s">
        <v>8042</v>
      </c>
      <c r="AZ481" s="3857">
        <f>SUM(AW475:AW481)</f>
        <v>159247</v>
      </c>
      <c r="BA481" s="4028">
        <f>AZ481</f>
        <v>159247</v>
      </c>
      <c r="BB481" s="267"/>
      <c r="BC481" s="4117">
        <f t="shared" si="165"/>
        <v>0</v>
      </c>
      <c r="BD481" s="4117">
        <f t="shared" si="163"/>
        <v>0</v>
      </c>
      <c r="BE481" s="5071"/>
      <c r="BF481" s="4788"/>
      <c r="BG481" s="267"/>
      <c r="BH481" s="267"/>
    </row>
    <row r="482" spans="1:60" ht="63.75">
      <c r="A482" s="6017" t="s">
        <v>11003</v>
      </c>
      <c r="B482" s="2298" t="s">
        <v>8080</v>
      </c>
      <c r="C482" s="2299">
        <v>0</v>
      </c>
      <c r="D482" s="2300" t="s">
        <v>7948</v>
      </c>
      <c r="E482" s="4812" t="s">
        <v>7151</v>
      </c>
      <c r="F482" s="2497" t="s">
        <v>6893</v>
      </c>
      <c r="G482" s="3110">
        <v>1.047839</v>
      </c>
      <c r="H482" s="2306" t="s">
        <v>7951</v>
      </c>
      <c r="I482" s="2303" t="s">
        <v>1433</v>
      </c>
      <c r="J482" s="2304" t="s">
        <v>1434</v>
      </c>
      <c r="K482" s="4813">
        <v>45301</v>
      </c>
      <c r="L482" s="2303" t="s">
        <v>7551</v>
      </c>
      <c r="M482" s="2304" t="s">
        <v>7553</v>
      </c>
      <c r="N482" s="2303" t="s">
        <v>595</v>
      </c>
      <c r="O482" s="2306" t="s">
        <v>7552</v>
      </c>
      <c r="P482" s="2321" t="s">
        <v>7950</v>
      </c>
      <c r="Q482" s="2304" t="s">
        <v>7949</v>
      </c>
      <c r="R482" s="2304" t="s">
        <v>7157</v>
      </c>
      <c r="S482" s="2307"/>
      <c r="T482" s="2308"/>
      <c r="U482" s="2309"/>
      <c r="V482" s="2310"/>
      <c r="W482" s="2308"/>
      <c r="X482" s="2309"/>
      <c r="Y482" s="2310"/>
      <c r="Z482" s="2308"/>
      <c r="AA482" s="2309"/>
      <c r="AB482" s="2310"/>
      <c r="AC482" s="2308"/>
      <c r="AD482" s="2309"/>
      <c r="AE482" s="2310"/>
      <c r="AF482" s="2308"/>
      <c r="AG482" s="2309"/>
      <c r="AH482" s="2310"/>
      <c r="AI482" s="2311">
        <v>59795</v>
      </c>
      <c r="AJ482" s="2309">
        <v>0</v>
      </c>
      <c r="AK482" s="3914">
        <v>0</v>
      </c>
      <c r="AL482" s="2312">
        <f t="shared" si="164"/>
        <v>59795</v>
      </c>
      <c r="AM482" s="3491" t="s">
        <v>1061</v>
      </c>
      <c r="AN482" s="3492">
        <v>44112</v>
      </c>
      <c r="AO482" s="2492" t="s">
        <v>8134</v>
      </c>
      <c r="AP482" s="2905" t="s">
        <v>7957</v>
      </c>
      <c r="AQ482" s="2906">
        <v>1.0795220000000001</v>
      </c>
      <c r="AR482" s="2313"/>
      <c r="AS482" s="2314"/>
      <c r="AT482" s="2314"/>
      <c r="AU482" s="2314"/>
      <c r="AV482" s="2314"/>
      <c r="AW482" s="2883">
        <f t="shared" si="166"/>
        <v>61603</v>
      </c>
      <c r="AX482" s="2899"/>
      <c r="BA482" s="267"/>
      <c r="BB482" s="267"/>
      <c r="BC482" s="4117">
        <f t="shared" si="165"/>
        <v>0</v>
      </c>
      <c r="BD482" s="4117">
        <f t="shared" si="163"/>
        <v>0</v>
      </c>
      <c r="BE482" s="267"/>
      <c r="BF482" s="4788"/>
      <c r="BG482" s="267"/>
      <c r="BH482" s="267"/>
    </row>
    <row r="483" spans="1:60" ht="79.5">
      <c r="A483" s="5981" t="s">
        <v>11147</v>
      </c>
      <c r="B483" s="1538" t="s">
        <v>8163</v>
      </c>
      <c r="C483" s="1509">
        <v>0</v>
      </c>
      <c r="D483" s="1510">
        <v>43780</v>
      </c>
      <c r="E483" s="4344" t="s">
        <v>7151</v>
      </c>
      <c r="F483" s="1511" t="s">
        <v>6893</v>
      </c>
      <c r="G483" s="2663">
        <v>1.047839</v>
      </c>
      <c r="H483" s="1513" t="s">
        <v>7323</v>
      </c>
      <c r="I483" s="1514" t="s">
        <v>5753</v>
      </c>
      <c r="J483" s="1515" t="s">
        <v>2712</v>
      </c>
      <c r="K483" s="1516">
        <v>45237</v>
      </c>
      <c r="L483" s="1514" t="s">
        <v>7316</v>
      </c>
      <c r="M483" s="1515" t="s">
        <v>7317</v>
      </c>
      <c r="N483" s="1514" t="s">
        <v>7319</v>
      </c>
      <c r="O483" s="1513" t="s">
        <v>7318</v>
      </c>
      <c r="P483" s="1517" t="s">
        <v>7933</v>
      </c>
      <c r="Q483" s="1515" t="s">
        <v>7308</v>
      </c>
      <c r="R483" s="1515" t="s">
        <v>7320</v>
      </c>
      <c r="S483" s="1518"/>
      <c r="T483" s="1519"/>
      <c r="U483" s="1504"/>
      <c r="V483" s="1520"/>
      <c r="W483" s="1519"/>
      <c r="X483" s="1504"/>
      <c r="Y483" s="1520"/>
      <c r="Z483" s="1519"/>
      <c r="AA483" s="1504"/>
      <c r="AB483" s="1520"/>
      <c r="AC483" s="1519"/>
      <c r="AD483" s="1504"/>
      <c r="AE483" s="1520"/>
      <c r="AF483" s="1519"/>
      <c r="AG483" s="1504"/>
      <c r="AH483" s="1520"/>
      <c r="AI483" s="1503">
        <v>15843</v>
      </c>
      <c r="AJ483" s="1504">
        <v>0</v>
      </c>
      <c r="AK483" s="3919">
        <v>0</v>
      </c>
      <c r="AL483" s="1505">
        <f t="shared" si="164"/>
        <v>15843</v>
      </c>
      <c r="AM483" s="1508" t="s">
        <v>1061</v>
      </c>
      <c r="AN483" s="3401">
        <v>44118</v>
      </c>
      <c r="AO483" s="3402" t="s">
        <v>8164</v>
      </c>
      <c r="AP483" s="2905" t="s">
        <v>6894</v>
      </c>
      <c r="AQ483" s="2906">
        <v>1.047839</v>
      </c>
      <c r="AR483" s="1506"/>
      <c r="AS483" s="1507"/>
      <c r="AT483" s="1507"/>
      <c r="AU483" s="1507"/>
      <c r="AV483" s="1507"/>
      <c r="AW483" s="3247">
        <f t="shared" si="166"/>
        <v>15843</v>
      </c>
      <c r="AX483" s="3146"/>
      <c r="BA483" s="267"/>
      <c r="BB483" s="267"/>
      <c r="BC483" s="4117">
        <f t="shared" si="165"/>
        <v>0</v>
      </c>
      <c r="BD483" s="4117">
        <f t="shared" si="163"/>
        <v>0</v>
      </c>
      <c r="BE483" s="267"/>
      <c r="BF483" s="4788"/>
      <c r="BG483" s="267"/>
      <c r="BH483" s="267"/>
    </row>
    <row r="484" spans="1:60" ht="76.5">
      <c r="A484" s="5981" t="s">
        <v>11003</v>
      </c>
      <c r="B484" s="1538" t="s">
        <v>8161</v>
      </c>
      <c r="C484" s="1509">
        <v>0</v>
      </c>
      <c r="D484" s="1510">
        <v>43963</v>
      </c>
      <c r="E484" s="4344" t="s">
        <v>7151</v>
      </c>
      <c r="F484" s="1511" t="s">
        <v>6893</v>
      </c>
      <c r="G484" s="2663">
        <v>1.047839</v>
      </c>
      <c r="H484" s="1513" t="s">
        <v>7856</v>
      </c>
      <c r="I484" s="1514" t="s">
        <v>1433</v>
      </c>
      <c r="J484" s="1515" t="s">
        <v>1434</v>
      </c>
      <c r="K484" s="1516">
        <v>46148</v>
      </c>
      <c r="L484" s="1514" t="s">
        <v>7857</v>
      </c>
      <c r="M484" s="1515" t="s">
        <v>7858</v>
      </c>
      <c r="N484" s="1514" t="s">
        <v>7859</v>
      </c>
      <c r="O484" s="1513" t="s">
        <v>8162</v>
      </c>
      <c r="P484" s="1517"/>
      <c r="Q484" s="6094" t="s">
        <v>7860</v>
      </c>
      <c r="R484" s="1515" t="s">
        <v>7157</v>
      </c>
      <c r="S484" s="1518"/>
      <c r="T484" s="1519"/>
      <c r="U484" s="1504"/>
      <c r="V484" s="1520"/>
      <c r="W484" s="1519"/>
      <c r="X484" s="1504"/>
      <c r="Y484" s="1520"/>
      <c r="Z484" s="1519"/>
      <c r="AA484" s="1504"/>
      <c r="AB484" s="1520"/>
      <c r="AC484" s="1519"/>
      <c r="AD484" s="1504"/>
      <c r="AE484" s="1520"/>
      <c r="AF484" s="1519"/>
      <c r="AG484" s="1504"/>
      <c r="AH484" s="1520"/>
      <c r="AI484" s="1503">
        <v>6249</v>
      </c>
      <c r="AJ484" s="1504">
        <v>0</v>
      </c>
      <c r="AK484" s="3919">
        <v>0</v>
      </c>
      <c r="AL484" s="1505">
        <f t="shared" si="164"/>
        <v>6249</v>
      </c>
      <c r="AM484" s="1508" t="s">
        <v>1061</v>
      </c>
      <c r="AN484" s="3401">
        <v>44118</v>
      </c>
      <c r="AO484" s="3402" t="s">
        <v>8165</v>
      </c>
      <c r="AP484" s="2905" t="s">
        <v>7957</v>
      </c>
      <c r="AQ484" s="2906">
        <v>1.0795220000000001</v>
      </c>
      <c r="AR484" s="1506"/>
      <c r="AS484" s="1507"/>
      <c r="AT484" s="1507"/>
      <c r="AU484" s="1507"/>
      <c r="AV484" s="1507"/>
      <c r="AW484" s="3247">
        <f t="shared" si="166"/>
        <v>6438</v>
      </c>
      <c r="AX484" s="3146"/>
      <c r="BC484" s="4117">
        <f t="shared" si="165"/>
        <v>0</v>
      </c>
      <c r="BD484" s="4117">
        <f t="shared" si="163"/>
        <v>0</v>
      </c>
    </row>
    <row r="485" spans="1:60" ht="89.25">
      <c r="A485" s="5981" t="s">
        <v>11147</v>
      </c>
      <c r="B485" s="1538" t="s">
        <v>8196</v>
      </c>
      <c r="C485" s="1509">
        <v>0</v>
      </c>
      <c r="D485" s="1510">
        <v>42695</v>
      </c>
      <c r="E485" s="3053" t="s">
        <v>6385</v>
      </c>
      <c r="F485" s="1511" t="s">
        <v>4154</v>
      </c>
      <c r="G485" s="2663">
        <v>1.0111000000000001</v>
      </c>
      <c r="H485" s="1513" t="s">
        <v>8124</v>
      </c>
      <c r="I485" s="1514" t="s">
        <v>1433</v>
      </c>
      <c r="J485" s="1515" t="s">
        <v>1434</v>
      </c>
      <c r="K485" s="1516" t="s">
        <v>8122</v>
      </c>
      <c r="L485" s="1514" t="s">
        <v>4183</v>
      </c>
      <c r="M485" s="1515" t="s">
        <v>1957</v>
      </c>
      <c r="N485" s="1514" t="s">
        <v>4184</v>
      </c>
      <c r="O485" s="1513" t="s">
        <v>6217</v>
      </c>
      <c r="P485" s="1517" t="s">
        <v>7180</v>
      </c>
      <c r="Q485" s="1515" t="s">
        <v>4187</v>
      </c>
      <c r="R485" s="1515" t="s">
        <v>4186</v>
      </c>
      <c r="S485" s="1518"/>
      <c r="T485" s="3255">
        <v>-4837</v>
      </c>
      <c r="U485" s="1504">
        <v>0</v>
      </c>
      <c r="V485" s="3256">
        <f>T485-U485</f>
        <v>-4837</v>
      </c>
      <c r="W485" s="3255">
        <v>-719</v>
      </c>
      <c r="X485" s="1504">
        <v>0</v>
      </c>
      <c r="Y485" s="3256">
        <f>W485-X485</f>
        <v>-719</v>
      </c>
      <c r="Z485" s="1519">
        <v>10290</v>
      </c>
      <c r="AA485" s="1504">
        <v>0</v>
      </c>
      <c r="AB485" s="1520">
        <f>Z485-AA485</f>
        <v>10290</v>
      </c>
      <c r="AC485" s="1519"/>
      <c r="AD485" s="1504"/>
      <c r="AE485" s="1520"/>
      <c r="AF485" s="1519"/>
      <c r="AG485" s="1504"/>
      <c r="AH485" s="1520"/>
      <c r="AI485" s="1503">
        <f>T485+W485+Z485+AC485+AF485</f>
        <v>4734</v>
      </c>
      <c r="AJ485" s="1504">
        <f>U485+X485+AA485+AD485+AG485</f>
        <v>0</v>
      </c>
      <c r="AK485" s="3919">
        <v>0</v>
      </c>
      <c r="AL485" s="1505">
        <f t="shared" si="164"/>
        <v>4734</v>
      </c>
      <c r="AM485" s="1508" t="s">
        <v>1061</v>
      </c>
      <c r="AN485" s="3401">
        <v>44124</v>
      </c>
      <c r="AO485" s="3402" t="s">
        <v>8175</v>
      </c>
      <c r="AP485" s="2664" t="s">
        <v>7957</v>
      </c>
      <c r="AQ485" s="2806">
        <v>1.0795220000000001</v>
      </c>
      <c r="AR485" s="1506">
        <v>0</v>
      </c>
      <c r="AS485" s="1507">
        <v>0</v>
      </c>
      <c r="AT485" s="1507">
        <v>0</v>
      </c>
      <c r="AU485" s="1507">
        <v>0</v>
      </c>
      <c r="AV485" s="1507">
        <v>0</v>
      </c>
      <c r="AW485" s="3247">
        <f t="shared" si="166"/>
        <v>5054</v>
      </c>
      <c r="AX485" s="3148"/>
      <c r="BA485" s="267"/>
      <c r="BB485" s="267"/>
      <c r="BC485" s="4117">
        <f t="shared" si="165"/>
        <v>0</v>
      </c>
      <c r="BD485" s="4117">
        <f t="shared" si="163"/>
        <v>0</v>
      </c>
    </row>
    <row r="486" spans="1:60" ht="76.5">
      <c r="A486" s="6017" t="s">
        <v>11147</v>
      </c>
      <c r="B486" s="1538" t="s">
        <v>8197</v>
      </c>
      <c r="C486" s="1509">
        <v>0</v>
      </c>
      <c r="D486" s="1510">
        <v>43669</v>
      </c>
      <c r="E486" s="2300" t="s">
        <v>6386</v>
      </c>
      <c r="F486" s="3798" t="s">
        <v>6893</v>
      </c>
      <c r="G486" s="3110">
        <v>1.047839</v>
      </c>
      <c r="H486" s="1513" t="s">
        <v>6926</v>
      </c>
      <c r="I486" s="1514" t="s">
        <v>6927</v>
      </c>
      <c r="J486" s="1515" t="s">
        <v>4306</v>
      </c>
      <c r="K486" s="1516">
        <v>44400</v>
      </c>
      <c r="L486" s="1514" t="s">
        <v>6928</v>
      </c>
      <c r="M486" s="1515" t="s">
        <v>6929</v>
      </c>
      <c r="N486" s="1514" t="s">
        <v>6930</v>
      </c>
      <c r="O486" s="1513" t="s">
        <v>6931</v>
      </c>
      <c r="P486" s="1517"/>
      <c r="Q486" s="6094" t="s">
        <v>5708</v>
      </c>
      <c r="R486" s="1515" t="s">
        <v>5350</v>
      </c>
      <c r="S486" s="1518"/>
      <c r="T486" s="1519"/>
      <c r="U486" s="1504"/>
      <c r="V486" s="1520"/>
      <c r="W486" s="1519"/>
      <c r="X486" s="1504"/>
      <c r="Y486" s="1520"/>
      <c r="Z486" s="1519"/>
      <c r="AA486" s="1504"/>
      <c r="AB486" s="1520"/>
      <c r="AC486" s="1519"/>
      <c r="AD486" s="1504"/>
      <c r="AE486" s="1520"/>
      <c r="AF486" s="1519"/>
      <c r="AG486" s="1504"/>
      <c r="AH486" s="1520"/>
      <c r="AI486" s="1503">
        <v>6249</v>
      </c>
      <c r="AJ486" s="1504">
        <v>0</v>
      </c>
      <c r="AK486" s="3919">
        <v>0</v>
      </c>
      <c r="AL486" s="1505">
        <f t="shared" si="164"/>
        <v>6249</v>
      </c>
      <c r="AM486" s="1508" t="s">
        <v>1061</v>
      </c>
      <c r="AN486" s="3401">
        <v>44126</v>
      </c>
      <c r="AO486" s="3402" t="s">
        <v>8206</v>
      </c>
      <c r="AP486" s="2905" t="s">
        <v>7957</v>
      </c>
      <c r="AQ486" s="2906">
        <v>1.0795220000000001</v>
      </c>
      <c r="AR486" s="1506"/>
      <c r="AS486" s="1507"/>
      <c r="AT486" s="1507"/>
      <c r="AU486" s="1507"/>
      <c r="AV486" s="1507"/>
      <c r="AW486" s="3247">
        <f t="shared" si="166"/>
        <v>6438</v>
      </c>
      <c r="AX486" s="3146"/>
      <c r="BB486" s="267"/>
      <c r="BC486" s="4117">
        <f t="shared" si="165"/>
        <v>0</v>
      </c>
      <c r="BD486" s="4117">
        <f t="shared" si="163"/>
        <v>0</v>
      </c>
    </row>
    <row r="487" spans="1:60" ht="76.5">
      <c r="A487" s="5978" t="s">
        <v>11151</v>
      </c>
      <c r="B487" s="1538" t="s">
        <v>11152</v>
      </c>
      <c r="C487" s="1509">
        <v>0</v>
      </c>
      <c r="D487" s="1510">
        <v>42949</v>
      </c>
      <c r="E487" s="3053" t="s">
        <v>6385</v>
      </c>
      <c r="F487" s="3249" t="s">
        <v>6558</v>
      </c>
      <c r="G487" s="3250">
        <v>114</v>
      </c>
      <c r="H487" s="1513" t="s">
        <v>4785</v>
      </c>
      <c r="I487" s="1514" t="s">
        <v>4809</v>
      </c>
      <c r="J487" s="1515" t="s">
        <v>4306</v>
      </c>
      <c r="K487" s="1516">
        <v>43679</v>
      </c>
      <c r="L487" s="1514" t="s">
        <v>4787</v>
      </c>
      <c r="M487" s="1515" t="s">
        <v>4788</v>
      </c>
      <c r="N487" s="1514" t="s">
        <v>4789</v>
      </c>
      <c r="O487" s="1513" t="s">
        <v>6239</v>
      </c>
      <c r="P487" s="1517" t="s">
        <v>7756</v>
      </c>
      <c r="Q487" s="6094" t="s">
        <v>4332</v>
      </c>
      <c r="R487" s="1515" t="s">
        <v>1046</v>
      </c>
      <c r="S487" s="1518"/>
      <c r="T487" s="1519">
        <v>467</v>
      </c>
      <c r="U487" s="1504">
        <v>0</v>
      </c>
      <c r="V487" s="1520">
        <f>T487-U487</f>
        <v>467</v>
      </c>
      <c r="W487" s="1519">
        <v>584</v>
      </c>
      <c r="X487" s="1504">
        <v>0</v>
      </c>
      <c r="Y487" s="1520">
        <f>W487-X487</f>
        <v>584</v>
      </c>
      <c r="Z487" s="1519">
        <v>167</v>
      </c>
      <c r="AA487" s="1504">
        <v>0</v>
      </c>
      <c r="AB487" s="1520">
        <f>Z487-AA487</f>
        <v>167</v>
      </c>
      <c r="AC487" s="1519"/>
      <c r="AD487" s="1504"/>
      <c r="AE487" s="1520"/>
      <c r="AF487" s="1519"/>
      <c r="AG487" s="1504"/>
      <c r="AH487" s="1520"/>
      <c r="AI487" s="1503">
        <v>0</v>
      </c>
      <c r="AJ487" s="1504">
        <f>U487+X487+AA487+AD487+AG487</f>
        <v>0</v>
      </c>
      <c r="AK487" s="3919">
        <v>0</v>
      </c>
      <c r="AL487" s="1505">
        <f t="shared" si="164"/>
        <v>0</v>
      </c>
      <c r="AM487" s="4836" t="s">
        <v>8207</v>
      </c>
      <c r="AN487" s="3401">
        <v>44126</v>
      </c>
      <c r="AO487" s="3402" t="s">
        <v>8208</v>
      </c>
      <c r="AP487" s="3251" t="s">
        <v>7742</v>
      </c>
      <c r="AQ487" s="3248">
        <v>116.3</v>
      </c>
      <c r="AR487" s="1506">
        <v>0</v>
      </c>
      <c r="AS487" s="1507">
        <v>0</v>
      </c>
      <c r="AT487" s="1507">
        <v>0</v>
      </c>
      <c r="AU487" s="1507">
        <v>0</v>
      </c>
      <c r="AV487" s="1507">
        <v>0</v>
      </c>
      <c r="AW487" s="3247">
        <v>400</v>
      </c>
      <c r="AX487" s="3146"/>
      <c r="BC487" s="4117">
        <f t="shared" si="165"/>
        <v>0</v>
      </c>
      <c r="BD487" s="4117">
        <f t="shared" si="163"/>
        <v>0</v>
      </c>
    </row>
    <row r="488" spans="1:60" ht="102">
      <c r="A488" s="5981" t="s">
        <v>11003</v>
      </c>
      <c r="B488" s="1538" t="s">
        <v>8210</v>
      </c>
      <c r="C488" s="1509">
        <v>0</v>
      </c>
      <c r="D488" s="1510">
        <v>44013</v>
      </c>
      <c r="E488" s="4344" t="s">
        <v>7151</v>
      </c>
      <c r="F488" s="1511" t="s">
        <v>6893</v>
      </c>
      <c r="G488" s="2663">
        <v>1.047839</v>
      </c>
      <c r="H488" s="1513" t="s">
        <v>7980</v>
      </c>
      <c r="I488" s="1514" t="s">
        <v>5753</v>
      </c>
      <c r="J488" s="1515" t="s">
        <v>2712</v>
      </c>
      <c r="K488" s="1516">
        <v>45469</v>
      </c>
      <c r="L488" s="1514" t="s">
        <v>7940</v>
      </c>
      <c r="M488" s="1515" t="s">
        <v>7941</v>
      </c>
      <c r="N488" s="1514" t="s">
        <v>7942</v>
      </c>
      <c r="O488" s="1513" t="s">
        <v>7943</v>
      </c>
      <c r="P488" s="1517"/>
      <c r="Q488" s="1515" t="s">
        <v>7944</v>
      </c>
      <c r="R488" s="1515" t="s">
        <v>7945</v>
      </c>
      <c r="S488" s="1518"/>
      <c r="T488" s="1519"/>
      <c r="U488" s="1504"/>
      <c r="V488" s="1520"/>
      <c r="W488" s="1519"/>
      <c r="X488" s="1504"/>
      <c r="Y488" s="1520"/>
      <c r="Z488" s="1519"/>
      <c r="AA488" s="1504"/>
      <c r="AB488" s="1520"/>
      <c r="AC488" s="1519"/>
      <c r="AD488" s="1504"/>
      <c r="AE488" s="1520"/>
      <c r="AF488" s="1519"/>
      <c r="AG488" s="1504"/>
      <c r="AH488" s="1520"/>
      <c r="AI488" s="1503">
        <v>17603</v>
      </c>
      <c r="AJ488" s="1504">
        <v>0</v>
      </c>
      <c r="AK488" s="3919">
        <v>0</v>
      </c>
      <c r="AL488" s="1505">
        <f t="shared" ref="AL488:AL519" si="167">AI488-AJ488-AK488</f>
        <v>17603</v>
      </c>
      <c r="AM488" s="1508" t="s">
        <v>1061</v>
      </c>
      <c r="AN488" s="3401">
        <v>44130</v>
      </c>
      <c r="AO488" s="4837" t="s">
        <v>8212</v>
      </c>
      <c r="AP488" s="2905" t="s">
        <v>7957</v>
      </c>
      <c r="AQ488" s="2906">
        <v>1.0795220000000001</v>
      </c>
      <c r="AR488" s="1506"/>
      <c r="AS488" s="1507"/>
      <c r="AT488" s="1507"/>
      <c r="AU488" s="1507"/>
      <c r="AV488" s="1507"/>
      <c r="AW488" s="3247">
        <f t="shared" ref="AW488:AW504" si="168">ROUND(AL488*AQ488/G488,0)</f>
        <v>18135</v>
      </c>
      <c r="AX488" s="3146"/>
      <c r="BA488" s="267"/>
      <c r="BB488" s="267"/>
      <c r="BC488" s="4117">
        <f t="shared" si="165"/>
        <v>0</v>
      </c>
      <c r="BD488" s="4117">
        <f t="shared" si="163"/>
        <v>0</v>
      </c>
    </row>
    <row r="489" spans="1:60" ht="77.25" thickBot="1">
      <c r="A489" s="6051" t="s">
        <v>11147</v>
      </c>
      <c r="B489" s="3723" t="s">
        <v>8233</v>
      </c>
      <c r="C489" s="4840">
        <v>1</v>
      </c>
      <c r="D489" s="4841" t="s">
        <v>7184</v>
      </c>
      <c r="E489" s="3834" t="s">
        <v>7151</v>
      </c>
      <c r="F489" s="4842" t="s">
        <v>6893</v>
      </c>
      <c r="G489" s="3836">
        <v>1.047839</v>
      </c>
      <c r="H489" s="4843" t="s">
        <v>8209</v>
      </c>
      <c r="I489" s="3728" t="s">
        <v>1433</v>
      </c>
      <c r="J489" s="4844" t="s">
        <v>1434</v>
      </c>
      <c r="K489" s="4845">
        <v>44470</v>
      </c>
      <c r="L489" s="3728" t="s">
        <v>4959</v>
      </c>
      <c r="M489" s="4844" t="s">
        <v>4960</v>
      </c>
      <c r="N489" s="3728" t="s">
        <v>7164</v>
      </c>
      <c r="O489" s="4843" t="s">
        <v>7165</v>
      </c>
      <c r="P489" s="3731" t="s">
        <v>7185</v>
      </c>
      <c r="Q489" s="4844" t="s">
        <v>8205</v>
      </c>
      <c r="R489" s="4844" t="s">
        <v>7187</v>
      </c>
      <c r="S489" s="4846"/>
      <c r="T489" s="3733"/>
      <c r="U489" s="4847"/>
      <c r="V489" s="4848"/>
      <c r="W489" s="3733"/>
      <c r="X489" s="4847"/>
      <c r="Y489" s="4848"/>
      <c r="Z489" s="3733"/>
      <c r="AA489" s="4847"/>
      <c r="AB489" s="4848"/>
      <c r="AC489" s="3733"/>
      <c r="AD489" s="4847"/>
      <c r="AE489" s="4848"/>
      <c r="AF489" s="3733"/>
      <c r="AG489" s="4847"/>
      <c r="AH489" s="4848"/>
      <c r="AI489" s="3739">
        <v>62263</v>
      </c>
      <c r="AJ489" s="4847">
        <v>0</v>
      </c>
      <c r="AK489" s="4849">
        <v>0</v>
      </c>
      <c r="AL489" s="4850">
        <f t="shared" si="167"/>
        <v>62263</v>
      </c>
      <c r="AM489" s="3741" t="s">
        <v>1061</v>
      </c>
      <c r="AN489" s="4851">
        <v>44131</v>
      </c>
      <c r="AO489" s="4852" t="s">
        <v>8224</v>
      </c>
      <c r="AP489" s="3851" t="s">
        <v>7957</v>
      </c>
      <c r="AQ489" s="3852">
        <v>1.0795220000000001</v>
      </c>
      <c r="AR489" s="3744"/>
      <c r="AS489" s="4853"/>
      <c r="AT489" s="4853"/>
      <c r="AU489" s="4853"/>
      <c r="AV489" s="4853"/>
      <c r="AW489" s="4854">
        <f t="shared" si="168"/>
        <v>64146</v>
      </c>
      <c r="AX489" s="3747"/>
      <c r="AY489" s="4029" t="s">
        <v>8130</v>
      </c>
      <c r="AZ489" s="3888">
        <f>SUM(AW482:AW489)</f>
        <v>178057</v>
      </c>
      <c r="BA489" s="4028">
        <f>AZ489</f>
        <v>178057</v>
      </c>
      <c r="BB489" s="267"/>
      <c r="BC489" s="4117">
        <f t="shared" si="165"/>
        <v>0</v>
      </c>
      <c r="BD489" s="4117">
        <f t="shared" si="163"/>
        <v>0</v>
      </c>
      <c r="BE489" s="5071"/>
      <c r="BF489" s="4788"/>
      <c r="BG489" s="267"/>
      <c r="BH489" s="267"/>
    </row>
    <row r="490" spans="1:60" ht="51">
      <c r="A490" s="5966" t="s">
        <v>11147</v>
      </c>
      <c r="B490" s="827" t="s">
        <v>8281</v>
      </c>
      <c r="C490" s="828">
        <v>0</v>
      </c>
      <c r="D490" s="829">
        <v>43524</v>
      </c>
      <c r="E490" s="829" t="s">
        <v>6386</v>
      </c>
      <c r="F490" s="830" t="s">
        <v>5757</v>
      </c>
      <c r="G490" s="2620">
        <v>1.0247219999999999</v>
      </c>
      <c r="H490" s="832" t="s">
        <v>6454</v>
      </c>
      <c r="I490" s="833" t="s">
        <v>1433</v>
      </c>
      <c r="J490" s="834" t="s">
        <v>1434</v>
      </c>
      <c r="K490" s="835">
        <v>45716</v>
      </c>
      <c r="L490" s="833" t="s">
        <v>3160</v>
      </c>
      <c r="M490" s="834" t="s">
        <v>3161</v>
      </c>
      <c r="N490" s="833" t="s">
        <v>6451</v>
      </c>
      <c r="O490" s="832" t="s">
        <v>6450</v>
      </c>
      <c r="P490" s="836"/>
      <c r="Q490" s="834" t="s">
        <v>6452</v>
      </c>
      <c r="R490" s="834" t="s">
        <v>4837</v>
      </c>
      <c r="S490" s="837"/>
      <c r="T490" s="838">
        <v>34431</v>
      </c>
      <c r="U490" s="839">
        <v>0</v>
      </c>
      <c r="V490" s="840">
        <f>T490-U490</f>
        <v>34431</v>
      </c>
      <c r="W490" s="838">
        <v>43038</v>
      </c>
      <c r="X490" s="839">
        <v>0</v>
      </c>
      <c r="Y490" s="840">
        <f>W490-X490</f>
        <v>43038</v>
      </c>
      <c r="Z490" s="838">
        <v>8607</v>
      </c>
      <c r="AA490" s="839">
        <v>0</v>
      </c>
      <c r="AB490" s="840">
        <f>Z490-AA490</f>
        <v>8607</v>
      </c>
      <c r="AC490" s="838"/>
      <c r="AD490" s="839"/>
      <c r="AE490" s="840"/>
      <c r="AF490" s="838"/>
      <c r="AG490" s="839"/>
      <c r="AH490" s="840"/>
      <c r="AI490" s="841">
        <f>T490+W490+Z490+AC490+AF490</f>
        <v>86076</v>
      </c>
      <c r="AJ490" s="839">
        <f>U490+X490+AA490+AD490+AG490</f>
        <v>0</v>
      </c>
      <c r="AK490" s="3906">
        <v>0</v>
      </c>
      <c r="AL490" s="869">
        <f t="shared" si="167"/>
        <v>86076</v>
      </c>
      <c r="AM490" s="3369" t="s">
        <v>1061</v>
      </c>
      <c r="AN490" s="3360">
        <v>44145</v>
      </c>
      <c r="AO490" s="3361" t="s">
        <v>8282</v>
      </c>
      <c r="AP490" s="3362" t="s">
        <v>7957</v>
      </c>
      <c r="AQ490" s="3555">
        <v>1.0795220000000001</v>
      </c>
      <c r="AR490" s="846">
        <v>0</v>
      </c>
      <c r="AS490" s="847">
        <v>0</v>
      </c>
      <c r="AT490" s="847">
        <v>0</v>
      </c>
      <c r="AU490" s="847">
        <v>0</v>
      </c>
      <c r="AV490" s="847">
        <v>0</v>
      </c>
      <c r="AW490" s="2872">
        <f t="shared" si="168"/>
        <v>90679</v>
      </c>
      <c r="AX490" s="2891"/>
      <c r="BA490" s="267"/>
      <c r="BB490" s="267"/>
      <c r="BC490" s="4117">
        <f t="shared" si="165"/>
        <v>0</v>
      </c>
      <c r="BD490" s="4117">
        <f t="shared" si="163"/>
        <v>0</v>
      </c>
      <c r="BE490" s="267"/>
      <c r="BF490" s="4788"/>
      <c r="BG490" s="267"/>
      <c r="BH490" s="267"/>
    </row>
    <row r="491" spans="1:60" ht="63.75">
      <c r="A491" s="2418" t="s">
        <v>11147</v>
      </c>
      <c r="B491" s="338" t="s">
        <v>8314</v>
      </c>
      <c r="C491" s="321">
        <v>0</v>
      </c>
      <c r="D491" s="323">
        <v>43815</v>
      </c>
      <c r="E491" s="3058" t="s">
        <v>7151</v>
      </c>
      <c r="F491" s="324" t="s">
        <v>6893</v>
      </c>
      <c r="G491" s="2621">
        <v>1.047839</v>
      </c>
      <c r="H491" s="332" t="s">
        <v>7489</v>
      </c>
      <c r="I491" s="339" t="s">
        <v>1433</v>
      </c>
      <c r="J491" s="322" t="s">
        <v>1434</v>
      </c>
      <c r="K491" s="340" t="s">
        <v>7490</v>
      </c>
      <c r="L491" s="339" t="s">
        <v>7491</v>
      </c>
      <c r="M491" s="322" t="s">
        <v>7492</v>
      </c>
      <c r="N491" s="339" t="s">
        <v>3467</v>
      </c>
      <c r="O491" s="332" t="s">
        <v>7493</v>
      </c>
      <c r="P491" s="345" t="s">
        <v>7494</v>
      </c>
      <c r="Q491" s="322" t="s">
        <v>7495</v>
      </c>
      <c r="R491" s="322" t="s">
        <v>7371</v>
      </c>
      <c r="S491" s="346" t="s">
        <v>7496</v>
      </c>
      <c r="T491" s="347"/>
      <c r="U491" s="326"/>
      <c r="V491" s="348"/>
      <c r="W491" s="347"/>
      <c r="X491" s="326"/>
      <c r="Y491" s="348"/>
      <c r="Z491" s="347"/>
      <c r="AA491" s="326"/>
      <c r="AB491" s="348"/>
      <c r="AC491" s="347"/>
      <c r="AD491" s="326"/>
      <c r="AE491" s="348"/>
      <c r="AF491" s="347"/>
      <c r="AG491" s="326"/>
      <c r="AH491" s="348"/>
      <c r="AI491" s="482">
        <f>2834-546</f>
        <v>2288</v>
      </c>
      <c r="AJ491" s="326">
        <v>2288</v>
      </c>
      <c r="AK491" s="3917">
        <v>0</v>
      </c>
      <c r="AL491" s="349">
        <f t="shared" si="167"/>
        <v>0</v>
      </c>
      <c r="AM491" s="2002"/>
      <c r="AN491" s="3357"/>
      <c r="AO491" s="695"/>
      <c r="AP491" s="3362" t="s">
        <v>7957</v>
      </c>
      <c r="AQ491" s="3555">
        <v>1.0795220000000001</v>
      </c>
      <c r="AR491" s="333"/>
      <c r="AS491" s="330"/>
      <c r="AT491" s="330"/>
      <c r="AU491" s="330"/>
      <c r="AV491" s="330"/>
      <c r="AW491" s="3156">
        <f t="shared" si="168"/>
        <v>0</v>
      </c>
      <c r="AX491" s="3140"/>
      <c r="BA491" s="267"/>
      <c r="BB491" s="267"/>
      <c r="BC491" s="4117">
        <f t="shared" si="165"/>
        <v>2357</v>
      </c>
      <c r="BD491" s="4117">
        <f t="shared" si="163"/>
        <v>0</v>
      </c>
      <c r="BE491" s="267"/>
      <c r="BF491" s="4788"/>
      <c r="BG491" s="267"/>
      <c r="BH491" s="267"/>
    </row>
    <row r="492" spans="1:60" ht="76.5">
      <c r="A492" s="2418" t="s">
        <v>11147</v>
      </c>
      <c r="B492" s="338" t="s">
        <v>8283</v>
      </c>
      <c r="C492" s="321">
        <v>0</v>
      </c>
      <c r="D492" s="323">
        <v>43416</v>
      </c>
      <c r="E492" s="3051" t="s">
        <v>6386</v>
      </c>
      <c r="F492" s="324" t="s">
        <v>5757</v>
      </c>
      <c r="G492" s="2621">
        <v>1.0247219999999999</v>
      </c>
      <c r="H492" s="332" t="s">
        <v>7861</v>
      </c>
      <c r="I492" s="339" t="s">
        <v>1433</v>
      </c>
      <c r="J492" s="322" t="s">
        <v>1434</v>
      </c>
      <c r="K492" s="340">
        <v>45608</v>
      </c>
      <c r="L492" s="339" t="s">
        <v>6004</v>
      </c>
      <c r="M492" s="322" t="s">
        <v>6005</v>
      </c>
      <c r="N492" s="339" t="s">
        <v>5686</v>
      </c>
      <c r="O492" s="332" t="s">
        <v>7869</v>
      </c>
      <c r="P492" s="345" t="s">
        <v>8821</v>
      </c>
      <c r="Q492" s="322" t="s">
        <v>6006</v>
      </c>
      <c r="R492" s="322" t="s">
        <v>6007</v>
      </c>
      <c r="S492" s="346"/>
      <c r="T492" s="347">
        <v>3822</v>
      </c>
      <c r="U492" s="326">
        <v>0</v>
      </c>
      <c r="V492" s="348">
        <f>T492-U492</f>
        <v>3822</v>
      </c>
      <c r="W492" s="347">
        <v>4269</v>
      </c>
      <c r="X492" s="326">
        <v>0</v>
      </c>
      <c r="Y492" s="348">
        <f>W492-X492</f>
        <v>4269</v>
      </c>
      <c r="Z492" s="347">
        <v>0</v>
      </c>
      <c r="AA492" s="326">
        <v>0</v>
      </c>
      <c r="AB492" s="348">
        <f>Z492-AA492</f>
        <v>0</v>
      </c>
      <c r="AC492" s="347"/>
      <c r="AD492" s="326"/>
      <c r="AE492" s="348"/>
      <c r="AF492" s="347"/>
      <c r="AG492" s="326"/>
      <c r="AH492" s="348"/>
      <c r="AI492" s="482">
        <f>T492+W492+Z492+AC492+AF492</f>
        <v>8091</v>
      </c>
      <c r="AJ492" s="326">
        <f>U492+X492+AA492+AD492+AG492</f>
        <v>0</v>
      </c>
      <c r="AK492" s="3917">
        <v>0</v>
      </c>
      <c r="AL492" s="349">
        <f t="shared" si="167"/>
        <v>8091</v>
      </c>
      <c r="AM492" s="2002" t="s">
        <v>1061</v>
      </c>
      <c r="AN492" s="3357">
        <v>44151</v>
      </c>
      <c r="AO492" s="695" t="s">
        <v>8284</v>
      </c>
      <c r="AP492" s="2722" t="s">
        <v>6894</v>
      </c>
      <c r="AQ492" s="2723">
        <v>1.047839</v>
      </c>
      <c r="AR492" s="333">
        <v>0</v>
      </c>
      <c r="AS492" s="330">
        <v>0</v>
      </c>
      <c r="AT492" s="330">
        <v>0</v>
      </c>
      <c r="AU492" s="330">
        <v>0</v>
      </c>
      <c r="AV492" s="330">
        <v>0</v>
      </c>
      <c r="AW492" s="3156">
        <f t="shared" si="168"/>
        <v>8274</v>
      </c>
      <c r="AX492" s="3140"/>
      <c r="BA492" s="267"/>
      <c r="BB492" s="267"/>
      <c r="BC492" s="4117">
        <f t="shared" si="165"/>
        <v>0</v>
      </c>
      <c r="BD492" s="4117">
        <f t="shared" si="163"/>
        <v>0</v>
      </c>
      <c r="BE492" s="267"/>
      <c r="BF492" s="4788"/>
      <c r="BG492" s="267"/>
      <c r="BH492" s="267"/>
    </row>
    <row r="493" spans="1:60" ht="89.25">
      <c r="A493" s="2418" t="s">
        <v>11003</v>
      </c>
      <c r="B493" s="338" t="s">
        <v>8354</v>
      </c>
      <c r="C493" s="321">
        <v>1</v>
      </c>
      <c r="D493" s="323" t="s">
        <v>8253</v>
      </c>
      <c r="E493" s="3058" t="s">
        <v>8170</v>
      </c>
      <c r="F493" s="324" t="s">
        <v>7957</v>
      </c>
      <c r="G493" s="2621">
        <v>1.0795220000000001</v>
      </c>
      <c r="H493" s="332" t="s">
        <v>8250</v>
      </c>
      <c r="I493" s="339" t="s">
        <v>8236</v>
      </c>
      <c r="J493" s="2399" t="s">
        <v>4306</v>
      </c>
      <c r="K493" s="340">
        <v>44177</v>
      </c>
      <c r="L493" s="339" t="s">
        <v>8237</v>
      </c>
      <c r="M493" s="322" t="s">
        <v>8239</v>
      </c>
      <c r="N493" s="339" t="s">
        <v>8240</v>
      </c>
      <c r="O493" s="322" t="s">
        <v>8239</v>
      </c>
      <c r="P493" s="345"/>
      <c r="Q493" s="6094" t="s">
        <v>5708</v>
      </c>
      <c r="R493" s="322" t="s">
        <v>5350</v>
      </c>
      <c r="S493" s="346"/>
      <c r="T493" s="347"/>
      <c r="U493" s="326"/>
      <c r="V493" s="348"/>
      <c r="W493" s="347"/>
      <c r="X493" s="326"/>
      <c r="Y493" s="348"/>
      <c r="Z493" s="347"/>
      <c r="AA493" s="326"/>
      <c r="AB493" s="348"/>
      <c r="AC493" s="347"/>
      <c r="AD493" s="326"/>
      <c r="AE493" s="348"/>
      <c r="AF493" s="347"/>
      <c r="AG493" s="326"/>
      <c r="AH493" s="348"/>
      <c r="AI493" s="482">
        <v>6437</v>
      </c>
      <c r="AJ493" s="326">
        <v>0</v>
      </c>
      <c r="AK493" s="3917">
        <v>0</v>
      </c>
      <c r="AL493" s="349">
        <f t="shared" si="167"/>
        <v>6437</v>
      </c>
      <c r="AM493" s="2002" t="s">
        <v>1061</v>
      </c>
      <c r="AN493" s="3357">
        <v>44154</v>
      </c>
      <c r="AO493" s="695" t="s">
        <v>8328</v>
      </c>
      <c r="AP493" s="3362" t="s">
        <v>7957</v>
      </c>
      <c r="AQ493" s="3555">
        <v>1.0795220000000001</v>
      </c>
      <c r="AR493" s="333"/>
      <c r="AS493" s="330"/>
      <c r="AT493" s="330"/>
      <c r="AU493" s="330"/>
      <c r="AV493" s="330"/>
      <c r="AW493" s="3156">
        <f t="shared" si="168"/>
        <v>6437</v>
      </c>
      <c r="AX493" s="3140"/>
      <c r="BC493" s="4117">
        <f t="shared" si="165"/>
        <v>0</v>
      </c>
      <c r="BD493" s="4117">
        <f t="shared" si="163"/>
        <v>0</v>
      </c>
    </row>
    <row r="494" spans="1:60" ht="51">
      <c r="A494" s="2418" t="s">
        <v>11147</v>
      </c>
      <c r="B494" s="338" t="s">
        <v>5721</v>
      </c>
      <c r="C494" s="321">
        <v>0</v>
      </c>
      <c r="D494" s="323">
        <v>43598</v>
      </c>
      <c r="E494" s="3051" t="s">
        <v>6386</v>
      </c>
      <c r="F494" s="324" t="s">
        <v>5757</v>
      </c>
      <c r="G494" s="2621">
        <v>1.0247219999999999</v>
      </c>
      <c r="H494" s="332" t="s">
        <v>6693</v>
      </c>
      <c r="I494" s="339" t="s">
        <v>1433</v>
      </c>
      <c r="J494" s="322" t="s">
        <v>1434</v>
      </c>
      <c r="K494" s="340">
        <v>45790</v>
      </c>
      <c r="L494" s="339" t="s">
        <v>6694</v>
      </c>
      <c r="M494" s="322" t="s">
        <v>6628</v>
      </c>
      <c r="N494" s="339" t="s">
        <v>6695</v>
      </c>
      <c r="O494" s="332" t="s">
        <v>6696</v>
      </c>
      <c r="P494" s="345"/>
      <c r="Q494" s="322" t="s">
        <v>6697</v>
      </c>
      <c r="R494" s="322" t="s">
        <v>5350</v>
      </c>
      <c r="S494" s="346"/>
      <c r="T494" s="347">
        <v>6886</v>
      </c>
      <c r="U494" s="326">
        <v>0</v>
      </c>
      <c r="V494" s="348">
        <f>T494-U494</f>
        <v>6886</v>
      </c>
      <c r="W494" s="347">
        <v>8608</v>
      </c>
      <c r="X494" s="326">
        <v>0</v>
      </c>
      <c r="Y494" s="348">
        <f>W494-X494</f>
        <v>8608</v>
      </c>
      <c r="Z494" s="347">
        <v>1721</v>
      </c>
      <c r="AA494" s="326">
        <v>0</v>
      </c>
      <c r="AB494" s="348">
        <f>Z494-AA494</f>
        <v>1721</v>
      </c>
      <c r="AC494" s="820"/>
      <c r="AD494" s="821"/>
      <c r="AE494" s="822"/>
      <c r="AF494" s="820"/>
      <c r="AG494" s="821"/>
      <c r="AH494" s="822"/>
      <c r="AI494" s="482">
        <f>T494+W494+Z494+AC494+AF494</f>
        <v>17215</v>
      </c>
      <c r="AJ494" s="326">
        <f>U494+X494+AA494+AD494+AG494</f>
        <v>0</v>
      </c>
      <c r="AK494" s="3917">
        <v>0</v>
      </c>
      <c r="AL494" s="349">
        <f t="shared" si="167"/>
        <v>17215</v>
      </c>
      <c r="AM494" s="2002" t="s">
        <v>1061</v>
      </c>
      <c r="AN494" s="3357">
        <v>44155</v>
      </c>
      <c r="AO494" s="695" t="s">
        <v>8329</v>
      </c>
      <c r="AP494" s="3362" t="s">
        <v>7957</v>
      </c>
      <c r="AQ494" s="3555">
        <v>1.0795220000000001</v>
      </c>
      <c r="AR494" s="333">
        <v>0</v>
      </c>
      <c r="AS494" s="330">
        <v>0</v>
      </c>
      <c r="AT494" s="330">
        <v>0</v>
      </c>
      <c r="AU494" s="849">
        <v>0</v>
      </c>
      <c r="AV494" s="849">
        <v>0</v>
      </c>
      <c r="AW494" s="3156">
        <f t="shared" si="168"/>
        <v>18136</v>
      </c>
      <c r="AX494" s="3140"/>
      <c r="BC494" s="4117">
        <f t="shared" si="165"/>
        <v>0</v>
      </c>
      <c r="BD494" s="4117">
        <f t="shared" si="163"/>
        <v>0</v>
      </c>
    </row>
    <row r="495" spans="1:60" ht="51">
      <c r="A495" s="5966" t="s">
        <v>11147</v>
      </c>
      <c r="B495" s="338" t="s">
        <v>8330</v>
      </c>
      <c r="C495" s="321">
        <v>0</v>
      </c>
      <c r="D495" s="323">
        <v>43692</v>
      </c>
      <c r="E495" s="829" t="s">
        <v>6386</v>
      </c>
      <c r="F495" s="830" t="s">
        <v>6893</v>
      </c>
      <c r="G495" s="2620">
        <v>1.047839</v>
      </c>
      <c r="H495" s="332" t="s">
        <v>7028</v>
      </c>
      <c r="I495" s="339" t="s">
        <v>1433</v>
      </c>
      <c r="J495" s="322" t="s">
        <v>1434</v>
      </c>
      <c r="K495" s="340">
        <v>45885</v>
      </c>
      <c r="L495" s="339" t="s">
        <v>7029</v>
      </c>
      <c r="M495" s="322" t="s">
        <v>1957</v>
      </c>
      <c r="N495" s="339" t="s">
        <v>7030</v>
      </c>
      <c r="O495" s="332" t="s">
        <v>7031</v>
      </c>
      <c r="P495" s="345"/>
      <c r="Q495" s="322" t="s">
        <v>7032</v>
      </c>
      <c r="R495" s="322" t="s">
        <v>7033</v>
      </c>
      <c r="S495" s="346"/>
      <c r="T495" s="347"/>
      <c r="U495" s="326"/>
      <c r="V495" s="348"/>
      <c r="W495" s="347"/>
      <c r="X495" s="326"/>
      <c r="Y495" s="348"/>
      <c r="Z495" s="347"/>
      <c r="AA495" s="326"/>
      <c r="AB495" s="348"/>
      <c r="AC495" s="347"/>
      <c r="AD495" s="326"/>
      <c r="AE495" s="348"/>
      <c r="AF495" s="347"/>
      <c r="AG495" s="326"/>
      <c r="AH495" s="348"/>
      <c r="AI495" s="482">
        <v>36156</v>
      </c>
      <c r="AJ495" s="326">
        <v>0</v>
      </c>
      <c r="AK495" s="3917">
        <v>0</v>
      </c>
      <c r="AL495" s="349">
        <f t="shared" si="167"/>
        <v>36156</v>
      </c>
      <c r="AM495" s="2002" t="s">
        <v>1061</v>
      </c>
      <c r="AN495" s="3357">
        <v>44158</v>
      </c>
      <c r="AO495" s="695" t="s">
        <v>8338</v>
      </c>
      <c r="AP495" s="3362" t="s">
        <v>7957</v>
      </c>
      <c r="AQ495" s="3555">
        <v>1.0795220000000001</v>
      </c>
      <c r="AR495" s="333"/>
      <c r="AS495" s="330"/>
      <c r="AT495" s="330"/>
      <c r="AU495" s="330"/>
      <c r="AV495" s="330"/>
      <c r="AW495" s="3156">
        <f t="shared" si="168"/>
        <v>37249</v>
      </c>
      <c r="AX495" s="3140"/>
      <c r="BA495" s="267"/>
      <c r="BB495" s="267"/>
      <c r="BC495" s="4117">
        <f t="shared" si="165"/>
        <v>0</v>
      </c>
      <c r="BD495" s="4117">
        <f t="shared" si="163"/>
        <v>0</v>
      </c>
    </row>
    <row r="496" spans="1:60" ht="77.25" thickBot="1">
      <c r="A496" s="6052" t="s">
        <v>11003</v>
      </c>
      <c r="B496" s="3748" t="s">
        <v>7994</v>
      </c>
      <c r="C496" s="4876">
        <v>0</v>
      </c>
      <c r="D496" s="4877">
        <v>44005</v>
      </c>
      <c r="E496" s="4878" t="s">
        <v>7151</v>
      </c>
      <c r="F496" s="4879" t="s">
        <v>6893</v>
      </c>
      <c r="G496" s="4880">
        <v>1.047839</v>
      </c>
      <c r="H496" s="4881" t="s">
        <v>7928</v>
      </c>
      <c r="I496" s="3753" t="s">
        <v>1433</v>
      </c>
      <c r="J496" s="4882" t="s">
        <v>1434</v>
      </c>
      <c r="K496" s="4883" t="s">
        <v>7886</v>
      </c>
      <c r="L496" s="3753" t="s">
        <v>7929</v>
      </c>
      <c r="M496" s="4882" t="s">
        <v>7838</v>
      </c>
      <c r="N496" s="3753" t="s">
        <v>7930</v>
      </c>
      <c r="O496" s="4881" t="s">
        <v>7931</v>
      </c>
      <c r="P496" s="3756"/>
      <c r="Q496" s="4882" t="s">
        <v>7932</v>
      </c>
      <c r="R496" s="4882" t="s">
        <v>7157</v>
      </c>
      <c r="S496" s="4884"/>
      <c r="T496" s="3758"/>
      <c r="U496" s="4885"/>
      <c r="V496" s="4886"/>
      <c r="W496" s="3758"/>
      <c r="X496" s="4885"/>
      <c r="Y496" s="4886"/>
      <c r="Z496" s="3758"/>
      <c r="AA496" s="4885"/>
      <c r="AB496" s="4886"/>
      <c r="AC496" s="3758"/>
      <c r="AD496" s="4885"/>
      <c r="AE496" s="4886"/>
      <c r="AF496" s="3758"/>
      <c r="AG496" s="4885"/>
      <c r="AH496" s="4886"/>
      <c r="AI496" s="3761">
        <v>2725</v>
      </c>
      <c r="AJ496" s="4885">
        <v>0</v>
      </c>
      <c r="AK496" s="4887">
        <v>0</v>
      </c>
      <c r="AL496" s="4888">
        <f t="shared" si="167"/>
        <v>2725</v>
      </c>
      <c r="AM496" s="3763" t="s">
        <v>1061</v>
      </c>
      <c r="AN496" s="4889">
        <v>44159</v>
      </c>
      <c r="AO496" s="4890" t="s">
        <v>8353</v>
      </c>
      <c r="AP496" s="3387" t="s">
        <v>7957</v>
      </c>
      <c r="AQ496" s="4753">
        <v>1.0795220000000001</v>
      </c>
      <c r="AR496" s="3768"/>
      <c r="AS496" s="4891"/>
      <c r="AT496" s="4891"/>
      <c r="AU496" s="4891"/>
      <c r="AV496" s="4891"/>
      <c r="AW496" s="4892">
        <f t="shared" si="168"/>
        <v>2807</v>
      </c>
      <c r="AX496" s="3771"/>
      <c r="AY496" s="4031" t="s">
        <v>8280</v>
      </c>
      <c r="AZ496" s="3857">
        <f>SUM(AW490:AW496)</f>
        <v>163582</v>
      </c>
      <c r="BA496" s="4028">
        <f>AZ496</f>
        <v>163582</v>
      </c>
      <c r="BB496" s="267"/>
      <c r="BC496" s="4117">
        <f t="shared" si="165"/>
        <v>0</v>
      </c>
      <c r="BD496" s="4117">
        <f t="shared" si="163"/>
        <v>0</v>
      </c>
      <c r="BE496" s="5071"/>
    </row>
    <row r="497" spans="1:57" ht="114.75">
      <c r="A497" s="6017" t="s">
        <v>11147</v>
      </c>
      <c r="B497" s="2298" t="s">
        <v>7772</v>
      </c>
      <c r="C497" s="2299">
        <v>0</v>
      </c>
      <c r="D497" s="2300">
        <v>43396</v>
      </c>
      <c r="E497" s="2300" t="s">
        <v>6386</v>
      </c>
      <c r="F497" s="2497" t="s">
        <v>5757</v>
      </c>
      <c r="G497" s="3110">
        <v>1.0247219999999999</v>
      </c>
      <c r="H497" s="2306" t="s">
        <v>5995</v>
      </c>
      <c r="I497" s="2303" t="s">
        <v>1433</v>
      </c>
      <c r="J497" s="2304" t="s">
        <v>1434</v>
      </c>
      <c r="K497" s="2305">
        <v>45588</v>
      </c>
      <c r="L497" s="2303" t="s">
        <v>5996</v>
      </c>
      <c r="M497" s="2304" t="s">
        <v>5997</v>
      </c>
      <c r="N497" s="2303" t="s">
        <v>5998</v>
      </c>
      <c r="O497" s="2306" t="s">
        <v>6291</v>
      </c>
      <c r="P497" s="2321"/>
      <c r="Q497" s="2304" t="s">
        <v>5999</v>
      </c>
      <c r="R497" s="2304" t="s">
        <v>6000</v>
      </c>
      <c r="S497" s="2607" t="s">
        <v>8306</v>
      </c>
      <c r="T497" s="2308">
        <v>178978</v>
      </c>
      <c r="U497" s="2309">
        <v>0</v>
      </c>
      <c r="V497" s="2310">
        <f>T497-U497</f>
        <v>178978</v>
      </c>
      <c r="W497" s="2308">
        <v>-46156</v>
      </c>
      <c r="X497" s="2309">
        <v>0</v>
      </c>
      <c r="Y497" s="2310">
        <f>W497-X497</f>
        <v>-46156</v>
      </c>
      <c r="Z497" s="2308">
        <v>32190</v>
      </c>
      <c r="AA497" s="2309">
        <v>0</v>
      </c>
      <c r="AB497" s="2310">
        <f>Z497-AA497</f>
        <v>32190</v>
      </c>
      <c r="AC497" s="2308"/>
      <c r="AD497" s="2309"/>
      <c r="AE497" s="2310"/>
      <c r="AF497" s="2308"/>
      <c r="AG497" s="2309"/>
      <c r="AH497" s="2310"/>
      <c r="AI497" s="2311">
        <v>185278</v>
      </c>
      <c r="AJ497" s="2309">
        <f>U497+X497+AA497+AD497+AG497</f>
        <v>0</v>
      </c>
      <c r="AK497" s="3914">
        <v>20266</v>
      </c>
      <c r="AL497" s="2312">
        <f t="shared" si="167"/>
        <v>165012</v>
      </c>
      <c r="AM497" s="3491" t="s">
        <v>1061</v>
      </c>
      <c r="AN497" s="3492">
        <v>44167</v>
      </c>
      <c r="AO497" s="2492" t="s">
        <v>8375</v>
      </c>
      <c r="AP497" s="2905" t="s">
        <v>7957</v>
      </c>
      <c r="AQ497" s="2906">
        <v>1.0795220000000001</v>
      </c>
      <c r="AR497" s="2313">
        <v>0</v>
      </c>
      <c r="AS497" s="2314">
        <v>0</v>
      </c>
      <c r="AT497" s="2314">
        <v>0</v>
      </c>
      <c r="AU497" s="2314">
        <v>0</v>
      </c>
      <c r="AV497" s="2314">
        <v>0</v>
      </c>
      <c r="AW497" s="2883">
        <f t="shared" si="168"/>
        <v>173836</v>
      </c>
      <c r="AX497" s="2899"/>
      <c r="BB497" s="267"/>
      <c r="BC497" s="4117">
        <f t="shared" si="165"/>
        <v>0</v>
      </c>
      <c r="BD497" s="4117">
        <f t="shared" si="163"/>
        <v>21350</v>
      </c>
      <c r="BE497" s="267"/>
    </row>
    <row r="498" spans="1:57" ht="76.5">
      <c r="A498" s="5981" t="s">
        <v>11003</v>
      </c>
      <c r="B498" s="1538" t="s">
        <v>7842</v>
      </c>
      <c r="C498" s="1509">
        <v>0</v>
      </c>
      <c r="D498" s="1510">
        <v>43936</v>
      </c>
      <c r="E498" s="4344" t="s">
        <v>7151</v>
      </c>
      <c r="F498" s="1511" t="s">
        <v>6893</v>
      </c>
      <c r="G498" s="2663">
        <v>1.047839</v>
      </c>
      <c r="H498" s="1513" t="s">
        <v>8373</v>
      </c>
      <c r="I498" s="1514" t="s">
        <v>1433</v>
      </c>
      <c r="J498" s="1515" t="s">
        <v>1434</v>
      </c>
      <c r="K498" s="1516">
        <v>46095</v>
      </c>
      <c r="L498" s="1514" t="s">
        <v>7791</v>
      </c>
      <c r="M498" s="1515" t="s">
        <v>7792</v>
      </c>
      <c r="N498" s="1514" t="s">
        <v>7793</v>
      </c>
      <c r="O498" s="1513" t="s">
        <v>7794</v>
      </c>
      <c r="P498" s="1517"/>
      <c r="Q498" s="1515" t="s">
        <v>7714</v>
      </c>
      <c r="R498" s="1515" t="s">
        <v>836</v>
      </c>
      <c r="S498" s="1518"/>
      <c r="T498" s="1519"/>
      <c r="U498" s="1504"/>
      <c r="V498" s="1520"/>
      <c r="W498" s="1519"/>
      <c r="X498" s="1504"/>
      <c r="Y498" s="1520"/>
      <c r="Z498" s="1519"/>
      <c r="AA498" s="1504"/>
      <c r="AB498" s="1520"/>
      <c r="AC498" s="1519"/>
      <c r="AD498" s="1504"/>
      <c r="AE498" s="1520"/>
      <c r="AF498" s="1519"/>
      <c r="AG498" s="1504"/>
      <c r="AH498" s="1520"/>
      <c r="AI498" s="1503">
        <v>17603</v>
      </c>
      <c r="AJ498" s="1504">
        <v>0</v>
      </c>
      <c r="AK498" s="3919">
        <v>0</v>
      </c>
      <c r="AL498" s="1505">
        <f t="shared" si="167"/>
        <v>17603</v>
      </c>
      <c r="AM498" s="1508" t="s">
        <v>1061</v>
      </c>
      <c r="AN498" s="3401">
        <v>44169</v>
      </c>
      <c r="AO498" s="3402" t="s">
        <v>8376</v>
      </c>
      <c r="AP498" s="2905" t="s">
        <v>7957</v>
      </c>
      <c r="AQ498" s="2906">
        <v>1.0795220000000001</v>
      </c>
      <c r="AR498" s="1506"/>
      <c r="AS498" s="1507"/>
      <c r="AT498" s="1507"/>
      <c r="AU498" s="1507"/>
      <c r="AV498" s="1507"/>
      <c r="AW498" s="3247">
        <f t="shared" si="168"/>
        <v>18135</v>
      </c>
      <c r="AX498" s="3146"/>
      <c r="BA498" s="267"/>
      <c r="BB498" s="267"/>
      <c r="BC498" s="4117">
        <f t="shared" si="165"/>
        <v>0</v>
      </c>
      <c r="BD498" s="4117">
        <f t="shared" si="163"/>
        <v>0</v>
      </c>
      <c r="BE498" s="267"/>
    </row>
    <row r="499" spans="1:57" ht="102">
      <c r="A499" s="6053" t="s">
        <v>11147</v>
      </c>
      <c r="B499" s="4893" t="s">
        <v>8168</v>
      </c>
      <c r="C499" s="4894">
        <v>0</v>
      </c>
      <c r="D499" s="4895">
        <v>43244</v>
      </c>
      <c r="E499" s="4895" t="s">
        <v>6385</v>
      </c>
      <c r="F499" s="4896" t="s">
        <v>5915</v>
      </c>
      <c r="G499" s="4897">
        <v>1.0119899999999999</v>
      </c>
      <c r="H499" s="4898" t="s">
        <v>5555</v>
      </c>
      <c r="I499" s="4899" t="s">
        <v>1433</v>
      </c>
      <c r="J499" s="4900" t="s">
        <v>1434</v>
      </c>
      <c r="K499" s="4901">
        <v>45436</v>
      </c>
      <c r="L499" s="4899" t="s">
        <v>5556</v>
      </c>
      <c r="M499" s="4900" t="s">
        <v>3613</v>
      </c>
      <c r="N499" s="4899" t="s">
        <v>5558</v>
      </c>
      <c r="O499" s="4898" t="s">
        <v>5557</v>
      </c>
      <c r="P499" s="4902" t="s">
        <v>8167</v>
      </c>
      <c r="Q499" s="4900" t="s">
        <v>5559</v>
      </c>
      <c r="R499" s="4900" t="s">
        <v>5560</v>
      </c>
      <c r="S499" s="4903" t="s">
        <v>7332</v>
      </c>
      <c r="T499" s="4904">
        <f>15980-1641-5036</f>
        <v>9303</v>
      </c>
      <c r="U499" s="4905">
        <v>71524</v>
      </c>
      <c r="V499" s="4906">
        <f>T499-U499</f>
        <v>-62221</v>
      </c>
      <c r="W499" s="4904">
        <v>1641</v>
      </c>
      <c r="X499" s="4905">
        <v>0</v>
      </c>
      <c r="Y499" s="4907">
        <f>W499-X499</f>
        <v>1641</v>
      </c>
      <c r="Z499" s="4904">
        <v>5036</v>
      </c>
      <c r="AA499" s="4905">
        <v>0</v>
      </c>
      <c r="AB499" s="4907">
        <f>Z499-AA499</f>
        <v>5036</v>
      </c>
      <c r="AC499" s="4904"/>
      <c r="AD499" s="4905"/>
      <c r="AE499" s="4907"/>
      <c r="AF499" s="4904"/>
      <c r="AG499" s="4905"/>
      <c r="AH499" s="4907"/>
      <c r="AI499" s="4908">
        <f>T499+W499+Z499+AC499+AF499</f>
        <v>15980</v>
      </c>
      <c r="AJ499" s="4909">
        <v>0</v>
      </c>
      <c r="AK499" s="4905">
        <f>U499+X499+AA499+AD499+AG499</f>
        <v>71524</v>
      </c>
      <c r="AL499" s="4910">
        <f t="shared" si="167"/>
        <v>-55544</v>
      </c>
      <c r="AM499" s="4911" t="s">
        <v>6447</v>
      </c>
      <c r="AN499" s="4912">
        <v>44169</v>
      </c>
      <c r="AO499" s="4913" t="s">
        <v>9026</v>
      </c>
      <c r="AP499" s="3251" t="s">
        <v>5915</v>
      </c>
      <c r="AQ499" s="4914">
        <v>1.0119899999999999</v>
      </c>
      <c r="AR499" s="4915">
        <v>0</v>
      </c>
      <c r="AS499" s="4916">
        <v>0</v>
      </c>
      <c r="AT499" s="4916">
        <v>0</v>
      </c>
      <c r="AU499" s="4916">
        <v>0</v>
      </c>
      <c r="AV499" s="4916">
        <v>0</v>
      </c>
      <c r="AW499" s="4917">
        <f t="shared" si="168"/>
        <v>-55544</v>
      </c>
      <c r="AX499" s="3148" t="s">
        <v>7633</v>
      </c>
      <c r="BA499" s="267"/>
      <c r="BB499" s="267"/>
      <c r="BC499" s="4117">
        <f t="shared" si="165"/>
        <v>0</v>
      </c>
      <c r="BD499" s="4117">
        <f t="shared" si="163"/>
        <v>71524</v>
      </c>
      <c r="BE499" s="4757">
        <f>AW499</f>
        <v>-55544</v>
      </c>
    </row>
    <row r="500" spans="1:57" ht="86.25">
      <c r="A500" s="5981" t="s">
        <v>11147</v>
      </c>
      <c r="B500" s="1538" t="s">
        <v>6701</v>
      </c>
      <c r="C500" s="1509">
        <v>0</v>
      </c>
      <c r="D500" s="1510">
        <v>42906</v>
      </c>
      <c r="E500" s="3053" t="s">
        <v>6385</v>
      </c>
      <c r="F500" s="1511" t="s">
        <v>4154</v>
      </c>
      <c r="G500" s="2663">
        <v>1.0111000000000001</v>
      </c>
      <c r="H500" s="1513" t="s">
        <v>6702</v>
      </c>
      <c r="I500" s="1514" t="s">
        <v>1433</v>
      </c>
      <c r="J500" s="1515" t="s">
        <v>1434</v>
      </c>
      <c r="K500" s="1516">
        <v>44362</v>
      </c>
      <c r="L500" s="1514" t="s">
        <v>4662</v>
      </c>
      <c r="M500" s="1515" t="s">
        <v>1957</v>
      </c>
      <c r="N500" s="1514" t="s">
        <v>8378</v>
      </c>
      <c r="O500" s="1513" t="s">
        <v>8377</v>
      </c>
      <c r="P500" s="1517" t="s">
        <v>4666</v>
      </c>
      <c r="Q500" s="1515" t="s">
        <v>4663</v>
      </c>
      <c r="R500" s="1515" t="s">
        <v>4664</v>
      </c>
      <c r="S500" s="1518"/>
      <c r="T500" s="1519">
        <v>125912</v>
      </c>
      <c r="U500" s="1504">
        <v>0</v>
      </c>
      <c r="V500" s="1520">
        <f>T500-U500</f>
        <v>125912</v>
      </c>
      <c r="W500" s="1519">
        <v>178360</v>
      </c>
      <c r="X500" s="1504">
        <v>0</v>
      </c>
      <c r="Y500" s="1520">
        <f>W500-X500</f>
        <v>178360</v>
      </c>
      <c r="Z500" s="1519">
        <v>35672</v>
      </c>
      <c r="AA500" s="1504">
        <v>0</v>
      </c>
      <c r="AB500" s="1520">
        <f>Z500-AA500</f>
        <v>35672</v>
      </c>
      <c r="AC500" s="1519"/>
      <c r="AD500" s="1504"/>
      <c r="AE500" s="1520"/>
      <c r="AF500" s="1519"/>
      <c r="AG500" s="1504"/>
      <c r="AH500" s="1520"/>
      <c r="AI500" s="1503">
        <f>T500+W500+Z500+AC500+AF500</f>
        <v>339944</v>
      </c>
      <c r="AJ500" s="1504">
        <f>U500+X500+AA500+AD500+AG500</f>
        <v>0</v>
      </c>
      <c r="AK500" s="3919">
        <v>0</v>
      </c>
      <c r="AL500" s="1505">
        <f t="shared" si="167"/>
        <v>339944</v>
      </c>
      <c r="AM500" s="1508" t="s">
        <v>1061</v>
      </c>
      <c r="AN500" s="3401">
        <v>44175</v>
      </c>
      <c r="AO500" s="3402" t="s">
        <v>8397</v>
      </c>
      <c r="AP500" s="2664" t="s">
        <v>7957</v>
      </c>
      <c r="AQ500" s="2806">
        <v>1.0795220000000001</v>
      </c>
      <c r="AR500" s="1506">
        <v>0</v>
      </c>
      <c r="AS500" s="1507">
        <v>0</v>
      </c>
      <c r="AT500" s="1507">
        <v>0</v>
      </c>
      <c r="AU500" s="1507">
        <v>0</v>
      </c>
      <c r="AV500" s="1507">
        <v>0</v>
      </c>
      <c r="AW500" s="3247">
        <f t="shared" si="168"/>
        <v>362948</v>
      </c>
      <c r="AX500" s="3146"/>
      <c r="BA500" s="267"/>
      <c r="BB500" s="267"/>
      <c r="BC500" s="4117">
        <f t="shared" si="165"/>
        <v>0</v>
      </c>
      <c r="BD500" s="4117">
        <f t="shared" si="163"/>
        <v>0</v>
      </c>
      <c r="BE500" s="267"/>
    </row>
    <row r="501" spans="1:57" ht="76.5">
      <c r="A501" s="5981" t="s">
        <v>11147</v>
      </c>
      <c r="B501" s="1538" t="s">
        <v>8440</v>
      </c>
      <c r="C501" s="1509">
        <v>0</v>
      </c>
      <c r="D501" s="1510">
        <v>43794</v>
      </c>
      <c r="E501" s="4344" t="s">
        <v>7151</v>
      </c>
      <c r="F501" s="1511" t="s">
        <v>6893</v>
      </c>
      <c r="G501" s="2663">
        <v>1.047839</v>
      </c>
      <c r="H501" s="1513" t="s">
        <v>7373</v>
      </c>
      <c r="I501" s="1514" t="s">
        <v>7374</v>
      </c>
      <c r="J501" s="4345" t="s">
        <v>4306</v>
      </c>
      <c r="K501" s="1516">
        <v>44525</v>
      </c>
      <c r="L501" s="1514" t="s">
        <v>7375</v>
      </c>
      <c r="M501" s="1515" t="s">
        <v>7376</v>
      </c>
      <c r="N501" s="1514" t="s">
        <v>7377</v>
      </c>
      <c r="O501" s="1513" t="s">
        <v>7378</v>
      </c>
      <c r="P501" s="1517"/>
      <c r="Q501" s="6094" t="s">
        <v>5708</v>
      </c>
      <c r="R501" s="1515" t="s">
        <v>5350</v>
      </c>
      <c r="S501" s="1518"/>
      <c r="T501" s="1519"/>
      <c r="U501" s="1504"/>
      <c r="V501" s="1520"/>
      <c r="W501" s="1519"/>
      <c r="X501" s="1504"/>
      <c r="Y501" s="1520"/>
      <c r="Z501" s="1519"/>
      <c r="AA501" s="1504"/>
      <c r="AB501" s="1520"/>
      <c r="AC501" s="1519"/>
      <c r="AD501" s="1504"/>
      <c r="AE501" s="1520"/>
      <c r="AF501" s="1519"/>
      <c r="AG501" s="1504"/>
      <c r="AH501" s="1520"/>
      <c r="AI501" s="1503">
        <v>6249</v>
      </c>
      <c r="AJ501" s="1504">
        <v>0</v>
      </c>
      <c r="AK501" s="3919">
        <v>0</v>
      </c>
      <c r="AL501" s="1505">
        <f t="shared" si="167"/>
        <v>6249</v>
      </c>
      <c r="AM501" s="1508" t="s">
        <v>2977</v>
      </c>
      <c r="AN501" s="3401">
        <v>44179</v>
      </c>
      <c r="AO501" s="3402" t="s">
        <v>8398</v>
      </c>
      <c r="AP501" s="2905" t="s">
        <v>7957</v>
      </c>
      <c r="AQ501" s="2906">
        <v>1.0795220000000001</v>
      </c>
      <c r="AR501" s="1506"/>
      <c r="AS501" s="1507"/>
      <c r="AT501" s="1507"/>
      <c r="AU501" s="1507"/>
      <c r="AV501" s="1507"/>
      <c r="AW501" s="3247">
        <f t="shared" si="168"/>
        <v>6438</v>
      </c>
      <c r="AX501" s="3146"/>
      <c r="BA501" s="267"/>
      <c r="BB501" s="267"/>
      <c r="BC501" s="4117">
        <f t="shared" si="165"/>
        <v>0</v>
      </c>
      <c r="BD501" s="4117">
        <f t="shared" si="163"/>
        <v>0</v>
      </c>
      <c r="BE501" s="267"/>
    </row>
    <row r="502" spans="1:57" ht="63.75">
      <c r="A502" s="6089" t="s">
        <v>11137</v>
      </c>
      <c r="B502" s="1538" t="s">
        <v>8438</v>
      </c>
      <c r="C502" s="1509">
        <v>0</v>
      </c>
      <c r="D502" s="1510">
        <v>42739</v>
      </c>
      <c r="E502" s="3053" t="s">
        <v>6385</v>
      </c>
      <c r="F502" s="1511" t="s">
        <v>4154</v>
      </c>
      <c r="G502" s="2663">
        <v>1.0111000000000001</v>
      </c>
      <c r="H502" s="1513" t="s">
        <v>8123</v>
      </c>
      <c r="I502" s="1514" t="s">
        <v>1433</v>
      </c>
      <c r="J502" s="1515" t="s">
        <v>1434</v>
      </c>
      <c r="K502" s="1516">
        <v>44200</v>
      </c>
      <c r="L502" s="1514" t="s">
        <v>4256</v>
      </c>
      <c r="M502" s="1515" t="s">
        <v>4257</v>
      </c>
      <c r="N502" s="1514" t="s">
        <v>4258</v>
      </c>
      <c r="O502" s="1513" t="s">
        <v>6336</v>
      </c>
      <c r="P502" s="1517"/>
      <c r="Q502" s="6094" t="s">
        <v>4259</v>
      </c>
      <c r="R502" s="1515" t="s">
        <v>2809</v>
      </c>
      <c r="S502" s="1518"/>
      <c r="T502" s="1519">
        <v>2278</v>
      </c>
      <c r="U502" s="1504">
        <v>0</v>
      </c>
      <c r="V502" s="1520">
        <f>T502-U502</f>
        <v>2278</v>
      </c>
      <c r="W502" s="1519">
        <v>2847</v>
      </c>
      <c r="X502" s="1504">
        <v>0</v>
      </c>
      <c r="Y502" s="1520">
        <f>W502-X502</f>
        <v>2847</v>
      </c>
      <c r="Z502" s="1519">
        <v>813</v>
      </c>
      <c r="AA502" s="1504">
        <v>0</v>
      </c>
      <c r="AB502" s="1520">
        <f>Z502-AA502</f>
        <v>813</v>
      </c>
      <c r="AC502" s="1519"/>
      <c r="AD502" s="1504"/>
      <c r="AE502" s="1520"/>
      <c r="AF502" s="1519"/>
      <c r="AG502" s="1504"/>
      <c r="AH502" s="1520"/>
      <c r="AI502" s="1503">
        <f>T502+W502+Z502+AC502+AF502</f>
        <v>5938</v>
      </c>
      <c r="AJ502" s="1504">
        <f>U502+X502+AA502+AD502+AG502</f>
        <v>0</v>
      </c>
      <c r="AK502" s="3919">
        <v>0</v>
      </c>
      <c r="AL502" s="1505">
        <f t="shared" si="167"/>
        <v>5938</v>
      </c>
      <c r="AM502" s="1508" t="s">
        <v>1061</v>
      </c>
      <c r="AN502" s="3401">
        <v>44186</v>
      </c>
      <c r="AO502" s="3402" t="s">
        <v>8419</v>
      </c>
      <c r="AP502" s="2664" t="s">
        <v>7957</v>
      </c>
      <c r="AQ502" s="2806">
        <v>1.0795220000000001</v>
      </c>
      <c r="AR502" s="1506">
        <v>0</v>
      </c>
      <c r="AS502" s="1507">
        <v>0</v>
      </c>
      <c r="AT502" s="1507">
        <v>0</v>
      </c>
      <c r="AU502" s="1507">
        <v>0</v>
      </c>
      <c r="AV502" s="1507">
        <v>0</v>
      </c>
      <c r="AW502" s="3247">
        <f t="shared" si="168"/>
        <v>6340</v>
      </c>
      <c r="AX502" s="3146"/>
      <c r="BA502" s="267"/>
      <c r="BB502" s="267"/>
      <c r="BC502" s="4117">
        <f t="shared" si="165"/>
        <v>0</v>
      </c>
      <c r="BD502" s="4117">
        <f t="shared" si="163"/>
        <v>0</v>
      </c>
      <c r="BE502" s="267"/>
    </row>
    <row r="503" spans="1:57" ht="140.25">
      <c r="A503" s="5981" t="s">
        <v>11003</v>
      </c>
      <c r="B503" s="1538" t="s">
        <v>7617</v>
      </c>
      <c r="C503" s="1509">
        <v>0</v>
      </c>
      <c r="D503" s="1510">
        <v>44180</v>
      </c>
      <c r="E503" s="4344" t="s">
        <v>8170</v>
      </c>
      <c r="F503" s="1511" t="s">
        <v>7957</v>
      </c>
      <c r="G503" s="2663">
        <v>1.0795220000000001</v>
      </c>
      <c r="H503" s="1513" t="s">
        <v>8417</v>
      </c>
      <c r="I503" s="1514" t="s">
        <v>1433</v>
      </c>
      <c r="J503" s="1515" t="s">
        <v>1434</v>
      </c>
      <c r="K503" s="1516">
        <v>45641</v>
      </c>
      <c r="L503" s="1514" t="s">
        <v>8413</v>
      </c>
      <c r="M503" s="1515" t="s">
        <v>8414</v>
      </c>
      <c r="N503" s="1514" t="s">
        <v>8415</v>
      </c>
      <c r="O503" s="1513" t="s">
        <v>8416</v>
      </c>
      <c r="P503" s="1517"/>
      <c r="Q503" s="1515" t="s">
        <v>8411</v>
      </c>
      <c r="R503" s="1515" t="s">
        <v>8412</v>
      </c>
      <c r="S503" s="1518"/>
      <c r="T503" s="1519"/>
      <c r="U503" s="1504"/>
      <c r="V503" s="1520"/>
      <c r="W503" s="1519"/>
      <c r="X503" s="1504"/>
      <c r="Y503" s="1520"/>
      <c r="Z503" s="1519"/>
      <c r="AA503" s="1504"/>
      <c r="AB503" s="1520"/>
      <c r="AC503" s="1519"/>
      <c r="AD503" s="1504"/>
      <c r="AE503" s="1520"/>
      <c r="AF503" s="1519"/>
      <c r="AG503" s="1504"/>
      <c r="AH503" s="1520"/>
      <c r="AI503" s="1503">
        <v>1755</v>
      </c>
      <c r="AJ503" s="1504">
        <v>0</v>
      </c>
      <c r="AK503" s="3919">
        <v>0</v>
      </c>
      <c r="AL503" s="1505">
        <f t="shared" si="167"/>
        <v>1755</v>
      </c>
      <c r="AM503" s="1508" t="s">
        <v>1061</v>
      </c>
      <c r="AN503" s="3401">
        <v>44186</v>
      </c>
      <c r="AO503" s="3402" t="s">
        <v>8420</v>
      </c>
      <c r="AP503" s="2905" t="s">
        <v>7957</v>
      </c>
      <c r="AQ503" s="2906">
        <v>1.0795220000000001</v>
      </c>
      <c r="AR503" s="1506"/>
      <c r="AS503" s="1507"/>
      <c r="AT503" s="1507"/>
      <c r="AU503" s="1507"/>
      <c r="AV503" s="1507"/>
      <c r="AW503" s="3247">
        <f t="shared" si="168"/>
        <v>1755</v>
      </c>
      <c r="AX503" s="3146"/>
      <c r="BA503" s="267"/>
      <c r="BB503" s="267"/>
      <c r="BC503" s="4117">
        <f t="shared" si="165"/>
        <v>0</v>
      </c>
      <c r="BD503" s="4117">
        <f t="shared" si="163"/>
        <v>0</v>
      </c>
      <c r="BE503" s="267"/>
    </row>
    <row r="504" spans="1:57" ht="76.5">
      <c r="A504" s="6054" t="s">
        <v>11147</v>
      </c>
      <c r="B504" s="4918" t="s">
        <v>8369</v>
      </c>
      <c r="C504" s="4919">
        <v>0</v>
      </c>
      <c r="D504" s="4920">
        <v>42914</v>
      </c>
      <c r="E504" s="3053" t="s">
        <v>6385</v>
      </c>
      <c r="F504" s="4921" t="s">
        <v>4154</v>
      </c>
      <c r="G504" s="4922">
        <v>1.0111000000000001</v>
      </c>
      <c r="H504" s="4923" t="s">
        <v>4719</v>
      </c>
      <c r="I504" s="4924" t="s">
        <v>1433</v>
      </c>
      <c r="J504" s="4925" t="s">
        <v>1434</v>
      </c>
      <c r="K504" s="4926">
        <v>44375</v>
      </c>
      <c r="L504" s="4924" t="s">
        <v>786</v>
      </c>
      <c r="M504" s="4925" t="s">
        <v>4720</v>
      </c>
      <c r="N504" s="4924" t="s">
        <v>4721</v>
      </c>
      <c r="O504" s="4923" t="s">
        <v>6236</v>
      </c>
      <c r="P504" s="4927"/>
      <c r="Q504" s="4925" t="s">
        <v>4655</v>
      </c>
      <c r="R504" s="4925" t="s">
        <v>4656</v>
      </c>
      <c r="S504" s="4928"/>
      <c r="T504" s="4278">
        <v>2912</v>
      </c>
      <c r="U504" s="4279">
        <v>0</v>
      </c>
      <c r="V504" s="4280">
        <f>T504-U504</f>
        <v>2912</v>
      </c>
      <c r="W504" s="4278">
        <v>3640</v>
      </c>
      <c r="X504" s="4279">
        <v>0</v>
      </c>
      <c r="Y504" s="4280">
        <f>W504-X504</f>
        <v>3640</v>
      </c>
      <c r="Z504" s="4278">
        <v>728</v>
      </c>
      <c r="AA504" s="4279">
        <v>0</v>
      </c>
      <c r="AB504" s="4280">
        <f>Z504-AA504</f>
        <v>728</v>
      </c>
      <c r="AC504" s="4278"/>
      <c r="AD504" s="4279"/>
      <c r="AE504" s="4280"/>
      <c r="AF504" s="4278"/>
      <c r="AG504" s="4279"/>
      <c r="AH504" s="4280"/>
      <c r="AI504" s="4929">
        <f>T504+W504+Z504+AC504+AF504</f>
        <v>7280</v>
      </c>
      <c r="AJ504" s="4279">
        <f>U504+X504+AA504+AD504+AG504</f>
        <v>0</v>
      </c>
      <c r="AK504" s="3919">
        <v>0</v>
      </c>
      <c r="AL504" s="1505">
        <f t="shared" si="167"/>
        <v>7280</v>
      </c>
      <c r="AM504" s="4930" t="s">
        <v>1061</v>
      </c>
      <c r="AN504" s="4931">
        <v>44186</v>
      </c>
      <c r="AO504" s="4932" t="s">
        <v>8421</v>
      </c>
      <c r="AP504" s="4933" t="s">
        <v>7957</v>
      </c>
      <c r="AQ504" s="4934">
        <v>1.0795220000000001</v>
      </c>
      <c r="AR504" s="1506">
        <v>0</v>
      </c>
      <c r="AS504" s="1507">
        <v>0</v>
      </c>
      <c r="AT504" s="1507">
        <v>0</v>
      </c>
      <c r="AU504" s="1507">
        <v>0</v>
      </c>
      <c r="AV504" s="1507">
        <v>0</v>
      </c>
      <c r="AW504" s="3247">
        <f t="shared" si="168"/>
        <v>7773</v>
      </c>
      <c r="AX504" s="3146"/>
      <c r="BA504" s="267"/>
      <c r="BB504" s="267"/>
      <c r="BC504" s="4117">
        <f t="shared" si="165"/>
        <v>0</v>
      </c>
      <c r="BD504" s="4117">
        <f t="shared" si="163"/>
        <v>0</v>
      </c>
      <c r="BE504" s="267"/>
    </row>
    <row r="505" spans="1:57" ht="113.25" thickBot="1">
      <c r="A505" s="6055" t="s">
        <v>11151</v>
      </c>
      <c r="B505" s="3723" t="s">
        <v>8070</v>
      </c>
      <c r="C505" s="4935">
        <v>0</v>
      </c>
      <c r="D505" s="4936">
        <v>42949</v>
      </c>
      <c r="E505" s="4936" t="s">
        <v>6385</v>
      </c>
      <c r="F505" s="4937" t="s">
        <v>6558</v>
      </c>
      <c r="G505" s="4938">
        <v>114</v>
      </c>
      <c r="H505" s="4939" t="s">
        <v>4785</v>
      </c>
      <c r="I505" s="3728" t="s">
        <v>4809</v>
      </c>
      <c r="J505" s="4940" t="s">
        <v>4306</v>
      </c>
      <c r="K505" s="4941">
        <v>43679</v>
      </c>
      <c r="L505" s="3728" t="s">
        <v>4787</v>
      </c>
      <c r="M505" s="4940" t="s">
        <v>4788</v>
      </c>
      <c r="N505" s="3728" t="s">
        <v>4789</v>
      </c>
      <c r="O505" s="4939" t="s">
        <v>6239</v>
      </c>
      <c r="P505" s="3731" t="s">
        <v>7756</v>
      </c>
      <c r="Q505" s="6108" t="s">
        <v>4332</v>
      </c>
      <c r="R505" s="4940" t="s">
        <v>1046</v>
      </c>
      <c r="S505" s="4942"/>
      <c r="T505" s="3758">
        <v>467</v>
      </c>
      <c r="U505" s="4943">
        <v>0</v>
      </c>
      <c r="V505" s="4944">
        <f>T505-U505</f>
        <v>467</v>
      </c>
      <c r="W505" s="3758">
        <v>584</v>
      </c>
      <c r="X505" s="4943">
        <v>0</v>
      </c>
      <c r="Y505" s="4944">
        <f>W505-X505</f>
        <v>584</v>
      </c>
      <c r="Z505" s="3758">
        <v>167</v>
      </c>
      <c r="AA505" s="4943">
        <v>0</v>
      </c>
      <c r="AB505" s="4944">
        <f>Z505-AA505</f>
        <v>167</v>
      </c>
      <c r="AC505" s="3758"/>
      <c r="AD505" s="4943"/>
      <c r="AE505" s="4944"/>
      <c r="AF505" s="3758"/>
      <c r="AG505" s="4943"/>
      <c r="AH505" s="4944"/>
      <c r="AI505" s="3739">
        <v>0</v>
      </c>
      <c r="AJ505" s="4945">
        <f>U505+X505+AA505+AD505+AG505</f>
        <v>0</v>
      </c>
      <c r="AK505" s="4946">
        <v>0</v>
      </c>
      <c r="AL505" s="4947">
        <f t="shared" si="167"/>
        <v>0</v>
      </c>
      <c r="AM505" s="4948" t="s">
        <v>8436</v>
      </c>
      <c r="AN505" s="4949">
        <v>44186</v>
      </c>
      <c r="AO505" s="4950" t="s">
        <v>8422</v>
      </c>
      <c r="AP505" s="4951" t="s">
        <v>7742</v>
      </c>
      <c r="AQ505" s="4952">
        <v>116.3</v>
      </c>
      <c r="AR505" s="3744">
        <v>0</v>
      </c>
      <c r="AS505" s="4953">
        <v>0</v>
      </c>
      <c r="AT505" s="4953">
        <v>0</v>
      </c>
      <c r="AU505" s="4953">
        <v>0</v>
      </c>
      <c r="AV505" s="4953">
        <v>0</v>
      </c>
      <c r="AW505" s="4954">
        <v>200</v>
      </c>
      <c r="AX505" s="3747"/>
      <c r="AY505" s="4029" t="s">
        <v>8374</v>
      </c>
      <c r="AZ505" s="3888">
        <f>SUM(AW497:AW505)</f>
        <v>521881</v>
      </c>
      <c r="BA505" s="4028">
        <f>AZ505</f>
        <v>521881</v>
      </c>
      <c r="BB505" s="267"/>
      <c r="BC505" s="4117">
        <f t="shared" si="165"/>
        <v>0</v>
      </c>
      <c r="BD505" s="4117">
        <f t="shared" si="163"/>
        <v>0</v>
      </c>
      <c r="BE505" s="267"/>
    </row>
    <row r="506" spans="1:57" ht="76.5">
      <c r="A506" s="5966" t="s">
        <v>11004</v>
      </c>
      <c r="B506" s="827" t="s">
        <v>8439</v>
      </c>
      <c r="C506" s="828">
        <v>0</v>
      </c>
      <c r="D506" s="829">
        <v>43524</v>
      </c>
      <c r="E506" s="829" t="s">
        <v>6386</v>
      </c>
      <c r="F506" s="830" t="s">
        <v>5757</v>
      </c>
      <c r="G506" s="2620">
        <v>1.0247219999999999</v>
      </c>
      <c r="H506" s="832" t="s">
        <v>6456</v>
      </c>
      <c r="I506" s="833" t="s">
        <v>1433</v>
      </c>
      <c r="J506" s="834" t="s">
        <v>1434</v>
      </c>
      <c r="K506" s="835">
        <v>45716</v>
      </c>
      <c r="L506" s="833" t="s">
        <v>6457</v>
      </c>
      <c r="M506" s="834" t="s">
        <v>5862</v>
      </c>
      <c r="N506" s="833" t="s">
        <v>3258</v>
      </c>
      <c r="O506" s="832" t="s">
        <v>6458</v>
      </c>
      <c r="P506" s="836"/>
      <c r="Q506" s="834" t="s">
        <v>6459</v>
      </c>
      <c r="R506" s="834" t="s">
        <v>4837</v>
      </c>
      <c r="S506" s="837"/>
      <c r="T506" s="838">
        <v>13271</v>
      </c>
      <c r="U506" s="839">
        <v>0</v>
      </c>
      <c r="V506" s="840">
        <f>T506-U506</f>
        <v>13271</v>
      </c>
      <c r="W506" s="838">
        <v>-5051</v>
      </c>
      <c r="X506" s="839">
        <v>0</v>
      </c>
      <c r="Y506" s="840">
        <f>W506-X506</f>
        <v>-5051</v>
      </c>
      <c r="Z506" s="838">
        <v>14381</v>
      </c>
      <c r="AA506" s="839">
        <v>0</v>
      </c>
      <c r="AB506" s="840">
        <f>Z506-AA506</f>
        <v>14381</v>
      </c>
      <c r="AC506" s="838"/>
      <c r="AD506" s="839"/>
      <c r="AE506" s="840"/>
      <c r="AF506" s="838"/>
      <c r="AG506" s="839"/>
      <c r="AH506" s="840"/>
      <c r="AI506" s="841">
        <f>T506+W506+Z506+AC506+AF506</f>
        <v>22601</v>
      </c>
      <c r="AJ506" s="839">
        <f>U506+X506+AA506+AD506+AG506</f>
        <v>0</v>
      </c>
      <c r="AK506" s="3906">
        <v>0</v>
      </c>
      <c r="AL506" s="869">
        <f t="shared" si="167"/>
        <v>22601</v>
      </c>
      <c r="AM506" s="3369" t="s">
        <v>1061</v>
      </c>
      <c r="AN506" s="3360">
        <v>44201</v>
      </c>
      <c r="AO506" s="3361" t="s">
        <v>8437</v>
      </c>
      <c r="AP506" s="3362" t="s">
        <v>7957</v>
      </c>
      <c r="AQ506" s="3555">
        <v>1.0795220000000001</v>
      </c>
      <c r="AR506" s="846">
        <v>0</v>
      </c>
      <c r="AS506" s="847">
        <v>0</v>
      </c>
      <c r="AT506" s="847">
        <v>0</v>
      </c>
      <c r="AU506" s="847">
        <v>0</v>
      </c>
      <c r="AV506" s="847">
        <v>0</v>
      </c>
      <c r="AW506" s="2872">
        <f>ROUND(AL506*AQ506/G506,0)</f>
        <v>23810</v>
      </c>
      <c r="AX506" s="2891"/>
      <c r="BA506" s="267"/>
      <c r="BB506" s="267"/>
      <c r="BC506" s="4117">
        <f t="shared" si="165"/>
        <v>0</v>
      </c>
      <c r="BD506" s="4117">
        <f t="shared" si="163"/>
        <v>0</v>
      </c>
      <c r="BE506" s="267"/>
    </row>
    <row r="507" spans="1:57" ht="76.5">
      <c r="A507" s="2418" t="s">
        <v>11004</v>
      </c>
      <c r="B507" s="338" t="s">
        <v>8443</v>
      </c>
      <c r="C507" s="321">
        <v>0</v>
      </c>
      <c r="D507" s="323">
        <v>43634</v>
      </c>
      <c r="E507" s="3051" t="s">
        <v>6386</v>
      </c>
      <c r="F507" s="324" t="s">
        <v>5757</v>
      </c>
      <c r="G507" s="2621">
        <v>1.0247219999999999</v>
      </c>
      <c r="H507" s="332" t="s">
        <v>6800</v>
      </c>
      <c r="I507" s="339" t="s">
        <v>6801</v>
      </c>
      <c r="J507" s="322" t="s">
        <v>4306</v>
      </c>
      <c r="K507" s="340">
        <v>44365</v>
      </c>
      <c r="L507" s="339" t="s">
        <v>6802</v>
      </c>
      <c r="M507" s="322" t="s">
        <v>6803</v>
      </c>
      <c r="N507" s="339" t="s">
        <v>6804</v>
      </c>
      <c r="O507" s="332" t="s">
        <v>8370</v>
      </c>
      <c r="P507" s="345"/>
      <c r="Q507" s="6094" t="s">
        <v>5708</v>
      </c>
      <c r="R507" s="322" t="s">
        <v>5350</v>
      </c>
      <c r="S507" s="346"/>
      <c r="T507" s="347">
        <v>2444</v>
      </c>
      <c r="U507" s="326">
        <v>0</v>
      </c>
      <c r="V507" s="348">
        <f>T507-U507</f>
        <v>2444</v>
      </c>
      <c r="W507" s="347">
        <v>3056</v>
      </c>
      <c r="X507" s="326">
        <v>0</v>
      </c>
      <c r="Y507" s="348">
        <f>W507-X507</f>
        <v>3056</v>
      </c>
      <c r="Z507" s="347">
        <v>611</v>
      </c>
      <c r="AA507" s="326">
        <v>0</v>
      </c>
      <c r="AB507" s="348">
        <f>Z507-AA507</f>
        <v>611</v>
      </c>
      <c r="AC507" s="347"/>
      <c r="AD507" s="326"/>
      <c r="AE507" s="348"/>
      <c r="AF507" s="347"/>
      <c r="AG507" s="326"/>
      <c r="AH507" s="348"/>
      <c r="AI507" s="482">
        <f>T507+W507+Z507+AC507+AF507</f>
        <v>6111</v>
      </c>
      <c r="AJ507" s="326">
        <f>U507+X507+AA507+AD507+AG507</f>
        <v>0</v>
      </c>
      <c r="AK507" s="3917">
        <v>0</v>
      </c>
      <c r="AL507" s="349">
        <f t="shared" si="167"/>
        <v>6111</v>
      </c>
      <c r="AM507" s="2002" t="s">
        <v>1061</v>
      </c>
      <c r="AN507" s="3357">
        <v>44202</v>
      </c>
      <c r="AO507" s="695" t="s">
        <v>8442</v>
      </c>
      <c r="AP507" s="2722" t="s">
        <v>7957</v>
      </c>
      <c r="AQ507" s="2723">
        <v>1.0795220000000001</v>
      </c>
      <c r="AR507" s="333">
        <v>0</v>
      </c>
      <c r="AS507" s="330">
        <v>0</v>
      </c>
      <c r="AT507" s="330">
        <v>0</v>
      </c>
      <c r="AU507" s="330">
        <v>0</v>
      </c>
      <c r="AV507" s="330">
        <v>0</v>
      </c>
      <c r="AW507" s="3156">
        <f>ROUND(AL507*AQ507/G507,0)</f>
        <v>6438</v>
      </c>
      <c r="AX507" s="3140"/>
      <c r="BA507" s="267"/>
      <c r="BB507" s="267"/>
      <c r="BC507" s="4117">
        <f t="shared" si="165"/>
        <v>0</v>
      </c>
      <c r="BD507" s="4117">
        <f t="shared" si="163"/>
        <v>0</v>
      </c>
      <c r="BE507" s="267"/>
    </row>
    <row r="508" spans="1:57" ht="89.25">
      <c r="A508" s="2418" t="s">
        <v>11003</v>
      </c>
      <c r="B508" s="338" t="s">
        <v>8463</v>
      </c>
      <c r="C508" s="321">
        <v>0</v>
      </c>
      <c r="D508" s="323">
        <v>44025</v>
      </c>
      <c r="E508" s="3058" t="s">
        <v>7151</v>
      </c>
      <c r="F508" s="324" t="s">
        <v>6893</v>
      </c>
      <c r="G508" s="2621">
        <v>1.047839</v>
      </c>
      <c r="H508" s="332" t="s">
        <v>8262</v>
      </c>
      <c r="I508" s="339" t="s">
        <v>7952</v>
      </c>
      <c r="J508" s="2399" t="s">
        <v>4306</v>
      </c>
      <c r="K508" s="340">
        <v>44755</v>
      </c>
      <c r="L508" s="339" t="s">
        <v>7953</v>
      </c>
      <c r="M508" s="322" t="s">
        <v>7954</v>
      </c>
      <c r="N508" s="339" t="s">
        <v>7955</v>
      </c>
      <c r="O508" s="332" t="s">
        <v>7956</v>
      </c>
      <c r="P508" s="345"/>
      <c r="Q508" s="6094" t="s">
        <v>5708</v>
      </c>
      <c r="R508" s="322" t="s">
        <v>5350</v>
      </c>
      <c r="S508" s="346"/>
      <c r="T508" s="347"/>
      <c r="U508" s="326"/>
      <c r="V508" s="348"/>
      <c r="W508" s="347"/>
      <c r="X508" s="326"/>
      <c r="Y508" s="348"/>
      <c r="Z508" s="347"/>
      <c r="AA508" s="326"/>
      <c r="AB508" s="348"/>
      <c r="AC508" s="347"/>
      <c r="AD508" s="326"/>
      <c r="AE508" s="348"/>
      <c r="AF508" s="347"/>
      <c r="AG508" s="326"/>
      <c r="AH508" s="348"/>
      <c r="AI508" s="482">
        <v>6249</v>
      </c>
      <c r="AJ508" s="326">
        <v>0</v>
      </c>
      <c r="AK508" s="3917">
        <v>0</v>
      </c>
      <c r="AL508" s="349">
        <f t="shared" si="167"/>
        <v>6249</v>
      </c>
      <c r="AM508" s="2002" t="s">
        <v>1061</v>
      </c>
      <c r="AN508" s="3357" t="s">
        <v>8467</v>
      </c>
      <c r="AO508" s="695" t="s">
        <v>8475</v>
      </c>
      <c r="AP508" s="3362" t="s">
        <v>7957</v>
      </c>
      <c r="AQ508" s="3555">
        <v>1.0795220000000001</v>
      </c>
      <c r="AR508" s="333"/>
      <c r="AS508" s="330"/>
      <c r="AT508" s="330"/>
      <c r="AU508" s="330"/>
      <c r="AV508" s="330"/>
      <c r="AW508" s="3156">
        <f>ROUND(AL508*AQ508/G508,0)</f>
        <v>6438</v>
      </c>
      <c r="AX508" s="3140"/>
      <c r="BA508" s="267"/>
      <c r="BB508" s="267"/>
      <c r="BC508" s="4117">
        <f t="shared" si="165"/>
        <v>0</v>
      </c>
      <c r="BD508" s="4117">
        <f t="shared" si="163"/>
        <v>0</v>
      </c>
      <c r="BE508" s="267"/>
    </row>
    <row r="509" spans="1:57" ht="120.75" customHeight="1">
      <c r="A509" s="5964" t="s">
        <v>11153</v>
      </c>
      <c r="B509" s="338" t="s">
        <v>8468</v>
      </c>
      <c r="C509" s="321">
        <v>0</v>
      </c>
      <c r="D509" s="323">
        <v>42949</v>
      </c>
      <c r="E509" s="3051" t="s">
        <v>6385</v>
      </c>
      <c r="F509" s="4379" t="s">
        <v>6558</v>
      </c>
      <c r="G509" s="4380">
        <v>114</v>
      </c>
      <c r="H509" s="332" t="s">
        <v>4785</v>
      </c>
      <c r="I509" s="339" t="s">
        <v>4809</v>
      </c>
      <c r="J509" s="322" t="s">
        <v>4306</v>
      </c>
      <c r="K509" s="340">
        <v>43679</v>
      </c>
      <c r="L509" s="339" t="s">
        <v>4787</v>
      </c>
      <c r="M509" s="322" t="s">
        <v>4788</v>
      </c>
      <c r="N509" s="339" t="s">
        <v>4789</v>
      </c>
      <c r="O509" s="332" t="s">
        <v>6239</v>
      </c>
      <c r="P509" s="345" t="s">
        <v>7756</v>
      </c>
      <c r="Q509" s="6094" t="s">
        <v>4332</v>
      </c>
      <c r="R509" s="322" t="s">
        <v>1046</v>
      </c>
      <c r="S509" s="346"/>
      <c r="T509" s="347">
        <v>467</v>
      </c>
      <c r="U509" s="326">
        <v>0</v>
      </c>
      <c r="V509" s="348">
        <f>T509-U509</f>
        <v>467</v>
      </c>
      <c r="W509" s="347">
        <v>584</v>
      </c>
      <c r="X509" s="326">
        <v>0</v>
      </c>
      <c r="Y509" s="348">
        <f>W509-X509</f>
        <v>584</v>
      </c>
      <c r="Z509" s="347">
        <v>167</v>
      </c>
      <c r="AA509" s="326">
        <v>0</v>
      </c>
      <c r="AB509" s="348">
        <f>Z509-AA509</f>
        <v>167</v>
      </c>
      <c r="AC509" s="347"/>
      <c r="AD509" s="326"/>
      <c r="AE509" s="348"/>
      <c r="AF509" s="347"/>
      <c r="AG509" s="326"/>
      <c r="AH509" s="348"/>
      <c r="AI509" s="482">
        <f>T509+W509+Z509+AC509+AF509+19+16</f>
        <v>1253</v>
      </c>
      <c r="AJ509" s="326">
        <f>U509+X509+AA509+AD509+AG509</f>
        <v>0</v>
      </c>
      <c r="AK509" s="3917">
        <v>0</v>
      </c>
      <c r="AL509" s="349">
        <f t="shared" si="167"/>
        <v>1253</v>
      </c>
      <c r="AM509" s="4737" t="s">
        <v>8469</v>
      </c>
      <c r="AN509" s="3357" t="s">
        <v>8466</v>
      </c>
      <c r="AO509" s="695" t="s">
        <v>8476</v>
      </c>
      <c r="AP509" s="3222" t="s">
        <v>7742</v>
      </c>
      <c r="AQ509" s="3223">
        <v>116.3</v>
      </c>
      <c r="AR509" s="333">
        <v>0</v>
      </c>
      <c r="AS509" s="330">
        <v>0</v>
      </c>
      <c r="AT509" s="330">
        <v>0</v>
      </c>
      <c r="AU509" s="330">
        <v>0</v>
      </c>
      <c r="AV509" s="330">
        <v>0</v>
      </c>
      <c r="AW509" s="3156">
        <f>ROUND(AL509*AQ509/G509,0)-278-200-400-200</f>
        <v>200</v>
      </c>
      <c r="AX509" s="3140"/>
      <c r="BA509" s="267"/>
      <c r="BB509" s="267"/>
      <c r="BC509" s="4117">
        <f t="shared" si="165"/>
        <v>0</v>
      </c>
      <c r="BD509" s="4117">
        <f t="shared" si="163"/>
        <v>0</v>
      </c>
      <c r="BE509" s="267"/>
    </row>
    <row r="510" spans="1:57" ht="89.25">
      <c r="A510" s="2418" t="s">
        <v>11003</v>
      </c>
      <c r="B510" s="338" t="s">
        <v>8477</v>
      </c>
      <c r="C510" s="321">
        <v>0</v>
      </c>
      <c r="D510" s="323">
        <v>44075</v>
      </c>
      <c r="E510" s="3058" t="s">
        <v>7972</v>
      </c>
      <c r="F510" s="324" t="s">
        <v>7957</v>
      </c>
      <c r="G510" s="2621">
        <v>1.0795220000000001</v>
      </c>
      <c r="H510" s="332" t="s">
        <v>8266</v>
      </c>
      <c r="I510" s="339" t="s">
        <v>8022</v>
      </c>
      <c r="J510" s="2399" t="s">
        <v>4306</v>
      </c>
      <c r="K510" s="340">
        <v>44805</v>
      </c>
      <c r="L510" s="339" t="s">
        <v>8023</v>
      </c>
      <c r="M510" s="322" t="s">
        <v>5158</v>
      </c>
      <c r="N510" s="339" t="s">
        <v>8026</v>
      </c>
      <c r="O510" s="332" t="s">
        <v>8024</v>
      </c>
      <c r="P510" s="345" t="s">
        <v>8008</v>
      </c>
      <c r="Q510" s="6094" t="s">
        <v>5708</v>
      </c>
      <c r="R510" s="322" t="s">
        <v>5350</v>
      </c>
      <c r="S510" s="346"/>
      <c r="T510" s="347"/>
      <c r="U510" s="326"/>
      <c r="V510" s="348"/>
      <c r="W510" s="347"/>
      <c r="X510" s="326"/>
      <c r="Y510" s="348"/>
      <c r="Z510" s="347"/>
      <c r="AA510" s="326"/>
      <c r="AB510" s="348"/>
      <c r="AC510" s="347"/>
      <c r="AD510" s="326"/>
      <c r="AE510" s="348"/>
      <c r="AF510" s="347"/>
      <c r="AG510" s="326"/>
      <c r="AH510" s="348"/>
      <c r="AI510" s="482">
        <v>5485</v>
      </c>
      <c r="AJ510" s="326">
        <v>0</v>
      </c>
      <c r="AK510" s="3917">
        <v>0</v>
      </c>
      <c r="AL510" s="349">
        <f t="shared" si="167"/>
        <v>5485</v>
      </c>
      <c r="AM510" s="2002" t="s">
        <v>1061</v>
      </c>
      <c r="AN510" s="3357">
        <v>44210</v>
      </c>
      <c r="AO510" s="695" t="s">
        <v>8478</v>
      </c>
      <c r="AP510" s="3362" t="s">
        <v>7957</v>
      </c>
      <c r="AQ510" s="3555">
        <v>1.0795220000000001</v>
      </c>
      <c r="AR510" s="333"/>
      <c r="AS510" s="330"/>
      <c r="AT510" s="330"/>
      <c r="AU510" s="330"/>
      <c r="AV510" s="330"/>
      <c r="AW510" s="3156">
        <f>ROUND(AL510*AQ510/G510,0)</f>
        <v>5485</v>
      </c>
      <c r="AX510" s="3140"/>
      <c r="BA510" s="267"/>
      <c r="BB510" s="267"/>
      <c r="BC510" s="4117">
        <f t="shared" si="165"/>
        <v>0</v>
      </c>
      <c r="BD510" s="4117">
        <f t="shared" si="163"/>
        <v>0</v>
      </c>
      <c r="BE510" s="267"/>
    </row>
    <row r="511" spans="1:57" ht="51">
      <c r="A511" s="6056" t="s">
        <v>11004</v>
      </c>
      <c r="B511" s="4970" t="s">
        <v>5725</v>
      </c>
      <c r="C511" s="4971">
        <v>0</v>
      </c>
      <c r="D511" s="4972">
        <v>43641</v>
      </c>
      <c r="E511" s="4972" t="s">
        <v>6386</v>
      </c>
      <c r="F511" s="4973" t="s">
        <v>5757</v>
      </c>
      <c r="G511" s="4974">
        <v>1.0247219999999999</v>
      </c>
      <c r="H511" s="4975" t="s">
        <v>6836</v>
      </c>
      <c r="I511" s="4976" t="s">
        <v>1433</v>
      </c>
      <c r="J511" s="4977" t="s">
        <v>1434</v>
      </c>
      <c r="K511" s="4978">
        <v>45833</v>
      </c>
      <c r="L511" s="4976" t="s">
        <v>6837</v>
      </c>
      <c r="M511" s="4977" t="s">
        <v>6838</v>
      </c>
      <c r="N511" s="4976" t="s">
        <v>6840</v>
      </c>
      <c r="O511" s="4975" t="s">
        <v>6839</v>
      </c>
      <c r="P511" s="4979" t="s">
        <v>8462</v>
      </c>
      <c r="Q511" s="4977" t="s">
        <v>6841</v>
      </c>
      <c r="R511" s="4977" t="s">
        <v>6842</v>
      </c>
      <c r="S511" s="4980" t="s">
        <v>6843</v>
      </c>
      <c r="T511" s="4981">
        <v>6886</v>
      </c>
      <c r="U511" s="4982">
        <v>2002</v>
      </c>
      <c r="V511" s="4983">
        <f>T511-U511</f>
        <v>4884</v>
      </c>
      <c r="W511" s="4981">
        <v>8608</v>
      </c>
      <c r="X511" s="4982">
        <v>0</v>
      </c>
      <c r="Y511" s="4983">
        <f>W511-X511</f>
        <v>8608</v>
      </c>
      <c r="Z511" s="4981">
        <v>1721</v>
      </c>
      <c r="AA511" s="4982">
        <v>0</v>
      </c>
      <c r="AB511" s="4983">
        <f>Z511-AA511</f>
        <v>1721</v>
      </c>
      <c r="AC511" s="4984"/>
      <c r="AD511" s="4985"/>
      <c r="AE511" s="4986"/>
      <c r="AF511" s="4984"/>
      <c r="AG511" s="4985"/>
      <c r="AH511" s="4986"/>
      <c r="AI511" s="4987">
        <f>T511+W511+Z511+AC511+AF511</f>
        <v>17215</v>
      </c>
      <c r="AJ511" s="4988">
        <v>0</v>
      </c>
      <c r="AK511" s="4982">
        <f>U511+X511+AA511+AD511+AG511</f>
        <v>2002</v>
      </c>
      <c r="AL511" s="4989">
        <f t="shared" si="167"/>
        <v>15213</v>
      </c>
      <c r="AM511" s="4990" t="s">
        <v>1061</v>
      </c>
      <c r="AN511" s="4991" t="s">
        <v>8482</v>
      </c>
      <c r="AO511" s="4999" t="s">
        <v>8481</v>
      </c>
      <c r="AP511" s="4992" t="s">
        <v>7957</v>
      </c>
      <c r="AQ511" s="4993">
        <v>1.0795220000000001</v>
      </c>
      <c r="AR511" s="4994">
        <v>0</v>
      </c>
      <c r="AS511" s="4995">
        <v>0</v>
      </c>
      <c r="AT511" s="4995">
        <v>0</v>
      </c>
      <c r="AU511" s="4996">
        <v>0</v>
      </c>
      <c r="AV511" s="4996">
        <v>0</v>
      </c>
      <c r="AW511" s="4997">
        <f>ROUND(AL511*AQ511/G511,0)</f>
        <v>16027</v>
      </c>
      <c r="AX511" s="4998"/>
      <c r="AY511" s="3772"/>
      <c r="AZ511" s="3773"/>
      <c r="BA511" s="267"/>
      <c r="BB511" s="267"/>
      <c r="BC511" s="4117">
        <f t="shared" si="165"/>
        <v>0</v>
      </c>
      <c r="BD511" s="4117">
        <f t="shared" si="163"/>
        <v>2109</v>
      </c>
      <c r="BE511" s="267"/>
    </row>
    <row r="512" spans="1:57" ht="89.25">
      <c r="A512" s="2418" t="s">
        <v>11003</v>
      </c>
      <c r="B512" s="338" t="s">
        <v>8483</v>
      </c>
      <c r="C512" s="321">
        <v>0</v>
      </c>
      <c r="D512" s="323">
        <v>43853</v>
      </c>
      <c r="E512" s="3058" t="s">
        <v>7151</v>
      </c>
      <c r="F512" s="324" t="s">
        <v>6893</v>
      </c>
      <c r="G512" s="2621">
        <v>1.047839</v>
      </c>
      <c r="H512" s="332" t="s">
        <v>7572</v>
      </c>
      <c r="I512" s="339" t="s">
        <v>1433</v>
      </c>
      <c r="J512" s="322" t="s">
        <v>1434</v>
      </c>
      <c r="K512" s="340">
        <v>45314</v>
      </c>
      <c r="L512" s="339" t="s">
        <v>7570</v>
      </c>
      <c r="M512" s="322" t="s">
        <v>7571</v>
      </c>
      <c r="N512" s="339" t="s">
        <v>7564</v>
      </c>
      <c r="O512" s="332" t="s">
        <v>7566</v>
      </c>
      <c r="P512" s="667" t="s">
        <v>8480</v>
      </c>
      <c r="Q512" s="322" t="s">
        <v>7563</v>
      </c>
      <c r="R512" s="322" t="s">
        <v>7562</v>
      </c>
      <c r="S512" s="346"/>
      <c r="T512" s="347"/>
      <c r="U512" s="326"/>
      <c r="V512" s="348"/>
      <c r="W512" s="347"/>
      <c r="X512" s="326"/>
      <c r="Y512" s="348"/>
      <c r="Z512" s="347"/>
      <c r="AA512" s="326"/>
      <c r="AB512" s="348"/>
      <c r="AC512" s="347"/>
      <c r="AD512" s="326"/>
      <c r="AE512" s="348"/>
      <c r="AF512" s="347"/>
      <c r="AG512" s="326"/>
      <c r="AH512" s="348"/>
      <c r="AI512" s="482">
        <v>8977</v>
      </c>
      <c r="AJ512" s="326">
        <v>0</v>
      </c>
      <c r="AK512" s="3917">
        <v>0</v>
      </c>
      <c r="AL512" s="349">
        <f t="shared" si="167"/>
        <v>8977</v>
      </c>
      <c r="AM512" s="2002" t="s">
        <v>1061</v>
      </c>
      <c r="AN512" s="3357">
        <v>44215</v>
      </c>
      <c r="AO512" s="695" t="s">
        <v>8487</v>
      </c>
      <c r="AP512" s="3362" t="s">
        <v>7957</v>
      </c>
      <c r="AQ512" s="3555">
        <v>1.0795220000000001</v>
      </c>
      <c r="AR512" s="333"/>
      <c r="AS512" s="330"/>
      <c r="AT512" s="330"/>
      <c r="AU512" s="330"/>
      <c r="AV512" s="330"/>
      <c r="AW512" s="3156">
        <f>ROUND(AL512*AQ512/G512,0)</f>
        <v>9248</v>
      </c>
      <c r="AX512" s="3140"/>
      <c r="BA512" s="267"/>
      <c r="BB512" s="267"/>
      <c r="BC512" s="4117">
        <f t="shared" si="165"/>
        <v>0</v>
      </c>
      <c r="BD512" s="4117">
        <f t="shared" si="163"/>
        <v>0</v>
      </c>
      <c r="BE512" s="267"/>
    </row>
    <row r="513" spans="1:57" ht="105.75" thickBot="1">
      <c r="A513" s="5991" t="s">
        <v>11004</v>
      </c>
      <c r="B513" s="3748" t="s">
        <v>8497</v>
      </c>
      <c r="C513" s="5000">
        <v>0</v>
      </c>
      <c r="D513" s="5001">
        <v>43677</v>
      </c>
      <c r="E513" s="3792" t="s">
        <v>6386</v>
      </c>
      <c r="F513" s="3793" t="s">
        <v>6893</v>
      </c>
      <c r="G513" s="5002">
        <v>1.047839</v>
      </c>
      <c r="H513" s="5003" t="s">
        <v>6976</v>
      </c>
      <c r="I513" s="3753" t="s">
        <v>6977</v>
      </c>
      <c r="J513" s="5004" t="s">
        <v>4306</v>
      </c>
      <c r="K513" s="5005">
        <v>44408</v>
      </c>
      <c r="L513" s="3753" t="s">
        <v>313</v>
      </c>
      <c r="M513" s="5004" t="s">
        <v>6002</v>
      </c>
      <c r="N513" s="3753" t="s">
        <v>6978</v>
      </c>
      <c r="O513" s="5003" t="s">
        <v>8496</v>
      </c>
      <c r="P513" s="3756" t="s">
        <v>7778</v>
      </c>
      <c r="Q513" s="6108" t="s">
        <v>5708</v>
      </c>
      <c r="R513" s="5004" t="s">
        <v>5350</v>
      </c>
      <c r="S513" s="5006"/>
      <c r="T513" s="3758"/>
      <c r="U513" s="4943"/>
      <c r="V513" s="4944"/>
      <c r="W513" s="3758"/>
      <c r="X513" s="4943"/>
      <c r="Y513" s="4944"/>
      <c r="Z513" s="3758"/>
      <c r="AA513" s="4943"/>
      <c r="AB513" s="4944"/>
      <c r="AC513" s="3758"/>
      <c r="AD513" s="4943"/>
      <c r="AE513" s="4944"/>
      <c r="AF513" s="3758"/>
      <c r="AG513" s="4943"/>
      <c r="AH513" s="4944"/>
      <c r="AI513" s="3761">
        <v>5624</v>
      </c>
      <c r="AJ513" s="4943">
        <v>0</v>
      </c>
      <c r="AK513" s="5007">
        <v>0</v>
      </c>
      <c r="AL513" s="5008">
        <f t="shared" si="167"/>
        <v>5624</v>
      </c>
      <c r="AM513" s="3763" t="s">
        <v>1061</v>
      </c>
      <c r="AN513" s="5009">
        <v>44224</v>
      </c>
      <c r="AO513" s="5010" t="s">
        <v>8503</v>
      </c>
      <c r="AP513" s="3387" t="s">
        <v>7957</v>
      </c>
      <c r="AQ513" s="4753">
        <v>1.0795220000000001</v>
      </c>
      <c r="AR513" s="3768"/>
      <c r="AS513" s="5011"/>
      <c r="AT513" s="5011"/>
      <c r="AU513" s="5011"/>
      <c r="AV513" s="5011"/>
      <c r="AW513" s="5012">
        <f>ROUND(AL513*AQ513/G513,0)</f>
        <v>5794</v>
      </c>
      <c r="AX513" s="3771"/>
      <c r="AY513" s="4031" t="s">
        <v>8504</v>
      </c>
      <c r="AZ513" s="3857">
        <f>SUM(AW506:AW513)</f>
        <v>73440</v>
      </c>
      <c r="BA513" s="4028">
        <f>AZ513</f>
        <v>73440</v>
      </c>
      <c r="BB513" s="267"/>
      <c r="BC513" s="4117">
        <f t="shared" si="165"/>
        <v>0</v>
      </c>
      <c r="BD513" s="4117">
        <f t="shared" si="163"/>
        <v>0</v>
      </c>
      <c r="BE513" s="267"/>
    </row>
    <row r="514" spans="1:57" ht="76.5">
      <c r="A514" s="5978" t="s">
        <v>11021</v>
      </c>
      <c r="B514" s="1538" t="s">
        <v>8506</v>
      </c>
      <c r="C514" s="1509">
        <v>0</v>
      </c>
      <c r="D514" s="1510">
        <v>42949</v>
      </c>
      <c r="E514" s="3053" t="s">
        <v>6385</v>
      </c>
      <c r="F514" s="3249" t="s">
        <v>7742</v>
      </c>
      <c r="G514" s="3250">
        <v>116.3</v>
      </c>
      <c r="H514" s="1513" t="s">
        <v>4785</v>
      </c>
      <c r="I514" s="1514" t="s">
        <v>4809</v>
      </c>
      <c r="J514" s="1515" t="s">
        <v>4306</v>
      </c>
      <c r="K514" s="1516">
        <v>43679</v>
      </c>
      <c r="L514" s="1514" t="s">
        <v>4787</v>
      </c>
      <c r="M514" s="1515" t="s">
        <v>4788</v>
      </c>
      <c r="N514" s="1514" t="s">
        <v>4789</v>
      </c>
      <c r="O514" s="1513" t="s">
        <v>6239</v>
      </c>
      <c r="P514" s="1517" t="s">
        <v>7757</v>
      </c>
      <c r="Q514" s="6094" t="s">
        <v>4332</v>
      </c>
      <c r="R514" s="1515" t="s">
        <v>1046</v>
      </c>
      <c r="S514" s="1518"/>
      <c r="T514" s="1519">
        <v>467</v>
      </c>
      <c r="U514" s="1504">
        <v>0</v>
      </c>
      <c r="V514" s="1520">
        <f>T514-U514</f>
        <v>467</v>
      </c>
      <c r="W514" s="1519">
        <v>584</v>
      </c>
      <c r="X514" s="1504">
        <v>0</v>
      </c>
      <c r="Y514" s="1520">
        <f>W514-X514</f>
        <v>584</v>
      </c>
      <c r="Z514" s="1519">
        <v>167</v>
      </c>
      <c r="AA514" s="1504">
        <v>0</v>
      </c>
      <c r="AB514" s="1520">
        <f>Z514-AA514</f>
        <v>167</v>
      </c>
      <c r="AC514" s="1519"/>
      <c r="AD514" s="1504"/>
      <c r="AE514" s="1520"/>
      <c r="AF514" s="1519"/>
      <c r="AG514" s="1504"/>
      <c r="AH514" s="1520"/>
      <c r="AI514" s="1503"/>
      <c r="AJ514" s="1504">
        <f>U514+X514+AA514+AD514+AG514</f>
        <v>0</v>
      </c>
      <c r="AK514" s="3919">
        <v>0</v>
      </c>
      <c r="AL514" s="1505">
        <f t="shared" si="167"/>
        <v>0</v>
      </c>
      <c r="AM514" s="1508" t="s">
        <v>1061</v>
      </c>
      <c r="AN514" s="3401">
        <v>44228</v>
      </c>
      <c r="AO514" s="2492" t="s">
        <v>8508</v>
      </c>
      <c r="AP514" s="3251" t="s">
        <v>7742</v>
      </c>
      <c r="AQ514" s="3248">
        <v>116.3</v>
      </c>
      <c r="AR514" s="1506">
        <v>0</v>
      </c>
      <c r="AS514" s="1507">
        <v>0</v>
      </c>
      <c r="AT514" s="1507">
        <v>0</v>
      </c>
      <c r="AU514" s="1507">
        <v>0</v>
      </c>
      <c r="AV514" s="1507">
        <v>0</v>
      </c>
      <c r="AW514" s="3247">
        <v>200</v>
      </c>
      <c r="AX514" s="3146"/>
      <c r="BA514" s="267"/>
      <c r="BB514" s="267"/>
      <c r="BC514" s="4117">
        <f t="shared" si="165"/>
        <v>0</v>
      </c>
      <c r="BD514" s="4117">
        <f t="shared" si="163"/>
        <v>0</v>
      </c>
      <c r="BE514" s="267"/>
    </row>
    <row r="515" spans="1:57" ht="51">
      <c r="A515" s="6017" t="s">
        <v>11004</v>
      </c>
      <c r="B515" s="2298" t="s">
        <v>8507</v>
      </c>
      <c r="C515" s="2299">
        <v>0</v>
      </c>
      <c r="D515" s="2300">
        <v>43705</v>
      </c>
      <c r="E515" s="2300" t="s">
        <v>6386</v>
      </c>
      <c r="F515" s="2497" t="s">
        <v>6893</v>
      </c>
      <c r="G515" s="3110">
        <v>1.047839</v>
      </c>
      <c r="H515" s="2306" t="s">
        <v>7073</v>
      </c>
      <c r="I515" s="2303" t="s">
        <v>1433</v>
      </c>
      <c r="J515" s="2304" t="s">
        <v>1434</v>
      </c>
      <c r="K515" s="2305">
        <v>45895</v>
      </c>
      <c r="L515" s="2303" t="s">
        <v>7074</v>
      </c>
      <c r="M515" s="2304" t="s">
        <v>6628</v>
      </c>
      <c r="N515" s="2303" t="s">
        <v>7076</v>
      </c>
      <c r="O515" s="2306" t="s">
        <v>7075</v>
      </c>
      <c r="P515" s="2321"/>
      <c r="Q515" s="2304" t="s">
        <v>7077</v>
      </c>
      <c r="R515" s="2304" t="s">
        <v>7078</v>
      </c>
      <c r="S515" s="2307"/>
      <c r="T515" s="2308"/>
      <c r="U515" s="2309"/>
      <c r="V515" s="2310"/>
      <c r="W515" s="2308"/>
      <c r="X515" s="2309"/>
      <c r="Y515" s="2310"/>
      <c r="Z515" s="2308"/>
      <c r="AA515" s="2309"/>
      <c r="AB515" s="2310"/>
      <c r="AC515" s="2308"/>
      <c r="AD515" s="2309"/>
      <c r="AE515" s="2310"/>
      <c r="AF515" s="2308"/>
      <c r="AG515" s="2309"/>
      <c r="AH515" s="2310"/>
      <c r="AI515" s="2311">
        <v>5932</v>
      </c>
      <c r="AJ515" s="2309">
        <v>0</v>
      </c>
      <c r="AK515" s="3914">
        <v>0</v>
      </c>
      <c r="AL515" s="2312">
        <f t="shared" si="167"/>
        <v>5932</v>
      </c>
      <c r="AM515" s="3491" t="s">
        <v>1061</v>
      </c>
      <c r="AN515" s="3492">
        <v>44229</v>
      </c>
      <c r="AO515" s="2492" t="s">
        <v>8509</v>
      </c>
      <c r="AP515" s="2905" t="s">
        <v>7957</v>
      </c>
      <c r="AQ515" s="2906">
        <v>1.0795220000000001</v>
      </c>
      <c r="AR515" s="2313"/>
      <c r="AS515" s="2314"/>
      <c r="AT515" s="2314"/>
      <c r="AU515" s="2314"/>
      <c r="AV515" s="2314"/>
      <c r="AW515" s="2883">
        <f>ROUND(AL515*AQ515/G515,0)</f>
        <v>6111</v>
      </c>
      <c r="AX515" s="2899"/>
      <c r="BA515" s="267"/>
      <c r="BB515" s="267"/>
      <c r="BC515" s="4117">
        <f t="shared" si="165"/>
        <v>0</v>
      </c>
      <c r="BD515" s="4117">
        <f t="shared" si="163"/>
        <v>0</v>
      </c>
      <c r="BE515" s="267"/>
    </row>
    <row r="516" spans="1:57" ht="63.75">
      <c r="A516" s="5981" t="s">
        <v>11022</v>
      </c>
      <c r="B516" s="1538" t="s">
        <v>11155</v>
      </c>
      <c r="C516" s="1509">
        <v>0</v>
      </c>
      <c r="D516" s="1510">
        <v>44137</v>
      </c>
      <c r="E516" s="4344" t="s">
        <v>8170</v>
      </c>
      <c r="F516" s="1511" t="s">
        <v>7957</v>
      </c>
      <c r="G516" s="2663">
        <v>1.0795220000000001</v>
      </c>
      <c r="H516" s="1513" t="s">
        <v>8452</v>
      </c>
      <c r="I516" s="1514" t="s">
        <v>1433</v>
      </c>
      <c r="J516" s="1515" t="s">
        <v>1434</v>
      </c>
      <c r="K516" s="1516">
        <v>46321</v>
      </c>
      <c r="L516" s="1514" t="s">
        <v>8355</v>
      </c>
      <c r="M516" s="1515" t="s">
        <v>8356</v>
      </c>
      <c r="N516" s="1514" t="s">
        <v>8357</v>
      </c>
      <c r="O516" s="1513" t="s">
        <v>8358</v>
      </c>
      <c r="P516" s="1517"/>
      <c r="Q516" s="1515" t="s">
        <v>8359</v>
      </c>
      <c r="R516" s="1515" t="s">
        <v>8105</v>
      </c>
      <c r="S516" s="1518"/>
      <c r="T516" s="1519"/>
      <c r="U516" s="1504"/>
      <c r="V516" s="1520"/>
      <c r="W516" s="1519"/>
      <c r="X516" s="1504"/>
      <c r="Y516" s="1520"/>
      <c r="Z516" s="1519"/>
      <c r="AA516" s="1504"/>
      <c r="AB516" s="1520"/>
      <c r="AC516" s="1519"/>
      <c r="AD516" s="1504"/>
      <c r="AE516" s="1520"/>
      <c r="AF516" s="1519"/>
      <c r="AG516" s="1504"/>
      <c r="AH516" s="1520"/>
      <c r="AI516" s="1503">
        <v>7349</v>
      </c>
      <c r="AJ516" s="1504">
        <v>0</v>
      </c>
      <c r="AK516" s="3919">
        <v>0</v>
      </c>
      <c r="AL516" s="1505">
        <f t="shared" si="167"/>
        <v>7349</v>
      </c>
      <c r="AM516" s="1508" t="s">
        <v>1061</v>
      </c>
      <c r="AN516" s="3401">
        <v>44229</v>
      </c>
      <c r="AO516" s="3402" t="s">
        <v>8510</v>
      </c>
      <c r="AP516" s="2905" t="s">
        <v>7957</v>
      </c>
      <c r="AQ516" s="2906">
        <v>1.0795220000000001</v>
      </c>
      <c r="AR516" s="1506"/>
      <c r="AS516" s="1507"/>
      <c r="AT516" s="1507"/>
      <c r="AU516" s="1507"/>
      <c r="AV516" s="1507"/>
      <c r="AW516" s="3247">
        <f>ROUND(AL516*AQ516/G516,0)</f>
        <v>7349</v>
      </c>
      <c r="AX516" s="3146"/>
      <c r="BB516" s="267"/>
      <c r="BC516" s="4117">
        <f t="shared" si="165"/>
        <v>0</v>
      </c>
      <c r="BD516" s="4117">
        <f t="shared" ref="BD516:BD579" si="169">ROUND($AK516*$AQ516/$G516,0)</f>
        <v>0</v>
      </c>
      <c r="BE516" s="267"/>
    </row>
    <row r="517" spans="1:57" ht="76.5">
      <c r="A517" s="5981" t="s">
        <v>11005</v>
      </c>
      <c r="B517" s="1538" t="s">
        <v>8519</v>
      </c>
      <c r="C517" s="1509">
        <v>0</v>
      </c>
      <c r="D517" s="1510">
        <v>43425</v>
      </c>
      <c r="E517" s="3053" t="s">
        <v>6386</v>
      </c>
      <c r="F517" s="1511" t="s">
        <v>5757</v>
      </c>
      <c r="G517" s="2663">
        <v>1.0247219999999999</v>
      </c>
      <c r="H517" s="1513" t="s">
        <v>8081</v>
      </c>
      <c r="I517" s="1514" t="s">
        <v>1433</v>
      </c>
      <c r="J517" s="1515" t="s">
        <v>1434</v>
      </c>
      <c r="K517" s="1516">
        <v>45616</v>
      </c>
      <c r="L517" s="1514" t="s">
        <v>6020</v>
      </c>
      <c r="M517" s="1515" t="s">
        <v>5636</v>
      </c>
      <c r="N517" s="1514" t="s">
        <v>6021</v>
      </c>
      <c r="O517" s="1513" t="s">
        <v>6261</v>
      </c>
      <c r="P517" s="1517" t="s">
        <v>8082</v>
      </c>
      <c r="Q517" s="6094" t="s">
        <v>6031</v>
      </c>
      <c r="R517" s="1515" t="s">
        <v>6007</v>
      </c>
      <c r="S517" s="1518"/>
      <c r="T517" s="1519">
        <v>2444</v>
      </c>
      <c r="U517" s="1504">
        <v>0</v>
      </c>
      <c r="V517" s="1520">
        <f>T517-U517</f>
        <v>2444</v>
      </c>
      <c r="W517" s="1519">
        <v>3056</v>
      </c>
      <c r="X517" s="1504">
        <v>0</v>
      </c>
      <c r="Y517" s="1520">
        <f>W517-X517</f>
        <v>3056</v>
      </c>
      <c r="Z517" s="1519">
        <v>0</v>
      </c>
      <c r="AA517" s="1504">
        <v>0</v>
      </c>
      <c r="AB517" s="1520">
        <f>Z517-AA517</f>
        <v>0</v>
      </c>
      <c r="AC517" s="1519"/>
      <c r="AD517" s="1504"/>
      <c r="AE517" s="1520"/>
      <c r="AF517" s="1519"/>
      <c r="AG517" s="1504"/>
      <c r="AH517" s="1520"/>
      <c r="AI517" s="1503">
        <f>T517+W517+Z517+AC517+AF517</f>
        <v>5500</v>
      </c>
      <c r="AJ517" s="1504">
        <f>U517+X517+AA517+AD517+AG517</f>
        <v>0</v>
      </c>
      <c r="AK517" s="3919">
        <v>0</v>
      </c>
      <c r="AL517" s="1505">
        <f t="shared" si="167"/>
        <v>5500</v>
      </c>
      <c r="AM517" s="1508" t="s">
        <v>1061</v>
      </c>
      <c r="AN517" s="3401">
        <v>44231</v>
      </c>
      <c r="AO517" s="3402" t="s">
        <v>8516</v>
      </c>
      <c r="AP517" s="3251" t="s">
        <v>7957</v>
      </c>
      <c r="AQ517" s="3248">
        <v>1.0795220000000001</v>
      </c>
      <c r="AR517" s="1506">
        <v>0</v>
      </c>
      <c r="AS517" s="1507">
        <v>0</v>
      </c>
      <c r="AT517" s="1507">
        <v>0</v>
      </c>
      <c r="AU517" s="1507">
        <v>0</v>
      </c>
      <c r="AV517" s="1507">
        <v>0</v>
      </c>
      <c r="AW517" s="3247">
        <f>ROUND(AL517*AQ517/G517,0)</f>
        <v>5794</v>
      </c>
      <c r="AX517" s="3146"/>
      <c r="BA517" s="267"/>
      <c r="BB517" s="267"/>
      <c r="BC517" s="4117">
        <f t="shared" si="165"/>
        <v>0</v>
      </c>
      <c r="BD517" s="4117">
        <f t="shared" si="169"/>
        <v>0</v>
      </c>
      <c r="BE517" s="267"/>
    </row>
    <row r="518" spans="1:57" ht="76.5">
      <c r="A518" s="5981" t="s">
        <v>11004</v>
      </c>
      <c r="B518" s="1538" t="s">
        <v>8518</v>
      </c>
      <c r="C518" s="1509">
        <v>0</v>
      </c>
      <c r="D518" s="1510">
        <v>42797</v>
      </c>
      <c r="E518" s="3053" t="s">
        <v>6385</v>
      </c>
      <c r="F518" s="1511" t="s">
        <v>4154</v>
      </c>
      <c r="G518" s="2663">
        <v>1.0111000000000001</v>
      </c>
      <c r="H518" s="1513" t="s">
        <v>8226</v>
      </c>
      <c r="I518" s="1514" t="s">
        <v>1433</v>
      </c>
      <c r="J518" s="1515" t="s">
        <v>1434</v>
      </c>
      <c r="K518" s="1516">
        <v>44985</v>
      </c>
      <c r="L518" s="1514" t="s">
        <v>4400</v>
      </c>
      <c r="M518" s="1515" t="s">
        <v>1957</v>
      </c>
      <c r="N518" s="1514" t="s">
        <v>4401</v>
      </c>
      <c r="O518" s="1513" t="s">
        <v>6223</v>
      </c>
      <c r="P518" s="1517" t="s">
        <v>8517</v>
      </c>
      <c r="Q518" s="1515" t="s">
        <v>4405</v>
      </c>
      <c r="R518" s="1515" t="s">
        <v>4404</v>
      </c>
      <c r="S518" s="1518"/>
      <c r="T518" s="1519">
        <v>63852</v>
      </c>
      <c r="U518" s="1504">
        <v>0</v>
      </c>
      <c r="V518" s="1520">
        <f>T518-U518</f>
        <v>63852</v>
      </c>
      <c r="W518" s="1519">
        <v>11269</v>
      </c>
      <c r="X518" s="1504">
        <v>0</v>
      </c>
      <c r="Y518" s="1520">
        <f>W518-X518</f>
        <v>11269</v>
      </c>
      <c r="Z518" s="1519">
        <v>0</v>
      </c>
      <c r="AA518" s="1504">
        <v>0</v>
      </c>
      <c r="AB518" s="1520">
        <f>Z518-AA518</f>
        <v>0</v>
      </c>
      <c r="AC518" s="1519"/>
      <c r="AD518" s="1504"/>
      <c r="AE518" s="1520"/>
      <c r="AF518" s="1519"/>
      <c r="AG518" s="1504"/>
      <c r="AH518" s="1520"/>
      <c r="AI518" s="1503">
        <f>T518+W518+Z518+AC518+AF518</f>
        <v>75121</v>
      </c>
      <c r="AJ518" s="1504">
        <f>U518+X518+AA518+AD518+AG518</f>
        <v>0</v>
      </c>
      <c r="AK518" s="3919">
        <v>0</v>
      </c>
      <c r="AL518" s="1505">
        <f t="shared" si="167"/>
        <v>75121</v>
      </c>
      <c r="AM518" s="1508" t="s">
        <v>1061</v>
      </c>
      <c r="AN518" s="3401">
        <v>44238</v>
      </c>
      <c r="AO518" s="3402" t="s">
        <v>8541</v>
      </c>
      <c r="AP518" s="2664" t="s">
        <v>7957</v>
      </c>
      <c r="AQ518" s="2806">
        <v>1.0795220000000001</v>
      </c>
      <c r="AR518" s="1506">
        <v>0</v>
      </c>
      <c r="AS518" s="1507">
        <v>0</v>
      </c>
      <c r="AT518" s="1507">
        <v>0</v>
      </c>
      <c r="AU518" s="1507">
        <v>0</v>
      </c>
      <c r="AV518" s="1507">
        <v>0</v>
      </c>
      <c r="AW518" s="3247">
        <f>ROUND(AL518*AQ518/G518,0)</f>
        <v>80205</v>
      </c>
      <c r="AX518" s="3146"/>
      <c r="BA518" s="267"/>
      <c r="BB518" s="267"/>
      <c r="BC518" s="4117">
        <f t="shared" si="165"/>
        <v>0</v>
      </c>
      <c r="BD518" s="4117">
        <f t="shared" si="169"/>
        <v>0</v>
      </c>
      <c r="BE518" s="267"/>
    </row>
    <row r="519" spans="1:57" ht="63.75">
      <c r="A519" s="5981" t="s">
        <v>11004</v>
      </c>
      <c r="B519" s="1538" t="s">
        <v>8542</v>
      </c>
      <c r="C519" s="1509">
        <v>0</v>
      </c>
      <c r="D519" s="1510">
        <v>43790</v>
      </c>
      <c r="E519" s="4344" t="s">
        <v>7151</v>
      </c>
      <c r="F519" s="1511" t="s">
        <v>6893</v>
      </c>
      <c r="G519" s="2663">
        <v>1.047839</v>
      </c>
      <c r="H519" s="1513" t="s">
        <v>8520</v>
      </c>
      <c r="I519" s="1514" t="s">
        <v>1433</v>
      </c>
      <c r="J519" s="1515" t="s">
        <v>1434</v>
      </c>
      <c r="K519" s="1516">
        <v>45981</v>
      </c>
      <c r="L519" s="1514" t="s">
        <v>5527</v>
      </c>
      <c r="M519" s="1515" t="s">
        <v>7368</v>
      </c>
      <c r="N519" s="1514" t="s">
        <v>7370</v>
      </c>
      <c r="O519" s="1513" t="s">
        <v>7369</v>
      </c>
      <c r="P519" s="1517" t="s">
        <v>7372</v>
      </c>
      <c r="Q519" s="1515" t="s">
        <v>8822</v>
      </c>
      <c r="R519" s="1515" t="s">
        <v>7371</v>
      </c>
      <c r="S519" s="1518"/>
      <c r="T519" s="1519"/>
      <c r="U519" s="1504"/>
      <c r="V519" s="1520"/>
      <c r="W519" s="1519"/>
      <c r="X519" s="1504"/>
      <c r="Y519" s="1520"/>
      <c r="Z519" s="1519"/>
      <c r="AA519" s="1504"/>
      <c r="AB519" s="1520"/>
      <c r="AC519" s="1519"/>
      <c r="AD519" s="1504"/>
      <c r="AE519" s="1520"/>
      <c r="AF519" s="1519"/>
      <c r="AG519" s="1504"/>
      <c r="AH519" s="1520"/>
      <c r="AI519" s="1503">
        <v>15843</v>
      </c>
      <c r="AJ519" s="1504">
        <v>0</v>
      </c>
      <c r="AK519" s="3919">
        <v>0</v>
      </c>
      <c r="AL519" s="1505">
        <f t="shared" si="167"/>
        <v>15843</v>
      </c>
      <c r="AM519" s="1508" t="s">
        <v>1061</v>
      </c>
      <c r="AN519" s="3401">
        <v>44239</v>
      </c>
      <c r="AO519" s="3402" t="s">
        <v>8543</v>
      </c>
      <c r="AP519" s="2905" t="s">
        <v>7957</v>
      </c>
      <c r="AQ519" s="2906">
        <v>1.0795220000000001</v>
      </c>
      <c r="AR519" s="1506"/>
      <c r="AS519" s="1507"/>
      <c r="AT519" s="1507"/>
      <c r="AU519" s="1507"/>
      <c r="AV519" s="1507"/>
      <c r="AW519" s="3247">
        <f>ROUND(AL519*AQ519/G519,0)</f>
        <v>16322</v>
      </c>
      <c r="AX519" s="3146"/>
      <c r="BA519" s="267"/>
      <c r="BB519" s="267"/>
      <c r="BC519" s="4117">
        <f t="shared" si="165"/>
        <v>0</v>
      </c>
      <c r="BD519" s="4117">
        <f t="shared" si="169"/>
        <v>0</v>
      </c>
      <c r="BE519" s="267"/>
    </row>
    <row r="520" spans="1:57" ht="76.5">
      <c r="A520" s="5978" t="s">
        <v>11154</v>
      </c>
      <c r="B520" s="1538" t="s">
        <v>8544</v>
      </c>
      <c r="C520" s="1509">
        <v>0</v>
      </c>
      <c r="D520" s="1510">
        <v>42949</v>
      </c>
      <c r="E520" s="3053" t="s">
        <v>6385</v>
      </c>
      <c r="F520" s="3249" t="s">
        <v>6558</v>
      </c>
      <c r="G520" s="3250">
        <v>116.3</v>
      </c>
      <c r="H520" s="1513" t="s">
        <v>4785</v>
      </c>
      <c r="I520" s="1514" t="s">
        <v>4809</v>
      </c>
      <c r="J520" s="1515" t="s">
        <v>4306</v>
      </c>
      <c r="K520" s="1516">
        <v>43679</v>
      </c>
      <c r="L520" s="1514" t="s">
        <v>4787</v>
      </c>
      <c r="M520" s="1515" t="s">
        <v>4788</v>
      </c>
      <c r="N520" s="1514" t="s">
        <v>4789</v>
      </c>
      <c r="O520" s="1513" t="s">
        <v>6239</v>
      </c>
      <c r="P520" s="1517" t="s">
        <v>7757</v>
      </c>
      <c r="Q520" s="6094" t="s">
        <v>4332</v>
      </c>
      <c r="R520" s="1515" t="s">
        <v>1046</v>
      </c>
      <c r="S520" s="1518"/>
      <c r="T520" s="1519">
        <v>467</v>
      </c>
      <c r="U520" s="1504">
        <v>0</v>
      </c>
      <c r="V520" s="1520">
        <f>T520-U520</f>
        <v>467</v>
      </c>
      <c r="W520" s="1519">
        <v>584</v>
      </c>
      <c r="X520" s="1504">
        <v>0</v>
      </c>
      <c r="Y520" s="1520">
        <f>W520-X520</f>
        <v>584</v>
      </c>
      <c r="Z520" s="1519">
        <v>167</v>
      </c>
      <c r="AA520" s="1504">
        <v>0</v>
      </c>
      <c r="AB520" s="1520">
        <f>Z520-AA520</f>
        <v>167</v>
      </c>
      <c r="AC520" s="1519"/>
      <c r="AD520" s="1504"/>
      <c r="AE520" s="1520"/>
      <c r="AF520" s="1519"/>
      <c r="AG520" s="1504"/>
      <c r="AH520" s="1520"/>
      <c r="AI520" s="1503"/>
      <c r="AJ520" s="1504">
        <f>U520+X520+AA520+AD520+AG520</f>
        <v>0</v>
      </c>
      <c r="AK520" s="3919">
        <v>0</v>
      </c>
      <c r="AL520" s="1505">
        <f t="shared" ref="AL520:AL551" si="170">AI520-AJ520-AK520</f>
        <v>0</v>
      </c>
      <c r="AM520" s="1508" t="s">
        <v>4488</v>
      </c>
      <c r="AN520" s="3401">
        <v>44239</v>
      </c>
      <c r="AO520" s="3402" t="s">
        <v>8545</v>
      </c>
      <c r="AP520" s="3251" t="s">
        <v>7742</v>
      </c>
      <c r="AQ520" s="3248">
        <v>116.3</v>
      </c>
      <c r="AR520" s="1506">
        <v>0</v>
      </c>
      <c r="AS520" s="1507">
        <v>0</v>
      </c>
      <c r="AT520" s="1507">
        <v>0</v>
      </c>
      <c r="AU520" s="1507">
        <v>0</v>
      </c>
      <c r="AV520" s="1507">
        <v>0</v>
      </c>
      <c r="AW520" s="3247">
        <v>200</v>
      </c>
      <c r="AX520" s="3146"/>
      <c r="BB520" s="267"/>
      <c r="BC520" s="4117">
        <f t="shared" si="165"/>
        <v>0</v>
      </c>
      <c r="BD520" s="4117">
        <f t="shared" si="169"/>
        <v>0</v>
      </c>
      <c r="BE520" s="267"/>
    </row>
    <row r="521" spans="1:57" ht="51">
      <c r="A521" s="5981" t="s">
        <v>11022</v>
      </c>
      <c r="B521" s="1538" t="s">
        <v>7621</v>
      </c>
      <c r="C521" s="1509">
        <v>0</v>
      </c>
      <c r="D521" s="1510">
        <v>44230</v>
      </c>
      <c r="E521" s="4344" t="s">
        <v>8170</v>
      </c>
      <c r="F521" s="1511" t="s">
        <v>7957</v>
      </c>
      <c r="G521" s="2663">
        <v>1.0795220000000001</v>
      </c>
      <c r="H521" s="1513" t="s">
        <v>8511</v>
      </c>
      <c r="I521" s="1514" t="s">
        <v>1433</v>
      </c>
      <c r="J521" s="1515" t="s">
        <v>1434</v>
      </c>
      <c r="K521" s="1516">
        <v>46415</v>
      </c>
      <c r="L521" s="1514" t="s">
        <v>8512</v>
      </c>
      <c r="M521" s="1515" t="s">
        <v>1957</v>
      </c>
      <c r="N521" s="1514" t="s">
        <v>8514</v>
      </c>
      <c r="O521" s="1513" t="s">
        <v>8513</v>
      </c>
      <c r="P521" s="1517"/>
      <c r="Q521" s="1515" t="s">
        <v>8568</v>
      </c>
      <c r="R521" s="1515" t="s">
        <v>8515</v>
      </c>
      <c r="S521" s="1518"/>
      <c r="T521" s="1519"/>
      <c r="U521" s="1504"/>
      <c r="V521" s="1520"/>
      <c r="W521" s="1519"/>
      <c r="X521" s="1504"/>
      <c r="Y521" s="1520"/>
      <c r="Z521" s="1519"/>
      <c r="AA521" s="1504"/>
      <c r="AB521" s="1520"/>
      <c r="AC521" s="1519"/>
      <c r="AD521" s="1504"/>
      <c r="AE521" s="1520"/>
      <c r="AF521" s="1519"/>
      <c r="AG521" s="1504"/>
      <c r="AH521" s="1520"/>
      <c r="AI521" s="1503">
        <v>5114</v>
      </c>
      <c r="AJ521" s="1504">
        <v>0</v>
      </c>
      <c r="AK521" s="3919">
        <v>0</v>
      </c>
      <c r="AL521" s="1505">
        <f t="shared" si="170"/>
        <v>5114</v>
      </c>
      <c r="AM521" s="1508" t="s">
        <v>1061</v>
      </c>
      <c r="AN521" s="3401" t="s">
        <v>8569</v>
      </c>
      <c r="AO521" s="3402" t="s">
        <v>8570</v>
      </c>
      <c r="AP521" s="2905" t="s">
        <v>7957</v>
      </c>
      <c r="AQ521" s="2906">
        <v>1.0795220000000001</v>
      </c>
      <c r="AR521" s="1506"/>
      <c r="AS521" s="1507"/>
      <c r="AT521" s="1507"/>
      <c r="AU521" s="1507"/>
      <c r="AV521" s="1507"/>
      <c r="AW521" s="3247">
        <f>ROUND(AL521*AQ521/G521,0)</f>
        <v>5114</v>
      </c>
      <c r="AX521" s="3146"/>
      <c r="BA521" s="267"/>
      <c r="BB521" s="267"/>
      <c r="BC521" s="4117">
        <f t="shared" si="165"/>
        <v>0</v>
      </c>
      <c r="BD521" s="4117">
        <f t="shared" si="169"/>
        <v>0</v>
      </c>
      <c r="BE521" s="267"/>
    </row>
    <row r="522" spans="1:57" ht="89.25">
      <c r="A522" s="5981" t="s">
        <v>11022</v>
      </c>
      <c r="B522" s="1538" t="s">
        <v>7607</v>
      </c>
      <c r="C522" s="1509">
        <v>0</v>
      </c>
      <c r="D522" s="1510">
        <v>44097</v>
      </c>
      <c r="E522" s="4344" t="s">
        <v>7972</v>
      </c>
      <c r="F522" s="1511" t="s">
        <v>7957</v>
      </c>
      <c r="G522" s="2663">
        <v>1.0795220000000001</v>
      </c>
      <c r="H522" s="1513" t="s">
        <v>8268</v>
      </c>
      <c r="I522" s="1514" t="s">
        <v>8075</v>
      </c>
      <c r="J522" s="4345" t="s">
        <v>4306</v>
      </c>
      <c r="K522" s="1516">
        <v>44811</v>
      </c>
      <c r="L522" s="1514" t="s">
        <v>1016</v>
      </c>
      <c r="M522" s="1515" t="s">
        <v>8076</v>
      </c>
      <c r="N522" s="1514" t="s">
        <v>8077</v>
      </c>
      <c r="O522" s="1513" t="s">
        <v>8078</v>
      </c>
      <c r="P522" s="1517"/>
      <c r="Q522" s="6094" t="s">
        <v>5708</v>
      </c>
      <c r="R522" s="1515" t="s">
        <v>5350</v>
      </c>
      <c r="S522" s="1518"/>
      <c r="T522" s="1519"/>
      <c r="U522" s="1504"/>
      <c r="V522" s="1520"/>
      <c r="W522" s="1519"/>
      <c r="X522" s="1504"/>
      <c r="Y522" s="1520"/>
      <c r="Z522" s="1519"/>
      <c r="AA522" s="1504"/>
      <c r="AB522" s="1520"/>
      <c r="AC522" s="1519"/>
      <c r="AD522" s="1504"/>
      <c r="AE522" s="1520"/>
      <c r="AF522" s="1519"/>
      <c r="AG522" s="1504"/>
      <c r="AH522" s="1520"/>
      <c r="AI522" s="1503">
        <v>5485</v>
      </c>
      <c r="AJ522" s="1504">
        <v>0</v>
      </c>
      <c r="AK522" s="3919">
        <v>0</v>
      </c>
      <c r="AL522" s="1505">
        <f t="shared" si="170"/>
        <v>5485</v>
      </c>
      <c r="AM522" s="1508" t="s">
        <v>1061</v>
      </c>
      <c r="AN522" s="3401">
        <v>44246</v>
      </c>
      <c r="AO522" s="3402" t="s">
        <v>8571</v>
      </c>
      <c r="AP522" s="2905" t="s">
        <v>7957</v>
      </c>
      <c r="AQ522" s="2906">
        <v>1.0795220000000001</v>
      </c>
      <c r="AR522" s="1506"/>
      <c r="AS522" s="1507"/>
      <c r="AT522" s="1507"/>
      <c r="AU522" s="1507"/>
      <c r="AV522" s="1507"/>
      <c r="AW522" s="3247">
        <f>ROUND(AL522*AQ522/G522,0)</f>
        <v>5485</v>
      </c>
      <c r="AX522" s="3146"/>
      <c r="BA522" s="267"/>
      <c r="BB522" s="267"/>
      <c r="BC522" s="4117">
        <f t="shared" si="165"/>
        <v>0</v>
      </c>
      <c r="BD522" s="4117">
        <f t="shared" si="169"/>
        <v>0</v>
      </c>
      <c r="BE522" s="267"/>
    </row>
    <row r="523" spans="1:57" ht="89.25">
      <c r="A523" s="5981" t="s">
        <v>11022</v>
      </c>
      <c r="B523" s="1538" t="s">
        <v>7609</v>
      </c>
      <c r="C523" s="1509">
        <v>0</v>
      </c>
      <c r="D523" s="1510">
        <v>44104</v>
      </c>
      <c r="E523" s="4344" t="s">
        <v>7972</v>
      </c>
      <c r="F523" s="1511" t="s">
        <v>7957</v>
      </c>
      <c r="G523" s="2663">
        <v>1.0795220000000001</v>
      </c>
      <c r="H523" s="1513" t="s">
        <v>8271</v>
      </c>
      <c r="I523" s="1514" t="s">
        <v>8109</v>
      </c>
      <c r="J523" s="4345" t="s">
        <v>4306</v>
      </c>
      <c r="K523" s="1516">
        <v>44834</v>
      </c>
      <c r="L523" s="1514" t="s">
        <v>8116</v>
      </c>
      <c r="M523" s="1515" t="s">
        <v>8117</v>
      </c>
      <c r="N523" s="1514" t="s">
        <v>8118</v>
      </c>
      <c r="O523" s="1513" t="s">
        <v>8119</v>
      </c>
      <c r="P523" s="1517"/>
      <c r="Q523" s="6094" t="s">
        <v>5708</v>
      </c>
      <c r="R523" s="1515" t="s">
        <v>5350</v>
      </c>
      <c r="S523" s="1518"/>
      <c r="T523" s="1519"/>
      <c r="U523" s="1504"/>
      <c r="V523" s="1520"/>
      <c r="W523" s="1519"/>
      <c r="X523" s="1504"/>
      <c r="Y523" s="1520"/>
      <c r="Z523" s="1519"/>
      <c r="AA523" s="1504"/>
      <c r="AB523" s="1520"/>
      <c r="AC523" s="1519"/>
      <c r="AD523" s="1504"/>
      <c r="AE523" s="1520"/>
      <c r="AF523" s="1519"/>
      <c r="AG523" s="1504"/>
      <c r="AH523" s="1520"/>
      <c r="AI523" s="1503">
        <v>6438</v>
      </c>
      <c r="AJ523" s="1504">
        <v>0</v>
      </c>
      <c r="AK523" s="3919">
        <v>0</v>
      </c>
      <c r="AL523" s="1505">
        <f t="shared" si="170"/>
        <v>6438</v>
      </c>
      <c r="AM523" s="1508" t="s">
        <v>1061</v>
      </c>
      <c r="AN523" s="3401">
        <v>44246</v>
      </c>
      <c r="AO523" s="3402" t="s">
        <v>8578</v>
      </c>
      <c r="AP523" s="2905" t="s">
        <v>7957</v>
      </c>
      <c r="AQ523" s="2906">
        <v>1.0795220000000001</v>
      </c>
      <c r="AR523" s="1506"/>
      <c r="AS523" s="1507"/>
      <c r="AT523" s="1507"/>
      <c r="AU523" s="1507"/>
      <c r="AV523" s="1507"/>
      <c r="AW523" s="3247">
        <f>ROUND(AL523*AQ523/G523,0)</f>
        <v>6438</v>
      </c>
      <c r="AX523" s="3146"/>
      <c r="BA523" s="267"/>
      <c r="BB523" s="267"/>
      <c r="BC523" s="4117">
        <f t="shared" si="165"/>
        <v>0</v>
      </c>
      <c r="BD523" s="4117">
        <f t="shared" si="169"/>
        <v>0</v>
      </c>
      <c r="BE523" s="267"/>
    </row>
    <row r="524" spans="1:57" ht="63.75">
      <c r="A524" s="6057" t="s">
        <v>11004</v>
      </c>
      <c r="B524" s="5045" t="s">
        <v>8591</v>
      </c>
      <c r="C524" s="5046">
        <v>0</v>
      </c>
      <c r="D524" s="5047">
        <v>43619</v>
      </c>
      <c r="E524" s="5047" t="s">
        <v>6386</v>
      </c>
      <c r="F524" s="5048" t="s">
        <v>5757</v>
      </c>
      <c r="G524" s="5049">
        <v>1.0247219999999999</v>
      </c>
      <c r="H524" s="5050" t="s">
        <v>7647</v>
      </c>
      <c r="I524" s="5051" t="s">
        <v>1433</v>
      </c>
      <c r="J524" s="5052" t="s">
        <v>1434</v>
      </c>
      <c r="K524" s="5053">
        <v>45811</v>
      </c>
      <c r="L524" s="5051" t="s">
        <v>6755</v>
      </c>
      <c r="M524" s="5052" t="s">
        <v>5461</v>
      </c>
      <c r="N524" s="5051" t="s">
        <v>6757</v>
      </c>
      <c r="O524" s="5050" t="s">
        <v>6756</v>
      </c>
      <c r="P524" s="5054"/>
      <c r="Q524" s="5052" t="s">
        <v>6758</v>
      </c>
      <c r="R524" s="5052" t="s">
        <v>5350</v>
      </c>
      <c r="S524" s="5055" t="s">
        <v>6759</v>
      </c>
      <c r="T524" s="5056">
        <v>6885</v>
      </c>
      <c r="U524" s="5057">
        <v>4170</v>
      </c>
      <c r="V524" s="5058">
        <f>T524-U524</f>
        <v>2715</v>
      </c>
      <c r="W524" s="5056">
        <v>8608</v>
      </c>
      <c r="X524" s="5057">
        <v>0</v>
      </c>
      <c r="Y524" s="5058">
        <f>W524-X524</f>
        <v>8608</v>
      </c>
      <c r="Z524" s="5056">
        <v>1722</v>
      </c>
      <c r="AA524" s="5057">
        <v>0</v>
      </c>
      <c r="AB524" s="5058">
        <f>Z524-AA524</f>
        <v>1722</v>
      </c>
      <c r="AC524" s="5056"/>
      <c r="AD524" s="5057"/>
      <c r="AE524" s="5058"/>
      <c r="AF524" s="5056"/>
      <c r="AG524" s="5057"/>
      <c r="AH524" s="5058"/>
      <c r="AI524" s="5059">
        <f>T524+W524+Z524+AC524+AF524</f>
        <v>17215</v>
      </c>
      <c r="AJ524" s="5060">
        <v>0</v>
      </c>
      <c r="AK524" s="5057">
        <f>U524+X524+AA524+AD524+AG524</f>
        <v>4170</v>
      </c>
      <c r="AL524" s="5061">
        <f t="shared" si="170"/>
        <v>13045</v>
      </c>
      <c r="AM524" s="5062" t="s">
        <v>1061</v>
      </c>
      <c r="AN524" s="5069">
        <v>44250</v>
      </c>
      <c r="AO524" s="5070" t="s">
        <v>8593</v>
      </c>
      <c r="AP524" s="5063" t="s">
        <v>7957</v>
      </c>
      <c r="AQ524" s="5064">
        <v>1.0795220000000001</v>
      </c>
      <c r="AR524" s="5065">
        <v>0</v>
      </c>
      <c r="AS524" s="5066">
        <v>0</v>
      </c>
      <c r="AT524" s="5066">
        <v>0</v>
      </c>
      <c r="AU524" s="5066">
        <v>0</v>
      </c>
      <c r="AV524" s="5066">
        <v>0</v>
      </c>
      <c r="AW524" s="5067">
        <f>ROUND(AL524*AQ524/G524,0)</f>
        <v>13743</v>
      </c>
      <c r="AX524" s="5068"/>
      <c r="BA524" s="267"/>
      <c r="BB524" s="267"/>
      <c r="BC524" s="4117">
        <f t="shared" si="165"/>
        <v>0</v>
      </c>
      <c r="BD524" s="4117">
        <f t="shared" si="169"/>
        <v>4393</v>
      </c>
      <c r="BE524" s="267"/>
    </row>
    <row r="525" spans="1:57" ht="51.75" thickBot="1">
      <c r="A525" s="6058" t="s">
        <v>11004</v>
      </c>
      <c r="B525" s="3723" t="s">
        <v>8596</v>
      </c>
      <c r="C525" s="4935">
        <v>0</v>
      </c>
      <c r="D525" s="4936">
        <v>43699</v>
      </c>
      <c r="E525" s="4936" t="s">
        <v>6386</v>
      </c>
      <c r="F525" s="5072" t="s">
        <v>6893</v>
      </c>
      <c r="G525" s="5073">
        <v>1.047839</v>
      </c>
      <c r="H525" s="5074" t="s">
        <v>7045</v>
      </c>
      <c r="I525" s="3728" t="s">
        <v>1433</v>
      </c>
      <c r="J525" s="4940" t="s">
        <v>1434</v>
      </c>
      <c r="K525" s="5075">
        <v>45889</v>
      </c>
      <c r="L525" s="3728" t="s">
        <v>89</v>
      </c>
      <c r="M525" s="4940" t="s">
        <v>5165</v>
      </c>
      <c r="N525" s="3728" t="s">
        <v>7046</v>
      </c>
      <c r="O525" s="5074" t="s">
        <v>7047</v>
      </c>
      <c r="P525" s="3731"/>
      <c r="Q525" s="4940" t="s">
        <v>7048</v>
      </c>
      <c r="R525" s="4940" t="s">
        <v>7049</v>
      </c>
      <c r="S525" s="5076" t="s">
        <v>7050</v>
      </c>
      <c r="T525" s="3733"/>
      <c r="U525" s="4945"/>
      <c r="V525" s="5077"/>
      <c r="W525" s="3733"/>
      <c r="X525" s="4945"/>
      <c r="Y525" s="5077"/>
      <c r="Z525" s="3733"/>
      <c r="AA525" s="4945"/>
      <c r="AB525" s="5077"/>
      <c r="AC525" s="3733"/>
      <c r="AD525" s="4945"/>
      <c r="AE525" s="5077"/>
      <c r="AF525" s="3733"/>
      <c r="AG525" s="4945"/>
      <c r="AH525" s="5077"/>
      <c r="AI525" s="3739">
        <v>38308</v>
      </c>
      <c r="AJ525" s="4945">
        <v>19154</v>
      </c>
      <c r="AK525" s="5078">
        <v>0</v>
      </c>
      <c r="AL525" s="5079">
        <f t="shared" si="170"/>
        <v>19154</v>
      </c>
      <c r="AM525" s="3741" t="s">
        <v>1061</v>
      </c>
      <c r="AN525" s="4949">
        <v>44253</v>
      </c>
      <c r="AO525" s="4950" t="s">
        <v>8595</v>
      </c>
      <c r="AP525" s="5080" t="s">
        <v>7957</v>
      </c>
      <c r="AQ525" s="5081">
        <v>1.0795220000000001</v>
      </c>
      <c r="AR525" s="3744"/>
      <c r="AS525" s="4953"/>
      <c r="AT525" s="4953"/>
      <c r="AU525" s="4953"/>
      <c r="AV525" s="4953"/>
      <c r="AW525" s="5082">
        <f>ROUND(AL525*AQ525/G525,0)</f>
        <v>19733</v>
      </c>
      <c r="AX525" s="5083"/>
      <c r="AY525" s="4029" t="s">
        <v>8505</v>
      </c>
      <c r="AZ525" s="3888">
        <f>SUM(AW514:AW525)</f>
        <v>166694</v>
      </c>
      <c r="BA525" s="4028">
        <f>AZ525</f>
        <v>166694</v>
      </c>
      <c r="BB525" s="267"/>
      <c r="BC525" s="4117">
        <f t="shared" si="165"/>
        <v>19733</v>
      </c>
      <c r="BD525" s="4117">
        <f t="shared" si="169"/>
        <v>0</v>
      </c>
      <c r="BE525" s="5071"/>
    </row>
    <row r="526" spans="1:57" ht="76.5">
      <c r="A526" s="5967" t="s">
        <v>11154</v>
      </c>
      <c r="B526" s="827" t="s">
        <v>8544</v>
      </c>
      <c r="C526" s="828">
        <v>0</v>
      </c>
      <c r="D526" s="829">
        <v>42949</v>
      </c>
      <c r="E526" s="829" t="s">
        <v>6385</v>
      </c>
      <c r="F526" s="3694" t="s">
        <v>6558</v>
      </c>
      <c r="G526" s="3695">
        <v>116.3</v>
      </c>
      <c r="H526" s="832" t="s">
        <v>4785</v>
      </c>
      <c r="I526" s="833" t="s">
        <v>4809</v>
      </c>
      <c r="J526" s="834" t="s">
        <v>4306</v>
      </c>
      <c r="K526" s="835">
        <v>43679</v>
      </c>
      <c r="L526" s="833" t="s">
        <v>4787</v>
      </c>
      <c r="M526" s="834" t="s">
        <v>4788</v>
      </c>
      <c r="N526" s="833" t="s">
        <v>4789</v>
      </c>
      <c r="O526" s="832" t="s">
        <v>6239</v>
      </c>
      <c r="P526" s="836" t="s">
        <v>7757</v>
      </c>
      <c r="Q526" s="6096" t="s">
        <v>4332</v>
      </c>
      <c r="R526" s="834" t="s">
        <v>1046</v>
      </c>
      <c r="S526" s="837"/>
      <c r="T526" s="838">
        <v>467</v>
      </c>
      <c r="U526" s="839">
        <v>0</v>
      </c>
      <c r="V526" s="840">
        <f t="shared" ref="V526:V534" si="171">T526-U526</f>
        <v>467</v>
      </c>
      <c r="W526" s="838">
        <v>584</v>
      </c>
      <c r="X526" s="839">
        <v>0</v>
      </c>
      <c r="Y526" s="840">
        <f t="shared" ref="Y526:Y534" si="172">W526-X526</f>
        <v>584</v>
      </c>
      <c r="Z526" s="838">
        <v>167</v>
      </c>
      <c r="AA526" s="839">
        <v>0</v>
      </c>
      <c r="AB526" s="840">
        <f t="shared" ref="AB526:AB534" si="173">Z526-AA526</f>
        <v>167</v>
      </c>
      <c r="AC526" s="838"/>
      <c r="AD526" s="839"/>
      <c r="AE526" s="840"/>
      <c r="AF526" s="838"/>
      <c r="AG526" s="839"/>
      <c r="AH526" s="840"/>
      <c r="AI526" s="841"/>
      <c r="AJ526" s="839">
        <f t="shared" ref="AJ526:AJ534" si="174">U526+X526+AA526+AD526+AG526</f>
        <v>0</v>
      </c>
      <c r="AK526" s="3906">
        <v>0</v>
      </c>
      <c r="AL526" s="869">
        <f t="shared" si="170"/>
        <v>0</v>
      </c>
      <c r="AM526" s="3369" t="s">
        <v>4488</v>
      </c>
      <c r="AN526" s="3360" t="s">
        <v>8604</v>
      </c>
      <c r="AO526" s="3361" t="s">
        <v>8605</v>
      </c>
      <c r="AP526" s="3696" t="s">
        <v>7742</v>
      </c>
      <c r="AQ526" s="3697">
        <v>116.3</v>
      </c>
      <c r="AR526" s="846">
        <v>0</v>
      </c>
      <c r="AS526" s="847">
        <v>0</v>
      </c>
      <c r="AT526" s="847">
        <v>0</v>
      </c>
      <c r="AU526" s="847">
        <v>0</v>
      </c>
      <c r="AV526" s="847">
        <v>0</v>
      </c>
      <c r="AW526" s="2872">
        <v>100</v>
      </c>
      <c r="AX526" s="2891"/>
      <c r="BB526" s="267"/>
      <c r="BC526" s="4117">
        <f t="shared" si="165"/>
        <v>0</v>
      </c>
      <c r="BD526" s="4117">
        <f t="shared" si="169"/>
        <v>0</v>
      </c>
      <c r="BE526" s="5071"/>
    </row>
    <row r="527" spans="1:57" ht="38.25">
      <c r="A527" s="5966" t="s">
        <v>11004</v>
      </c>
      <c r="B527" s="827" t="s">
        <v>7771</v>
      </c>
      <c r="C527" s="828">
        <v>0</v>
      </c>
      <c r="D527" s="829">
        <v>42818</v>
      </c>
      <c r="E527" s="829" t="s">
        <v>6385</v>
      </c>
      <c r="F527" s="830" t="s">
        <v>4154</v>
      </c>
      <c r="G527" s="2620">
        <v>1.0111000000000001</v>
      </c>
      <c r="H527" s="832" t="s">
        <v>4474</v>
      </c>
      <c r="I527" s="833" t="s">
        <v>1433</v>
      </c>
      <c r="J527" s="834" t="s">
        <v>1434</v>
      </c>
      <c r="K527" s="835">
        <v>44279</v>
      </c>
      <c r="L527" s="833" t="s">
        <v>4384</v>
      </c>
      <c r="M527" s="834" t="s">
        <v>4387</v>
      </c>
      <c r="N527" s="833" t="s">
        <v>4475</v>
      </c>
      <c r="O527" s="832" t="s">
        <v>6226</v>
      </c>
      <c r="P527" s="836"/>
      <c r="Q527" s="834" t="s">
        <v>4476</v>
      </c>
      <c r="R527" s="834" t="s">
        <v>4477</v>
      </c>
      <c r="S527" s="837"/>
      <c r="T527" s="838">
        <v>4853</v>
      </c>
      <c r="U527" s="839">
        <v>0</v>
      </c>
      <c r="V527" s="840">
        <f t="shared" si="171"/>
        <v>4853</v>
      </c>
      <c r="W527" s="838">
        <v>6067</v>
      </c>
      <c r="X527" s="839">
        <v>0</v>
      </c>
      <c r="Y527" s="840">
        <f t="shared" si="172"/>
        <v>6067</v>
      </c>
      <c r="Z527" s="838">
        <v>1213</v>
      </c>
      <c r="AA527" s="839">
        <v>0</v>
      </c>
      <c r="AB527" s="840">
        <f t="shared" si="173"/>
        <v>1213</v>
      </c>
      <c r="AC527" s="838"/>
      <c r="AD527" s="839"/>
      <c r="AE527" s="840"/>
      <c r="AF527" s="838"/>
      <c r="AG527" s="839"/>
      <c r="AH527" s="840"/>
      <c r="AI527" s="841">
        <f>T527+W527+Z527+AC527+AF527</f>
        <v>12133</v>
      </c>
      <c r="AJ527" s="839">
        <f t="shared" si="174"/>
        <v>0</v>
      </c>
      <c r="AK527" s="3906">
        <v>0</v>
      </c>
      <c r="AL527" s="869">
        <f t="shared" si="170"/>
        <v>12133</v>
      </c>
      <c r="AM527" s="3369" t="s">
        <v>1061</v>
      </c>
      <c r="AN527" s="3360">
        <v>44256</v>
      </c>
      <c r="AO527" s="3361" t="s">
        <v>8603</v>
      </c>
      <c r="AP527" s="3362" t="s">
        <v>7957</v>
      </c>
      <c r="AQ527" s="3555">
        <v>1.0795220000000001</v>
      </c>
      <c r="AR527" s="846">
        <v>0</v>
      </c>
      <c r="AS527" s="847">
        <v>0</v>
      </c>
      <c r="AT527" s="847">
        <v>0</v>
      </c>
      <c r="AU527" s="847">
        <v>0</v>
      </c>
      <c r="AV527" s="847">
        <v>0</v>
      </c>
      <c r="AW527" s="2872">
        <f>ROUND(AL527*AQ527/G527,0)</f>
        <v>12954</v>
      </c>
      <c r="AX527" s="2891"/>
      <c r="BA527" s="267"/>
      <c r="BB527" s="267"/>
      <c r="BC527" s="4117">
        <f t="shared" si="165"/>
        <v>0</v>
      </c>
      <c r="BD527" s="4117">
        <f t="shared" si="169"/>
        <v>0</v>
      </c>
      <c r="BE527" s="267"/>
    </row>
    <row r="528" spans="1:57" ht="76.5">
      <c r="A528" s="5967" t="s">
        <v>11154</v>
      </c>
      <c r="B528" s="827" t="s">
        <v>8544</v>
      </c>
      <c r="C528" s="828">
        <v>0</v>
      </c>
      <c r="D528" s="829">
        <v>42949</v>
      </c>
      <c r="E528" s="829" t="s">
        <v>6385</v>
      </c>
      <c r="F528" s="3694" t="s">
        <v>6558</v>
      </c>
      <c r="G528" s="3695">
        <v>116.3</v>
      </c>
      <c r="H528" s="832" t="s">
        <v>4785</v>
      </c>
      <c r="I528" s="833" t="s">
        <v>4809</v>
      </c>
      <c r="J528" s="834" t="s">
        <v>4306</v>
      </c>
      <c r="K528" s="835">
        <v>43679</v>
      </c>
      <c r="L528" s="833" t="s">
        <v>4787</v>
      </c>
      <c r="M528" s="834" t="s">
        <v>4788</v>
      </c>
      <c r="N528" s="833" t="s">
        <v>4789</v>
      </c>
      <c r="O528" s="832" t="s">
        <v>6239</v>
      </c>
      <c r="P528" s="836" t="s">
        <v>7757</v>
      </c>
      <c r="Q528" s="6096" t="s">
        <v>4332</v>
      </c>
      <c r="R528" s="834" t="s">
        <v>1046</v>
      </c>
      <c r="S528" s="837"/>
      <c r="T528" s="838">
        <v>467</v>
      </c>
      <c r="U528" s="839">
        <v>0</v>
      </c>
      <c r="V528" s="840">
        <f t="shared" si="171"/>
        <v>467</v>
      </c>
      <c r="W528" s="838">
        <v>584</v>
      </c>
      <c r="X528" s="839">
        <v>0</v>
      </c>
      <c r="Y528" s="840">
        <f t="shared" si="172"/>
        <v>584</v>
      </c>
      <c r="Z528" s="838">
        <v>167</v>
      </c>
      <c r="AA528" s="839">
        <v>0</v>
      </c>
      <c r="AB528" s="840">
        <f t="shared" si="173"/>
        <v>167</v>
      </c>
      <c r="AC528" s="838"/>
      <c r="AD528" s="839"/>
      <c r="AE528" s="840"/>
      <c r="AF528" s="838"/>
      <c r="AG528" s="839"/>
      <c r="AH528" s="840"/>
      <c r="AI528" s="841"/>
      <c r="AJ528" s="839">
        <f t="shared" si="174"/>
        <v>0</v>
      </c>
      <c r="AK528" s="3906">
        <v>0</v>
      </c>
      <c r="AL528" s="869">
        <f t="shared" si="170"/>
        <v>0</v>
      </c>
      <c r="AM528" s="3369" t="s">
        <v>4488</v>
      </c>
      <c r="AN528" s="3360">
        <v>44266</v>
      </c>
      <c r="AO528" s="3361" t="s">
        <v>8613</v>
      </c>
      <c r="AP528" s="3696" t="s">
        <v>7742</v>
      </c>
      <c r="AQ528" s="3697">
        <v>116.3</v>
      </c>
      <c r="AR528" s="846">
        <v>0</v>
      </c>
      <c r="AS528" s="847">
        <v>0</v>
      </c>
      <c r="AT528" s="847">
        <v>0</v>
      </c>
      <c r="AU528" s="847">
        <v>0</v>
      </c>
      <c r="AV528" s="847">
        <v>0</v>
      </c>
      <c r="AW528" s="2872">
        <v>100</v>
      </c>
      <c r="AX528" s="2891"/>
      <c r="BA528" s="267"/>
      <c r="BB528" s="267"/>
      <c r="BC528" s="4117">
        <f t="shared" si="165"/>
        <v>0</v>
      </c>
      <c r="BD528" s="4117">
        <f t="shared" si="169"/>
        <v>0</v>
      </c>
      <c r="BE528" s="5071"/>
    </row>
    <row r="529" spans="1:57" ht="76.5">
      <c r="A529" s="5967" t="s">
        <v>11154</v>
      </c>
      <c r="B529" s="827" t="s">
        <v>8544</v>
      </c>
      <c r="C529" s="828">
        <v>0</v>
      </c>
      <c r="D529" s="829">
        <v>42949</v>
      </c>
      <c r="E529" s="829" t="s">
        <v>6385</v>
      </c>
      <c r="F529" s="3694" t="s">
        <v>6558</v>
      </c>
      <c r="G529" s="3695">
        <v>116.3</v>
      </c>
      <c r="H529" s="832" t="s">
        <v>4785</v>
      </c>
      <c r="I529" s="833" t="s">
        <v>4809</v>
      </c>
      <c r="J529" s="834" t="s">
        <v>4306</v>
      </c>
      <c r="K529" s="835">
        <v>43679</v>
      </c>
      <c r="L529" s="833" t="s">
        <v>4787</v>
      </c>
      <c r="M529" s="834" t="s">
        <v>4788</v>
      </c>
      <c r="N529" s="833" t="s">
        <v>4789</v>
      </c>
      <c r="O529" s="832" t="s">
        <v>6239</v>
      </c>
      <c r="P529" s="836" t="s">
        <v>7757</v>
      </c>
      <c r="Q529" s="6096" t="s">
        <v>4332</v>
      </c>
      <c r="R529" s="834" t="s">
        <v>1046</v>
      </c>
      <c r="S529" s="837"/>
      <c r="T529" s="838">
        <v>467</v>
      </c>
      <c r="U529" s="839">
        <v>0</v>
      </c>
      <c r="V529" s="840">
        <f t="shared" si="171"/>
        <v>467</v>
      </c>
      <c r="W529" s="838">
        <v>584</v>
      </c>
      <c r="X529" s="839">
        <v>0</v>
      </c>
      <c r="Y529" s="840">
        <f t="shared" si="172"/>
        <v>584</v>
      </c>
      <c r="Z529" s="838">
        <v>167</v>
      </c>
      <c r="AA529" s="839">
        <v>0</v>
      </c>
      <c r="AB529" s="840">
        <f t="shared" si="173"/>
        <v>167</v>
      </c>
      <c r="AC529" s="838"/>
      <c r="AD529" s="839"/>
      <c r="AE529" s="840"/>
      <c r="AF529" s="838"/>
      <c r="AG529" s="839"/>
      <c r="AH529" s="840"/>
      <c r="AI529" s="841"/>
      <c r="AJ529" s="839">
        <f t="shared" si="174"/>
        <v>0</v>
      </c>
      <c r="AK529" s="3906">
        <v>0</v>
      </c>
      <c r="AL529" s="869">
        <f t="shared" si="170"/>
        <v>0</v>
      </c>
      <c r="AM529" s="3369" t="s">
        <v>4488</v>
      </c>
      <c r="AN529" s="3360">
        <v>44277</v>
      </c>
      <c r="AO529" s="3361" t="s">
        <v>8621</v>
      </c>
      <c r="AP529" s="3696" t="s">
        <v>7742</v>
      </c>
      <c r="AQ529" s="3697">
        <v>116.3</v>
      </c>
      <c r="AR529" s="846">
        <v>0</v>
      </c>
      <c r="AS529" s="847">
        <v>0</v>
      </c>
      <c r="AT529" s="847">
        <v>0</v>
      </c>
      <c r="AU529" s="847">
        <v>0</v>
      </c>
      <c r="AV529" s="847">
        <v>0</v>
      </c>
      <c r="AW529" s="2872">
        <v>200</v>
      </c>
      <c r="AX529" s="2891"/>
      <c r="BB529" s="267"/>
      <c r="BC529" s="4117">
        <f t="shared" si="165"/>
        <v>0</v>
      </c>
      <c r="BD529" s="4117">
        <f t="shared" si="169"/>
        <v>0</v>
      </c>
      <c r="BE529" s="5071"/>
    </row>
    <row r="530" spans="1:57" ht="76.5">
      <c r="A530" s="5967" t="s">
        <v>11154</v>
      </c>
      <c r="B530" s="827" t="s">
        <v>8544</v>
      </c>
      <c r="C530" s="828">
        <v>0</v>
      </c>
      <c r="D530" s="829">
        <v>42949</v>
      </c>
      <c r="E530" s="829" t="s">
        <v>6385</v>
      </c>
      <c r="F530" s="3694" t="s">
        <v>6558</v>
      </c>
      <c r="G530" s="3695">
        <v>116.3</v>
      </c>
      <c r="H530" s="832" t="s">
        <v>4785</v>
      </c>
      <c r="I530" s="833" t="s">
        <v>4809</v>
      </c>
      <c r="J530" s="834" t="s">
        <v>4306</v>
      </c>
      <c r="K530" s="835">
        <v>43679</v>
      </c>
      <c r="L530" s="833" t="s">
        <v>4787</v>
      </c>
      <c r="M530" s="834" t="s">
        <v>4788</v>
      </c>
      <c r="N530" s="833" t="s">
        <v>4789</v>
      </c>
      <c r="O530" s="832" t="s">
        <v>6239</v>
      </c>
      <c r="P530" s="836" t="s">
        <v>7757</v>
      </c>
      <c r="Q530" s="6096" t="s">
        <v>4332</v>
      </c>
      <c r="R530" s="834" t="s">
        <v>1046</v>
      </c>
      <c r="S530" s="837"/>
      <c r="T530" s="838">
        <v>467</v>
      </c>
      <c r="U530" s="839">
        <v>0</v>
      </c>
      <c r="V530" s="840">
        <f t="shared" si="171"/>
        <v>467</v>
      </c>
      <c r="W530" s="838">
        <v>584</v>
      </c>
      <c r="X530" s="839">
        <v>0</v>
      </c>
      <c r="Y530" s="840">
        <f t="shared" si="172"/>
        <v>584</v>
      </c>
      <c r="Z530" s="838">
        <v>167</v>
      </c>
      <c r="AA530" s="839">
        <v>0</v>
      </c>
      <c r="AB530" s="840">
        <f t="shared" si="173"/>
        <v>167</v>
      </c>
      <c r="AC530" s="838"/>
      <c r="AD530" s="839"/>
      <c r="AE530" s="840"/>
      <c r="AF530" s="838"/>
      <c r="AG530" s="839"/>
      <c r="AH530" s="840"/>
      <c r="AI530" s="841"/>
      <c r="AJ530" s="839">
        <f t="shared" si="174"/>
        <v>0</v>
      </c>
      <c r="AK530" s="3906">
        <v>0</v>
      </c>
      <c r="AL530" s="869">
        <f t="shared" si="170"/>
        <v>0</v>
      </c>
      <c r="AM530" s="3369" t="s">
        <v>4488</v>
      </c>
      <c r="AN530" s="3360">
        <v>44279</v>
      </c>
      <c r="AO530" s="3361" t="s">
        <v>8640</v>
      </c>
      <c r="AP530" s="3696" t="s">
        <v>7742</v>
      </c>
      <c r="AQ530" s="3697">
        <v>116.3</v>
      </c>
      <c r="AR530" s="846">
        <v>0</v>
      </c>
      <c r="AS530" s="847">
        <v>0</v>
      </c>
      <c r="AT530" s="847">
        <v>0</v>
      </c>
      <c r="AU530" s="847">
        <v>0</v>
      </c>
      <c r="AV530" s="847">
        <v>0</v>
      </c>
      <c r="AW530" s="2872">
        <v>100</v>
      </c>
      <c r="AX530" s="2891"/>
      <c r="BA530" s="267"/>
      <c r="BC530" s="4117">
        <f t="shared" si="165"/>
        <v>0</v>
      </c>
      <c r="BD530" s="4117">
        <f t="shared" si="169"/>
        <v>0</v>
      </c>
    </row>
    <row r="531" spans="1:57" ht="89.25">
      <c r="A531" s="2418" t="s">
        <v>11004</v>
      </c>
      <c r="B531" s="2419" t="s">
        <v>8645</v>
      </c>
      <c r="C531" s="321">
        <v>0</v>
      </c>
      <c r="D531" s="323">
        <v>43634</v>
      </c>
      <c r="E531" s="3051" t="s">
        <v>6386</v>
      </c>
      <c r="F531" s="324" t="s">
        <v>5757</v>
      </c>
      <c r="G531" s="2621">
        <v>1.0247219999999999</v>
      </c>
      <c r="H531" s="332" t="s">
        <v>6805</v>
      </c>
      <c r="I531" s="339" t="s">
        <v>8461</v>
      </c>
      <c r="J531" s="322" t="s">
        <v>4306</v>
      </c>
      <c r="K531" s="340">
        <v>44365</v>
      </c>
      <c r="L531" s="339" t="s">
        <v>6806</v>
      </c>
      <c r="M531" s="322" t="s">
        <v>6807</v>
      </c>
      <c r="N531" s="339" t="s">
        <v>6808</v>
      </c>
      <c r="O531" s="332" t="s">
        <v>8372</v>
      </c>
      <c r="P531" s="667" t="s">
        <v>8644</v>
      </c>
      <c r="Q531" s="6094" t="s">
        <v>5708</v>
      </c>
      <c r="R531" s="322" t="s">
        <v>5350</v>
      </c>
      <c r="S531" s="346"/>
      <c r="T531" s="347">
        <v>2444</v>
      </c>
      <c r="U531" s="326">
        <v>0</v>
      </c>
      <c r="V531" s="348">
        <f t="shared" si="171"/>
        <v>2444</v>
      </c>
      <c r="W531" s="347">
        <v>3056</v>
      </c>
      <c r="X531" s="326">
        <v>0</v>
      </c>
      <c r="Y531" s="348">
        <f t="shared" si="172"/>
        <v>3056</v>
      </c>
      <c r="Z531" s="347">
        <v>611</v>
      </c>
      <c r="AA531" s="326">
        <v>0</v>
      </c>
      <c r="AB531" s="348">
        <f t="shared" si="173"/>
        <v>611</v>
      </c>
      <c r="AC531" s="347"/>
      <c r="AD531" s="326"/>
      <c r="AE531" s="348"/>
      <c r="AF531" s="347"/>
      <c r="AG531" s="326"/>
      <c r="AH531" s="348"/>
      <c r="AI531" s="482">
        <f>T531+W531+Z531+AC531+AF531</f>
        <v>6111</v>
      </c>
      <c r="AJ531" s="326">
        <f t="shared" si="174"/>
        <v>0</v>
      </c>
      <c r="AK531" s="3917">
        <v>0</v>
      </c>
      <c r="AL531" s="349">
        <f t="shared" si="170"/>
        <v>6111</v>
      </c>
      <c r="AM531" s="1298" t="s">
        <v>6768</v>
      </c>
      <c r="AN531" s="3529">
        <v>44284</v>
      </c>
      <c r="AO531" s="3530" t="s">
        <v>8651</v>
      </c>
      <c r="AP531" s="2722" t="s">
        <v>8643</v>
      </c>
      <c r="AQ531" s="2723">
        <v>1.0795220000000001</v>
      </c>
      <c r="AR531" s="333">
        <v>0</v>
      </c>
      <c r="AS531" s="330">
        <v>0</v>
      </c>
      <c r="AT531" s="330">
        <v>0</v>
      </c>
      <c r="AU531" s="330">
        <v>0</v>
      </c>
      <c r="AV531" s="330">
        <v>0</v>
      </c>
      <c r="AW531" s="3156">
        <v>6909</v>
      </c>
      <c r="AX531" s="3140"/>
      <c r="BA531" s="267"/>
      <c r="BB531" s="267"/>
      <c r="BC531" s="4117">
        <f t="shared" si="165"/>
        <v>0</v>
      </c>
      <c r="BD531" s="4117">
        <f t="shared" si="169"/>
        <v>0</v>
      </c>
      <c r="BE531" s="267"/>
    </row>
    <row r="532" spans="1:57" ht="77.25" thickBot="1">
      <c r="A532" s="6059" t="s">
        <v>11004</v>
      </c>
      <c r="B532" s="5084" t="s">
        <v>8646</v>
      </c>
      <c r="C532" s="5085">
        <v>0</v>
      </c>
      <c r="D532" s="5086">
        <v>43640</v>
      </c>
      <c r="E532" s="5086" t="s">
        <v>6386</v>
      </c>
      <c r="F532" s="5087" t="s">
        <v>5757</v>
      </c>
      <c r="G532" s="5088">
        <v>1.0247219999999999</v>
      </c>
      <c r="H532" s="5089" t="s">
        <v>6822</v>
      </c>
      <c r="I532" s="5090" t="s">
        <v>8540</v>
      </c>
      <c r="J532" s="5091" t="s">
        <v>4306</v>
      </c>
      <c r="K532" s="5092">
        <v>44371</v>
      </c>
      <c r="L532" s="5090" t="s">
        <v>6806</v>
      </c>
      <c r="M532" s="5091" t="s">
        <v>6807</v>
      </c>
      <c r="N532" s="5090" t="s">
        <v>6827</v>
      </c>
      <c r="O532" s="5089" t="s">
        <v>8371</v>
      </c>
      <c r="P532" s="5093" t="s">
        <v>8644</v>
      </c>
      <c r="Q532" s="6109" t="s">
        <v>5708</v>
      </c>
      <c r="R532" s="5091" t="s">
        <v>5350</v>
      </c>
      <c r="S532" s="5094"/>
      <c r="T532" s="5095">
        <v>2444</v>
      </c>
      <c r="U532" s="5096">
        <v>0</v>
      </c>
      <c r="V532" s="5097">
        <f t="shared" si="171"/>
        <v>2444</v>
      </c>
      <c r="W532" s="5095">
        <v>3056</v>
      </c>
      <c r="X532" s="5096">
        <v>0</v>
      </c>
      <c r="Y532" s="5097">
        <f t="shared" si="172"/>
        <v>3056</v>
      </c>
      <c r="Z532" s="5095">
        <v>611</v>
      </c>
      <c r="AA532" s="5096">
        <v>0</v>
      </c>
      <c r="AB532" s="5097">
        <f t="shared" si="173"/>
        <v>611</v>
      </c>
      <c r="AC532" s="5095"/>
      <c r="AD532" s="5096"/>
      <c r="AE532" s="5097"/>
      <c r="AF532" s="5095"/>
      <c r="AG532" s="5096"/>
      <c r="AH532" s="5097"/>
      <c r="AI532" s="5098">
        <f>T532+W532+Z532+AC532+AF532</f>
        <v>6111</v>
      </c>
      <c r="AJ532" s="5096">
        <f t="shared" si="174"/>
        <v>0</v>
      </c>
      <c r="AK532" s="5099">
        <v>0</v>
      </c>
      <c r="AL532" s="5100">
        <f t="shared" si="170"/>
        <v>6111</v>
      </c>
      <c r="AM532" s="5101" t="s">
        <v>6768</v>
      </c>
      <c r="AN532" s="5102">
        <v>44284</v>
      </c>
      <c r="AO532" s="5103" t="s">
        <v>8651</v>
      </c>
      <c r="AP532" s="5104" t="s">
        <v>7957</v>
      </c>
      <c r="AQ532" s="5105">
        <v>1.0795220000000001</v>
      </c>
      <c r="AR532" s="5106">
        <v>0</v>
      </c>
      <c r="AS532" s="5107">
        <v>0</v>
      </c>
      <c r="AT532" s="5107">
        <v>0</v>
      </c>
      <c r="AU532" s="5107">
        <v>0</v>
      </c>
      <c r="AV532" s="5107">
        <v>0</v>
      </c>
      <c r="AW532" s="5108">
        <v>6909</v>
      </c>
      <c r="AX532" s="5109"/>
      <c r="AY532" s="4031" t="s">
        <v>8614</v>
      </c>
      <c r="AZ532" s="3857">
        <f>SUM(AW526:AW532)</f>
        <v>27272</v>
      </c>
      <c r="BA532" s="4028">
        <f>AZ532</f>
        <v>27272</v>
      </c>
      <c r="BB532" s="267"/>
      <c r="BC532" s="4117">
        <f t="shared" si="165"/>
        <v>0</v>
      </c>
      <c r="BD532" s="4117">
        <f t="shared" si="169"/>
        <v>0</v>
      </c>
      <c r="BE532" s="267"/>
    </row>
    <row r="533" spans="1:57" ht="76.5">
      <c r="A533" s="6001" t="s">
        <v>11004</v>
      </c>
      <c r="B533" s="2200" t="s">
        <v>8682</v>
      </c>
      <c r="C533" s="2201">
        <v>0</v>
      </c>
      <c r="D533" s="2202">
        <v>43619</v>
      </c>
      <c r="E533" s="2202" t="s">
        <v>6386</v>
      </c>
      <c r="F533" s="2203" t="s">
        <v>5757</v>
      </c>
      <c r="G533" s="5110">
        <v>1.0247219999999999</v>
      </c>
      <c r="H533" s="5111" t="s">
        <v>6744</v>
      </c>
      <c r="I533" s="2206" t="s">
        <v>6746</v>
      </c>
      <c r="J533" s="2207" t="s">
        <v>4306</v>
      </c>
      <c r="K533" s="2208">
        <v>44350</v>
      </c>
      <c r="L533" s="2206" t="s">
        <v>6748</v>
      </c>
      <c r="M533" s="2207" t="s">
        <v>6749</v>
      </c>
      <c r="N533" s="2206" t="s">
        <v>6750</v>
      </c>
      <c r="O533" s="2207" t="s">
        <v>6749</v>
      </c>
      <c r="P533" s="2209" t="s">
        <v>5972</v>
      </c>
      <c r="Q533" s="6110" t="s">
        <v>5708</v>
      </c>
      <c r="R533" s="2207" t="s">
        <v>5350</v>
      </c>
      <c r="S533" s="5112"/>
      <c r="T533" s="2210">
        <v>2444</v>
      </c>
      <c r="U533" s="2196">
        <v>0</v>
      </c>
      <c r="V533" s="2211">
        <f t="shared" si="171"/>
        <v>2444</v>
      </c>
      <c r="W533" s="2210">
        <v>3056</v>
      </c>
      <c r="X533" s="2196">
        <v>0</v>
      </c>
      <c r="Y533" s="2211">
        <f t="shared" si="172"/>
        <v>3056</v>
      </c>
      <c r="Z533" s="2210">
        <v>0</v>
      </c>
      <c r="AA533" s="2196">
        <v>0</v>
      </c>
      <c r="AB533" s="2211">
        <f t="shared" si="173"/>
        <v>0</v>
      </c>
      <c r="AC533" s="2210"/>
      <c r="AD533" s="2196"/>
      <c r="AE533" s="2211"/>
      <c r="AF533" s="2210"/>
      <c r="AG533" s="2196"/>
      <c r="AH533" s="2211"/>
      <c r="AI533" s="2195">
        <f>T533+W533+Z533+AC533+AF533</f>
        <v>5500</v>
      </c>
      <c r="AJ533" s="2196">
        <f t="shared" si="174"/>
        <v>0</v>
      </c>
      <c r="AK533" s="3913">
        <v>0</v>
      </c>
      <c r="AL533" s="2197">
        <f t="shared" si="170"/>
        <v>5500</v>
      </c>
      <c r="AM533" s="3474" t="s">
        <v>1061</v>
      </c>
      <c r="AN533" s="3475">
        <v>44295</v>
      </c>
      <c r="AO533" s="3476" t="s">
        <v>8683</v>
      </c>
      <c r="AP533" s="5113" t="s">
        <v>7957</v>
      </c>
      <c r="AQ533" s="5114">
        <v>1.0795220000000001</v>
      </c>
      <c r="AR533" s="2198">
        <v>0</v>
      </c>
      <c r="AS533" s="2199">
        <v>0</v>
      </c>
      <c r="AT533" s="2199">
        <v>0</v>
      </c>
      <c r="AU533" s="2199">
        <v>0</v>
      </c>
      <c r="AV533" s="2199">
        <v>0</v>
      </c>
      <c r="AW533" s="3013">
        <f>ROUND(AL533*AQ533/G533,0)</f>
        <v>5794</v>
      </c>
      <c r="AX533" s="2899"/>
      <c r="BA533" s="267"/>
      <c r="BB533" s="267"/>
      <c r="BC533" s="4117">
        <f t="shared" si="165"/>
        <v>0</v>
      </c>
      <c r="BD533" s="4117">
        <f t="shared" si="169"/>
        <v>0</v>
      </c>
      <c r="BE533" s="267"/>
    </row>
    <row r="534" spans="1:57" ht="79.5">
      <c r="A534" s="6060" t="s">
        <v>11004</v>
      </c>
      <c r="B534" s="1538" t="s">
        <v>7868</v>
      </c>
      <c r="C534" s="5115">
        <v>0</v>
      </c>
      <c r="D534" s="5116">
        <v>43054</v>
      </c>
      <c r="E534" s="5116" t="s">
        <v>6385</v>
      </c>
      <c r="F534" s="5117" t="s">
        <v>5915</v>
      </c>
      <c r="G534" s="5118">
        <v>1.0119899999999999</v>
      </c>
      <c r="H534" s="5119" t="s">
        <v>5088</v>
      </c>
      <c r="I534" s="5120" t="s">
        <v>1433</v>
      </c>
      <c r="J534" s="5121" t="s">
        <v>1434</v>
      </c>
      <c r="K534" s="5122">
        <v>44515</v>
      </c>
      <c r="L534" s="5120" t="s">
        <v>5083</v>
      </c>
      <c r="M534" s="5121" t="s">
        <v>5084</v>
      </c>
      <c r="N534" s="5120" t="s">
        <v>5085</v>
      </c>
      <c r="O534" s="5119" t="s">
        <v>6321</v>
      </c>
      <c r="P534" s="2215" t="s">
        <v>7744</v>
      </c>
      <c r="Q534" s="5121" t="s">
        <v>5086</v>
      </c>
      <c r="R534" s="5121" t="s">
        <v>5087</v>
      </c>
      <c r="S534" s="5123"/>
      <c r="T534" s="5124">
        <v>9715</v>
      </c>
      <c r="U534" s="5125">
        <v>0</v>
      </c>
      <c r="V534" s="5126">
        <f t="shared" si="171"/>
        <v>9715</v>
      </c>
      <c r="W534" s="5124">
        <v>12144</v>
      </c>
      <c r="X534" s="5125">
        <v>0</v>
      </c>
      <c r="Y534" s="5126">
        <f t="shared" si="172"/>
        <v>12144</v>
      </c>
      <c r="Z534" s="5124">
        <v>2428</v>
      </c>
      <c r="AA534" s="5125">
        <v>0</v>
      </c>
      <c r="AB534" s="5126">
        <f t="shared" si="173"/>
        <v>2428</v>
      </c>
      <c r="AC534" s="5124"/>
      <c r="AD534" s="5125"/>
      <c r="AE534" s="5126"/>
      <c r="AF534" s="5124"/>
      <c r="AG534" s="5125"/>
      <c r="AH534" s="5126"/>
      <c r="AI534" s="5127">
        <v>0</v>
      </c>
      <c r="AJ534" s="5125">
        <f t="shared" si="174"/>
        <v>0</v>
      </c>
      <c r="AK534" s="5128">
        <v>0</v>
      </c>
      <c r="AL534" s="5129">
        <f t="shared" si="170"/>
        <v>0</v>
      </c>
      <c r="AM534" s="5130" t="s">
        <v>8704</v>
      </c>
      <c r="AN534" s="5131">
        <v>44299</v>
      </c>
      <c r="AO534" s="5138" t="s">
        <v>8714</v>
      </c>
      <c r="AP534" s="5136" t="s">
        <v>6894</v>
      </c>
      <c r="AQ534" s="5137">
        <v>1.047839</v>
      </c>
      <c r="AR534" s="5132">
        <v>0</v>
      </c>
      <c r="AS534" s="5133">
        <v>0</v>
      </c>
      <c r="AT534" s="5133">
        <v>0</v>
      </c>
      <c r="AU534" s="5133">
        <v>0</v>
      </c>
      <c r="AV534" s="5133">
        <v>0</v>
      </c>
      <c r="AW534" s="5134">
        <v>5000</v>
      </c>
      <c r="AX534" s="5135" t="s">
        <v>8705</v>
      </c>
      <c r="BA534" s="267"/>
      <c r="BB534" s="267"/>
      <c r="BC534" s="4117">
        <f t="shared" si="165"/>
        <v>0</v>
      </c>
      <c r="BD534" s="4117">
        <f t="shared" si="169"/>
        <v>0</v>
      </c>
      <c r="BE534" s="267"/>
    </row>
    <row r="535" spans="1:57" ht="89.25">
      <c r="A535" s="5981" t="s">
        <v>11022</v>
      </c>
      <c r="B535" s="1538" t="s">
        <v>8620</v>
      </c>
      <c r="C535" s="1509">
        <v>0</v>
      </c>
      <c r="D535" s="1510">
        <v>44124</v>
      </c>
      <c r="E535" s="4344" t="s">
        <v>8170</v>
      </c>
      <c r="F535" s="1511" t="s">
        <v>7957</v>
      </c>
      <c r="G535" s="2663">
        <v>1.0795220000000001</v>
      </c>
      <c r="H535" s="1513" t="s">
        <v>8273</v>
      </c>
      <c r="I535" s="1514" t="s">
        <v>8176</v>
      </c>
      <c r="J535" s="4345" t="s">
        <v>4306</v>
      </c>
      <c r="K535" s="1516">
        <v>44124</v>
      </c>
      <c r="L535" s="1514" t="s">
        <v>8177</v>
      </c>
      <c r="M535" s="1515" t="s">
        <v>8178</v>
      </c>
      <c r="N535" s="1514" t="s">
        <v>8179</v>
      </c>
      <c r="O535" s="1515" t="s">
        <v>8178</v>
      </c>
      <c r="P535" s="1517"/>
      <c r="Q535" s="6094" t="s">
        <v>5708</v>
      </c>
      <c r="R535" s="1515" t="s">
        <v>5350</v>
      </c>
      <c r="S535" s="1518"/>
      <c r="T535" s="1519"/>
      <c r="U535" s="1504"/>
      <c r="V535" s="1520"/>
      <c r="W535" s="1519"/>
      <c r="X535" s="1504"/>
      <c r="Y535" s="1520"/>
      <c r="Z535" s="1519"/>
      <c r="AA535" s="1504"/>
      <c r="AB535" s="1520"/>
      <c r="AC535" s="1519"/>
      <c r="AD535" s="1504"/>
      <c r="AE535" s="1520"/>
      <c r="AF535" s="1519"/>
      <c r="AG535" s="1504"/>
      <c r="AH535" s="1520"/>
      <c r="AI535" s="1503">
        <v>5484</v>
      </c>
      <c r="AJ535" s="1504">
        <v>0</v>
      </c>
      <c r="AK535" s="3919">
        <v>0</v>
      </c>
      <c r="AL535" s="1505">
        <f t="shared" si="170"/>
        <v>5484</v>
      </c>
      <c r="AM535" s="1508" t="s">
        <v>1061</v>
      </c>
      <c r="AN535" s="3401">
        <v>44300</v>
      </c>
      <c r="AO535" s="3402" t="s">
        <v>8722</v>
      </c>
      <c r="AP535" s="2905" t="s">
        <v>7957</v>
      </c>
      <c r="AQ535" s="2906">
        <v>1.0795220000000001</v>
      </c>
      <c r="AR535" s="1506"/>
      <c r="AS535" s="1507"/>
      <c r="AT535" s="1507"/>
      <c r="AU535" s="1507"/>
      <c r="AV535" s="1507"/>
      <c r="AW535" s="3247">
        <f>ROUND(AL535*AQ535/G535,0)</f>
        <v>5484</v>
      </c>
      <c r="AX535" s="3146"/>
      <c r="BA535" s="267"/>
      <c r="BB535" s="267"/>
      <c r="BC535" s="4117">
        <f t="shared" ref="BC535:BC598" si="175">ROUND($AJ535*$AQ535/$G535,0)</f>
        <v>0</v>
      </c>
      <c r="BD535" s="4117">
        <f t="shared" si="169"/>
        <v>0</v>
      </c>
      <c r="BE535" s="267"/>
    </row>
    <row r="536" spans="1:57" ht="102">
      <c r="A536" s="5981" t="s">
        <v>11004</v>
      </c>
      <c r="B536" s="1538" t="s">
        <v>8726</v>
      </c>
      <c r="C536" s="1509">
        <v>2</v>
      </c>
      <c r="D536" s="1510" t="s">
        <v>6932</v>
      </c>
      <c r="E536" s="3053" t="s">
        <v>6385</v>
      </c>
      <c r="F536" s="1511" t="s">
        <v>5915</v>
      </c>
      <c r="G536" s="2663">
        <v>1.0119899999999999</v>
      </c>
      <c r="H536" s="1513" t="s">
        <v>5301</v>
      </c>
      <c r="I536" s="1514" t="s">
        <v>1436</v>
      </c>
      <c r="J536" s="1515" t="s">
        <v>1437</v>
      </c>
      <c r="K536" s="5139">
        <v>44608</v>
      </c>
      <c r="L536" s="1514" t="s">
        <v>5119</v>
      </c>
      <c r="M536" s="1515" t="s">
        <v>3046</v>
      </c>
      <c r="N536" s="1514" t="s">
        <v>5118</v>
      </c>
      <c r="O536" s="1513" t="s">
        <v>6320</v>
      </c>
      <c r="P536" s="1517" t="s">
        <v>7752</v>
      </c>
      <c r="Q536" s="1515" t="s">
        <v>5120</v>
      </c>
      <c r="R536" s="1515" t="s">
        <v>5121</v>
      </c>
      <c r="S536" s="1518"/>
      <c r="T536" s="1519">
        <f>ROUNDUP(62411*50%,0)</f>
        <v>31206</v>
      </c>
      <c r="U536" s="1504">
        <v>0</v>
      </c>
      <c r="V536" s="1520">
        <f>T536-U536</f>
        <v>31206</v>
      </c>
      <c r="W536" s="1519">
        <f>78014*50%</f>
        <v>39007</v>
      </c>
      <c r="X536" s="1504">
        <v>0</v>
      </c>
      <c r="Y536" s="1520">
        <f>W536-X536</f>
        <v>39007</v>
      </c>
      <c r="Z536" s="1519">
        <f>15602*50%</f>
        <v>7801</v>
      </c>
      <c r="AA536" s="1504">
        <v>0</v>
      </c>
      <c r="AB536" s="1520">
        <f>Z536-AA536</f>
        <v>7801</v>
      </c>
      <c r="AC536" s="1519"/>
      <c r="AD536" s="1504"/>
      <c r="AE536" s="1520"/>
      <c r="AF536" s="1519"/>
      <c r="AG536" s="1504"/>
      <c r="AH536" s="1520"/>
      <c r="AI536" s="1503">
        <f>T536+W536+Z536+AC536+AF536</f>
        <v>78014</v>
      </c>
      <c r="AJ536" s="1504">
        <f>U536+X536+AA536+AD536+AG536</f>
        <v>0</v>
      </c>
      <c r="AK536" s="3919">
        <v>0</v>
      </c>
      <c r="AL536" s="1505">
        <f t="shared" si="170"/>
        <v>78014</v>
      </c>
      <c r="AM536" s="1508" t="s">
        <v>1061</v>
      </c>
      <c r="AN536" s="3401">
        <v>44300</v>
      </c>
      <c r="AO536" s="3402" t="s">
        <v>8723</v>
      </c>
      <c r="AP536" s="2664" t="s">
        <v>7957</v>
      </c>
      <c r="AQ536" s="2806">
        <v>1.0795220000000001</v>
      </c>
      <c r="AR536" s="1506">
        <v>0</v>
      </c>
      <c r="AS536" s="1507">
        <v>0</v>
      </c>
      <c r="AT536" s="1507">
        <v>0</v>
      </c>
      <c r="AU536" s="1507">
        <v>0</v>
      </c>
      <c r="AV536" s="1507">
        <v>0</v>
      </c>
      <c r="AW536" s="3247">
        <f>ROUND(AL536*AQ536/G536,0)</f>
        <v>83220</v>
      </c>
      <c r="AX536" s="3146"/>
      <c r="BA536" s="267"/>
      <c r="BB536" s="267"/>
      <c r="BC536" s="4117">
        <f t="shared" si="175"/>
        <v>0</v>
      </c>
      <c r="BD536" s="4117">
        <f t="shared" si="169"/>
        <v>0</v>
      </c>
      <c r="BE536" s="267"/>
    </row>
    <row r="537" spans="1:57" ht="89.25">
      <c r="A537" s="5981" t="s">
        <v>11022</v>
      </c>
      <c r="B537" s="1538" t="s">
        <v>8724</v>
      </c>
      <c r="C537" s="1509">
        <v>0</v>
      </c>
      <c r="D537" s="1510">
        <v>44104</v>
      </c>
      <c r="E537" s="4344" t="s">
        <v>7972</v>
      </c>
      <c r="F537" s="1511" t="s">
        <v>7957</v>
      </c>
      <c r="G537" s="2663">
        <v>1.0795220000000001</v>
      </c>
      <c r="H537" s="1513" t="s">
        <v>8270</v>
      </c>
      <c r="I537" s="1514" t="s">
        <v>8108</v>
      </c>
      <c r="J537" s="4345" t="s">
        <v>4306</v>
      </c>
      <c r="K537" s="1516">
        <v>44834</v>
      </c>
      <c r="L537" s="1514" t="s">
        <v>8113</v>
      </c>
      <c r="M537" s="1515" t="s">
        <v>6311</v>
      </c>
      <c r="N537" s="1514" t="s">
        <v>8114</v>
      </c>
      <c r="O537" s="1513" t="s">
        <v>8115</v>
      </c>
      <c r="P537" s="1517"/>
      <c r="Q537" s="6094" t="s">
        <v>5708</v>
      </c>
      <c r="R537" s="1515" t="s">
        <v>5350</v>
      </c>
      <c r="S537" s="1518"/>
      <c r="T537" s="1519"/>
      <c r="U537" s="1504"/>
      <c r="V537" s="1520"/>
      <c r="W537" s="1519"/>
      <c r="X537" s="1504"/>
      <c r="Y537" s="1520"/>
      <c r="Z537" s="1519"/>
      <c r="AA537" s="1504"/>
      <c r="AB537" s="1520"/>
      <c r="AC537" s="1519"/>
      <c r="AD537" s="1504"/>
      <c r="AE537" s="1520"/>
      <c r="AF537" s="1519"/>
      <c r="AG537" s="1504"/>
      <c r="AH537" s="1520"/>
      <c r="AI537" s="1503">
        <v>5485</v>
      </c>
      <c r="AJ537" s="1504">
        <v>0</v>
      </c>
      <c r="AK537" s="3919">
        <v>0</v>
      </c>
      <c r="AL537" s="1505">
        <f t="shared" si="170"/>
        <v>5485</v>
      </c>
      <c r="AM537" s="1508" t="s">
        <v>1061</v>
      </c>
      <c r="AN537" s="3401">
        <v>44301</v>
      </c>
      <c r="AO537" s="3402" t="s">
        <v>8725</v>
      </c>
      <c r="AP537" s="2905" t="s">
        <v>7957</v>
      </c>
      <c r="AQ537" s="2906">
        <v>1.0795220000000001</v>
      </c>
      <c r="AR537" s="1506"/>
      <c r="AS537" s="1507"/>
      <c r="AT537" s="1507"/>
      <c r="AU537" s="1507"/>
      <c r="AV537" s="1507"/>
      <c r="AW537" s="3247">
        <f>ROUND(AL537*AQ537/G537,0)</f>
        <v>5485</v>
      </c>
      <c r="AX537" s="3146"/>
      <c r="BA537" s="267"/>
      <c r="BB537" s="267"/>
      <c r="BC537" s="4117">
        <f t="shared" si="175"/>
        <v>0</v>
      </c>
      <c r="BD537" s="4117">
        <f t="shared" si="169"/>
        <v>0</v>
      </c>
      <c r="BE537" s="267"/>
    </row>
    <row r="538" spans="1:57" ht="89.25">
      <c r="A538" s="5981" t="s">
        <v>11022</v>
      </c>
      <c r="B538" s="1538" t="s">
        <v>8727</v>
      </c>
      <c r="C538" s="1509">
        <v>0</v>
      </c>
      <c r="D538" s="1510">
        <v>44286</v>
      </c>
      <c r="E538" s="4344" t="s">
        <v>8170</v>
      </c>
      <c r="F538" s="1511" t="s">
        <v>7957</v>
      </c>
      <c r="G538" s="2663">
        <v>1.0795220000000001</v>
      </c>
      <c r="H538" s="5140" t="s">
        <v>8665</v>
      </c>
      <c r="I538" s="5051" t="s">
        <v>8661</v>
      </c>
      <c r="J538" s="5141">
        <v>44378</v>
      </c>
      <c r="K538" s="1516" t="s">
        <v>8675</v>
      </c>
      <c r="L538" s="1514" t="s">
        <v>8662</v>
      </c>
      <c r="M538" s="1515" t="s">
        <v>8663</v>
      </c>
      <c r="N538" s="1514" t="s">
        <v>8664</v>
      </c>
      <c r="O538" s="1515" t="s">
        <v>8663</v>
      </c>
      <c r="P538" s="2215" t="s">
        <v>8657</v>
      </c>
      <c r="Q538" s="6094" t="s">
        <v>5708</v>
      </c>
      <c r="R538" s="1515" t="s">
        <v>5350</v>
      </c>
      <c r="S538" s="1518"/>
      <c r="T538" s="1519"/>
      <c r="U538" s="1504"/>
      <c r="V538" s="1520"/>
      <c r="W538" s="1519"/>
      <c r="X538" s="1504"/>
      <c r="Y538" s="1520"/>
      <c r="Z538" s="1519"/>
      <c r="AA538" s="1504"/>
      <c r="AB538" s="1520"/>
      <c r="AC538" s="1519"/>
      <c r="AD538" s="1504"/>
      <c r="AE538" s="1520"/>
      <c r="AF538" s="1519"/>
      <c r="AG538" s="1504"/>
      <c r="AH538" s="1520"/>
      <c r="AI538" s="1503">
        <v>5793</v>
      </c>
      <c r="AJ538" s="1504">
        <v>0</v>
      </c>
      <c r="AK538" s="3919">
        <v>0</v>
      </c>
      <c r="AL538" s="1505">
        <f t="shared" si="170"/>
        <v>5793</v>
      </c>
      <c r="AM538" s="1508" t="s">
        <v>1061</v>
      </c>
      <c r="AN538" s="3401">
        <v>44305</v>
      </c>
      <c r="AO538" s="3402" t="s">
        <v>8728</v>
      </c>
      <c r="AP538" s="3539" t="s">
        <v>7957</v>
      </c>
      <c r="AQ538" s="4189">
        <v>1.0795220000000001</v>
      </c>
      <c r="AR538" s="1506"/>
      <c r="AS538" s="1507"/>
      <c r="AT538" s="1507"/>
      <c r="AU538" s="1507"/>
      <c r="AV538" s="1507"/>
      <c r="AW538" s="3247">
        <f>ROUND(AL538*AQ538/G538,0)</f>
        <v>5793</v>
      </c>
      <c r="AX538" s="3146"/>
      <c r="BA538" s="267"/>
      <c r="BB538" s="267"/>
      <c r="BC538" s="4117">
        <f t="shared" si="175"/>
        <v>0</v>
      </c>
      <c r="BD538" s="4117">
        <f t="shared" si="169"/>
        <v>0</v>
      </c>
      <c r="BE538" s="267"/>
    </row>
    <row r="539" spans="1:57" ht="76.5">
      <c r="A539" s="6006" t="s">
        <v>11154</v>
      </c>
      <c r="B539" s="2298" t="s">
        <v>8544</v>
      </c>
      <c r="C539" s="2299">
        <v>0</v>
      </c>
      <c r="D539" s="2300">
        <v>42949</v>
      </c>
      <c r="E539" s="2300" t="s">
        <v>6385</v>
      </c>
      <c r="F539" s="5142" t="s">
        <v>6558</v>
      </c>
      <c r="G539" s="5143">
        <v>116.3</v>
      </c>
      <c r="H539" s="2306" t="s">
        <v>4785</v>
      </c>
      <c r="I539" s="2303" t="s">
        <v>4809</v>
      </c>
      <c r="J539" s="2304" t="s">
        <v>4306</v>
      </c>
      <c r="K539" s="2305">
        <v>43679</v>
      </c>
      <c r="L539" s="2303" t="s">
        <v>4787</v>
      </c>
      <c r="M539" s="2304" t="s">
        <v>4788</v>
      </c>
      <c r="N539" s="2303" t="s">
        <v>4789</v>
      </c>
      <c r="O539" s="2306" t="s">
        <v>6239</v>
      </c>
      <c r="P539" s="2321" t="s">
        <v>7757</v>
      </c>
      <c r="Q539" s="6096" t="s">
        <v>4332</v>
      </c>
      <c r="R539" s="2304" t="s">
        <v>1046</v>
      </c>
      <c r="S539" s="2307"/>
      <c r="T539" s="2308">
        <v>467</v>
      </c>
      <c r="U539" s="2309">
        <v>0</v>
      </c>
      <c r="V539" s="2310">
        <f>T539-U539</f>
        <v>467</v>
      </c>
      <c r="W539" s="2308">
        <v>584</v>
      </c>
      <c r="X539" s="2309">
        <v>0</v>
      </c>
      <c r="Y539" s="2310">
        <f>W539-X539</f>
        <v>584</v>
      </c>
      <c r="Z539" s="2308">
        <v>167</v>
      </c>
      <c r="AA539" s="2309">
        <v>0</v>
      </c>
      <c r="AB539" s="2310">
        <f>Z539-AA539</f>
        <v>167</v>
      </c>
      <c r="AC539" s="2308"/>
      <c r="AD539" s="2309"/>
      <c r="AE539" s="2310"/>
      <c r="AF539" s="2308"/>
      <c r="AG539" s="2309"/>
      <c r="AH539" s="2310"/>
      <c r="AI539" s="2311"/>
      <c r="AJ539" s="2309">
        <f>U539+X539+AA539+AD539+AG539</f>
        <v>0</v>
      </c>
      <c r="AK539" s="3914">
        <v>0</v>
      </c>
      <c r="AL539" s="2312">
        <f t="shared" si="170"/>
        <v>0</v>
      </c>
      <c r="AM539" s="3491" t="s">
        <v>4488</v>
      </c>
      <c r="AN539" s="3492">
        <v>44305</v>
      </c>
      <c r="AO539" s="2492" t="s">
        <v>8729</v>
      </c>
      <c r="AP539" s="3539" t="s">
        <v>7742</v>
      </c>
      <c r="AQ539" s="4189">
        <v>116.3</v>
      </c>
      <c r="AR539" s="2313">
        <v>0</v>
      </c>
      <c r="AS539" s="2314">
        <v>0</v>
      </c>
      <c r="AT539" s="2314">
        <v>0</v>
      </c>
      <c r="AU539" s="2314">
        <v>0</v>
      </c>
      <c r="AV539" s="2314">
        <v>0</v>
      </c>
      <c r="AW539" s="2883">
        <v>100</v>
      </c>
      <c r="AX539" s="2899"/>
      <c r="BA539" s="267"/>
      <c r="BC539" s="4117">
        <f t="shared" si="175"/>
        <v>0</v>
      </c>
      <c r="BD539" s="4117">
        <f t="shared" si="169"/>
        <v>0</v>
      </c>
      <c r="BE539" s="267"/>
    </row>
    <row r="540" spans="1:57" ht="51">
      <c r="A540" s="6017" t="s">
        <v>11004</v>
      </c>
      <c r="B540" s="2298" t="s">
        <v>8743</v>
      </c>
      <c r="C540" s="2299">
        <v>0</v>
      </c>
      <c r="D540" s="2300">
        <v>42601</v>
      </c>
      <c r="E540" s="2300" t="s">
        <v>6387</v>
      </c>
      <c r="F540" s="2497" t="s">
        <v>4154</v>
      </c>
      <c r="G540" s="3110">
        <v>1.0111000000000001</v>
      </c>
      <c r="H540" s="2306" t="s">
        <v>3997</v>
      </c>
      <c r="I540" s="2303" t="s">
        <v>1433</v>
      </c>
      <c r="J540" s="2304" t="s">
        <v>1434</v>
      </c>
      <c r="K540" s="2305" t="s">
        <v>8121</v>
      </c>
      <c r="L540" s="2303" t="s">
        <v>3998</v>
      </c>
      <c r="M540" s="2304" t="s">
        <v>3999</v>
      </c>
      <c r="N540" s="2303" t="s">
        <v>4000</v>
      </c>
      <c r="O540" s="2306" t="s">
        <v>6213</v>
      </c>
      <c r="P540" s="2321"/>
      <c r="Q540" s="2304" t="s">
        <v>4002</v>
      </c>
      <c r="R540" s="2304" t="s">
        <v>4001</v>
      </c>
      <c r="S540" s="2307"/>
      <c r="T540" s="2308">
        <v>117572</v>
      </c>
      <c r="U540" s="2309">
        <v>0</v>
      </c>
      <c r="V540" s="2310">
        <f>T540-U540</f>
        <v>117572</v>
      </c>
      <c r="W540" s="2308">
        <v>20748</v>
      </c>
      <c r="X540" s="2309">
        <v>0</v>
      </c>
      <c r="Y540" s="2310">
        <f>W540-X540</f>
        <v>20748</v>
      </c>
      <c r="Z540" s="2308">
        <v>-2477</v>
      </c>
      <c r="AA540" s="2309">
        <v>0</v>
      </c>
      <c r="AB540" s="2310">
        <f>Z540-AA540</f>
        <v>-2477</v>
      </c>
      <c r="AC540" s="2308"/>
      <c r="AD540" s="2309"/>
      <c r="AE540" s="2310"/>
      <c r="AF540" s="2308"/>
      <c r="AG540" s="2309"/>
      <c r="AH540" s="2310"/>
      <c r="AI540" s="2311">
        <f>T540+W540+Z540+AC540+AF540</f>
        <v>135843</v>
      </c>
      <c r="AJ540" s="2309">
        <f>U540+X540+AA540+AD540+AG540</f>
        <v>0</v>
      </c>
      <c r="AK540" s="3914">
        <v>0</v>
      </c>
      <c r="AL540" s="2312">
        <f t="shared" si="170"/>
        <v>135843</v>
      </c>
      <c r="AM540" s="3491" t="s">
        <v>1061</v>
      </c>
      <c r="AN540" s="3492">
        <v>44306</v>
      </c>
      <c r="AO540" s="2492" t="s">
        <v>8730</v>
      </c>
      <c r="AP540" s="2905" t="s">
        <v>7957</v>
      </c>
      <c r="AQ540" s="2906">
        <v>1.0795220000000001</v>
      </c>
      <c r="AR540" s="2313">
        <v>0</v>
      </c>
      <c r="AS540" s="2314">
        <v>0</v>
      </c>
      <c r="AT540" s="2314">
        <v>0</v>
      </c>
      <c r="AU540" s="2314">
        <v>0</v>
      </c>
      <c r="AV540" s="2314">
        <v>0</v>
      </c>
      <c r="AW540" s="2883">
        <f t="shared" ref="AW540:AW547" si="176">ROUND(AL540*AQ540/G540,0)</f>
        <v>145036</v>
      </c>
      <c r="AX540" s="2899"/>
      <c r="BA540" s="267"/>
      <c r="BB540" s="267"/>
      <c r="BC540" s="4117">
        <f t="shared" si="175"/>
        <v>0</v>
      </c>
      <c r="BD540" s="4117">
        <f t="shared" si="169"/>
        <v>0</v>
      </c>
      <c r="BE540" s="267"/>
    </row>
    <row r="541" spans="1:57" ht="76.5">
      <c r="A541" s="5981" t="s">
        <v>11022</v>
      </c>
      <c r="B541" s="1538" t="s">
        <v>6969</v>
      </c>
      <c r="C541" s="1509">
        <v>0</v>
      </c>
      <c r="D541" s="1510">
        <v>43872</v>
      </c>
      <c r="E541" s="4344" t="s">
        <v>7151</v>
      </c>
      <c r="F541" s="1511" t="s">
        <v>6893</v>
      </c>
      <c r="G541" s="2663">
        <v>1.047839</v>
      </c>
      <c r="H541" s="5144" t="s">
        <v>7652</v>
      </c>
      <c r="I541" s="1514" t="s">
        <v>5753</v>
      </c>
      <c r="J541" s="1515" t="s">
        <v>2712</v>
      </c>
      <c r="K541" s="1516">
        <v>45330</v>
      </c>
      <c r="L541" s="1514" t="s">
        <v>7649</v>
      </c>
      <c r="M541" s="1515" t="s">
        <v>6628</v>
      </c>
      <c r="N541" s="1514" t="s">
        <v>7651</v>
      </c>
      <c r="O541" s="1513" t="s">
        <v>7650</v>
      </c>
      <c r="P541" s="1517" t="s">
        <v>7390</v>
      </c>
      <c r="Q541" s="1515" t="s">
        <v>7648</v>
      </c>
      <c r="R541" s="1515" t="s">
        <v>7790</v>
      </c>
      <c r="S541" s="1518"/>
      <c r="T541" s="1519"/>
      <c r="U541" s="1504"/>
      <c r="V541" s="1520"/>
      <c r="W541" s="1519"/>
      <c r="X541" s="1504"/>
      <c r="Y541" s="1520"/>
      <c r="Z541" s="1519"/>
      <c r="AA541" s="1504"/>
      <c r="AB541" s="1520"/>
      <c r="AC541" s="1519"/>
      <c r="AD541" s="1504"/>
      <c r="AE541" s="1520"/>
      <c r="AF541" s="1519"/>
      <c r="AG541" s="1504"/>
      <c r="AH541" s="1520"/>
      <c r="AI541" s="1503">
        <v>174277</v>
      </c>
      <c r="AJ541" s="1504">
        <v>0</v>
      </c>
      <c r="AK541" s="3919">
        <v>0</v>
      </c>
      <c r="AL541" s="1505">
        <f t="shared" si="170"/>
        <v>174277</v>
      </c>
      <c r="AM541" s="1508" t="s">
        <v>1061</v>
      </c>
      <c r="AN541" s="3401">
        <v>44306</v>
      </c>
      <c r="AO541" s="3402" t="s">
        <v>8744</v>
      </c>
      <c r="AP541" s="2905" t="s">
        <v>7957</v>
      </c>
      <c r="AQ541" s="2906">
        <v>1.0795220000000001</v>
      </c>
      <c r="AR541" s="1506"/>
      <c r="AS541" s="1507"/>
      <c r="AT541" s="1507"/>
      <c r="AU541" s="1507"/>
      <c r="AV541" s="1507"/>
      <c r="AW541" s="3247">
        <f t="shared" si="176"/>
        <v>179547</v>
      </c>
      <c r="AX541" s="3146"/>
      <c r="BB541" s="267"/>
      <c r="BC541" s="4117">
        <f t="shared" si="175"/>
        <v>0</v>
      </c>
      <c r="BD541" s="4117">
        <f t="shared" si="169"/>
        <v>0</v>
      </c>
      <c r="BE541" s="267"/>
    </row>
    <row r="542" spans="1:57" ht="76.5">
      <c r="A542" s="5981" t="s">
        <v>11004</v>
      </c>
      <c r="B542" s="5178" t="s">
        <v>8849</v>
      </c>
      <c r="C542" s="5179">
        <v>0</v>
      </c>
      <c r="D542" s="5180">
        <v>44307</v>
      </c>
      <c r="E542" s="4344" t="s">
        <v>8170</v>
      </c>
      <c r="F542" s="1511" t="s">
        <v>7957</v>
      </c>
      <c r="G542" s="2663">
        <v>1.0795220000000001</v>
      </c>
      <c r="H542" s="1513" t="s">
        <v>8841</v>
      </c>
      <c r="I542" s="5181" t="s">
        <v>8842</v>
      </c>
      <c r="J542" s="5182" t="s">
        <v>4306</v>
      </c>
      <c r="K542" s="5183">
        <v>44963</v>
      </c>
      <c r="L542" s="5181" t="s">
        <v>8843</v>
      </c>
      <c r="M542" s="5184" t="s">
        <v>8844</v>
      </c>
      <c r="N542" s="5181" t="s">
        <v>8848</v>
      </c>
      <c r="O542" s="5184" t="s">
        <v>8845</v>
      </c>
      <c r="P542" s="5181"/>
      <c r="Q542" s="5182" t="s">
        <v>8846</v>
      </c>
      <c r="R542" s="5182" t="s">
        <v>5479</v>
      </c>
      <c r="S542" s="5185" t="s">
        <v>8847</v>
      </c>
      <c r="T542" s="5186"/>
      <c r="U542" s="5060"/>
      <c r="V542" s="5187"/>
      <c r="W542" s="5186"/>
      <c r="X542" s="5060"/>
      <c r="Y542" s="5187"/>
      <c r="Z542" s="5186"/>
      <c r="AA542" s="5060"/>
      <c r="AB542" s="5187"/>
      <c r="AC542" s="5186"/>
      <c r="AD542" s="5060"/>
      <c r="AE542" s="5187"/>
      <c r="AF542" s="5186"/>
      <c r="AG542" s="5060"/>
      <c r="AH542" s="5188"/>
      <c r="AI542" s="1503">
        <v>18136</v>
      </c>
      <c r="AJ542" s="1504">
        <v>18136</v>
      </c>
      <c r="AK542" s="3919">
        <v>0</v>
      </c>
      <c r="AL542" s="1505">
        <f t="shared" si="170"/>
        <v>0</v>
      </c>
      <c r="AM542" s="5189" t="s">
        <v>290</v>
      </c>
      <c r="AN542" s="5190">
        <v>44306</v>
      </c>
      <c r="AO542" s="5191" t="s">
        <v>290</v>
      </c>
      <c r="AP542" s="2905" t="s">
        <v>7957</v>
      </c>
      <c r="AQ542" s="2906">
        <v>1.0795220000000001</v>
      </c>
      <c r="AR542" s="1506"/>
      <c r="AS542" s="1507"/>
      <c r="AT542" s="1507"/>
      <c r="AU542" s="1507"/>
      <c r="AV542" s="1507"/>
      <c r="AW542" s="3247">
        <f t="shared" si="176"/>
        <v>0</v>
      </c>
      <c r="AX542" s="5192"/>
      <c r="BC542" s="4117">
        <f t="shared" si="175"/>
        <v>18136</v>
      </c>
      <c r="BD542" s="4117">
        <f t="shared" si="169"/>
        <v>0</v>
      </c>
    </row>
    <row r="543" spans="1:57" ht="90" thickBot="1">
      <c r="A543" s="6061" t="s">
        <v>11022</v>
      </c>
      <c r="B543" s="5145" t="s">
        <v>8287</v>
      </c>
      <c r="C543" s="5146">
        <v>0</v>
      </c>
      <c r="D543" s="5147">
        <v>44306</v>
      </c>
      <c r="E543" s="5148" t="s">
        <v>8170</v>
      </c>
      <c r="F543" s="5149" t="s">
        <v>7957</v>
      </c>
      <c r="G543" s="5150">
        <v>1.0795220000000001</v>
      </c>
      <c r="H543" s="5151" t="s">
        <v>8737</v>
      </c>
      <c r="I543" s="5152" t="s">
        <v>8738</v>
      </c>
      <c r="J543" s="5153" t="s">
        <v>4306</v>
      </c>
      <c r="K543" s="5154">
        <v>45036</v>
      </c>
      <c r="L543" s="5152" t="s">
        <v>8739</v>
      </c>
      <c r="M543" s="5153" t="s">
        <v>8740</v>
      </c>
      <c r="N543" s="5152" t="s">
        <v>8741</v>
      </c>
      <c r="O543" s="5155" t="s">
        <v>8742</v>
      </c>
      <c r="P543" s="5156"/>
      <c r="Q543" s="6109" t="s">
        <v>5708</v>
      </c>
      <c r="R543" s="5153" t="s">
        <v>5350</v>
      </c>
      <c r="S543" s="5157"/>
      <c r="T543" s="5158"/>
      <c r="U543" s="5159"/>
      <c r="V543" s="5160"/>
      <c r="W543" s="5158"/>
      <c r="X543" s="5159"/>
      <c r="Y543" s="5160"/>
      <c r="Z543" s="5158"/>
      <c r="AA543" s="5159"/>
      <c r="AB543" s="5160"/>
      <c r="AC543" s="5158"/>
      <c r="AD543" s="5159"/>
      <c r="AE543" s="5160"/>
      <c r="AF543" s="5158"/>
      <c r="AG543" s="5159"/>
      <c r="AH543" s="5160"/>
      <c r="AI543" s="5161">
        <v>6437</v>
      </c>
      <c r="AJ543" s="5159">
        <v>0</v>
      </c>
      <c r="AK543" s="5162">
        <v>0</v>
      </c>
      <c r="AL543" s="5163">
        <f t="shared" si="170"/>
        <v>6437</v>
      </c>
      <c r="AM543" s="5164" t="s">
        <v>1061</v>
      </c>
      <c r="AN543" s="5165">
        <v>44309</v>
      </c>
      <c r="AO543" s="5166" t="s">
        <v>8746</v>
      </c>
      <c r="AP543" s="3851" t="s">
        <v>7957</v>
      </c>
      <c r="AQ543" s="3852">
        <v>1.0795220000000001</v>
      </c>
      <c r="AR543" s="5167"/>
      <c r="AS543" s="5168"/>
      <c r="AT543" s="5168"/>
      <c r="AU543" s="5168"/>
      <c r="AV543" s="5168"/>
      <c r="AW543" s="5169">
        <f t="shared" si="176"/>
        <v>6437</v>
      </c>
      <c r="AX543" s="5170"/>
      <c r="AY543" s="4029" t="s">
        <v>8745</v>
      </c>
      <c r="AZ543" s="3888">
        <f>SUM(AW533:AW543)</f>
        <v>441896</v>
      </c>
      <c r="BA543" s="4028">
        <f>AZ543</f>
        <v>441896</v>
      </c>
      <c r="BB543" s="267"/>
      <c r="BC543" s="4117">
        <f t="shared" si="175"/>
        <v>0</v>
      </c>
      <c r="BD543" s="4117">
        <f t="shared" si="169"/>
        <v>0</v>
      </c>
      <c r="BE543" s="267"/>
    </row>
    <row r="544" spans="1:57" ht="75">
      <c r="A544" s="2418" t="s">
        <v>11004</v>
      </c>
      <c r="B544" s="338" t="s">
        <v>8761</v>
      </c>
      <c r="C544" s="321">
        <v>0</v>
      </c>
      <c r="D544" s="323">
        <v>42858</v>
      </c>
      <c r="E544" s="3051" t="s">
        <v>6385</v>
      </c>
      <c r="F544" s="324" t="s">
        <v>4154</v>
      </c>
      <c r="G544" s="2621">
        <v>1.0111000000000001</v>
      </c>
      <c r="H544" s="332" t="s">
        <v>8039</v>
      </c>
      <c r="I544" s="339" t="s">
        <v>1433</v>
      </c>
      <c r="J544" s="322" t="s">
        <v>1434</v>
      </c>
      <c r="K544" s="340">
        <v>44319</v>
      </c>
      <c r="L544" s="339" t="s">
        <v>4384</v>
      </c>
      <c r="M544" s="322" t="s">
        <v>4552</v>
      </c>
      <c r="N544" s="339" t="s">
        <v>4554</v>
      </c>
      <c r="O544" s="332" t="s">
        <v>4553</v>
      </c>
      <c r="P544" s="667" t="s">
        <v>7744</v>
      </c>
      <c r="Q544" s="322" t="s">
        <v>4555</v>
      </c>
      <c r="R544" s="322" t="s">
        <v>4556</v>
      </c>
      <c r="S544" s="346"/>
      <c r="T544" s="347">
        <v>13589</v>
      </c>
      <c r="U544" s="326">
        <v>0</v>
      </c>
      <c r="V544" s="348">
        <f>T544-U544</f>
        <v>13589</v>
      </c>
      <c r="W544" s="347">
        <v>16987</v>
      </c>
      <c r="X544" s="326">
        <v>0</v>
      </c>
      <c r="Y544" s="348">
        <f>W544-X544</f>
        <v>16987</v>
      </c>
      <c r="Z544" s="347">
        <v>3397</v>
      </c>
      <c r="AA544" s="326">
        <v>0</v>
      </c>
      <c r="AB544" s="348">
        <f>Z544-AA544</f>
        <v>3397</v>
      </c>
      <c r="AC544" s="347"/>
      <c r="AD544" s="326"/>
      <c r="AE544" s="348"/>
      <c r="AF544" s="347"/>
      <c r="AG544" s="326"/>
      <c r="AH544" s="348"/>
      <c r="AI544" s="482">
        <f>T544+W544+Z544+AC544+AF544</f>
        <v>33973</v>
      </c>
      <c r="AJ544" s="326">
        <f>U544+X544+AA544+AD544+AG544</f>
        <v>0</v>
      </c>
      <c r="AK544" s="3917">
        <v>0</v>
      </c>
      <c r="AL544" s="349">
        <f t="shared" si="170"/>
        <v>33973</v>
      </c>
      <c r="AM544" s="2002" t="s">
        <v>1061</v>
      </c>
      <c r="AN544" s="3357">
        <v>44322</v>
      </c>
      <c r="AO544" s="695" t="s">
        <v>8764</v>
      </c>
      <c r="AP544" s="3222" t="s">
        <v>7957</v>
      </c>
      <c r="AQ544" s="3223">
        <v>1.0795220000000001</v>
      </c>
      <c r="AR544" s="333">
        <v>0</v>
      </c>
      <c r="AS544" s="330">
        <v>0</v>
      </c>
      <c r="AT544" s="330">
        <v>0</v>
      </c>
      <c r="AU544" s="330">
        <v>0</v>
      </c>
      <c r="AV544" s="330">
        <v>0</v>
      </c>
      <c r="AW544" s="3156">
        <f t="shared" si="176"/>
        <v>36272</v>
      </c>
      <c r="AX544" s="3140"/>
      <c r="BA544" s="267"/>
      <c r="BB544" s="267"/>
      <c r="BC544" s="4117">
        <f t="shared" si="175"/>
        <v>0</v>
      </c>
      <c r="BD544" s="4117">
        <f t="shared" si="169"/>
        <v>0</v>
      </c>
      <c r="BE544" s="267"/>
    </row>
    <row r="545" spans="1:57" ht="76.5">
      <c r="A545" s="2418" t="s">
        <v>11022</v>
      </c>
      <c r="B545" s="338" t="s">
        <v>8758</v>
      </c>
      <c r="C545" s="321">
        <v>0</v>
      </c>
      <c r="D545" s="323">
        <v>43871</v>
      </c>
      <c r="E545" s="3058" t="s">
        <v>7151</v>
      </c>
      <c r="F545" s="324" t="s">
        <v>6893</v>
      </c>
      <c r="G545" s="2621">
        <v>1.047839</v>
      </c>
      <c r="H545" s="332" t="s">
        <v>8260</v>
      </c>
      <c r="I545" s="339" t="s">
        <v>7635</v>
      </c>
      <c r="J545" s="2399" t="s">
        <v>4306</v>
      </c>
      <c r="K545" s="340">
        <v>44602</v>
      </c>
      <c r="L545" s="339" t="s">
        <v>7636</v>
      </c>
      <c r="M545" s="322" t="s">
        <v>7637</v>
      </c>
      <c r="N545" s="339" t="s">
        <v>7638</v>
      </c>
      <c r="O545" s="332" t="s">
        <v>7639</v>
      </c>
      <c r="P545" s="345" t="s">
        <v>7390</v>
      </c>
      <c r="Q545" s="6094" t="s">
        <v>5708</v>
      </c>
      <c r="R545" s="322" t="s">
        <v>5350</v>
      </c>
      <c r="S545" s="346"/>
      <c r="T545" s="347"/>
      <c r="U545" s="326"/>
      <c r="V545" s="348"/>
      <c r="W545" s="347"/>
      <c r="X545" s="326"/>
      <c r="Y545" s="348"/>
      <c r="Z545" s="347"/>
      <c r="AA545" s="326"/>
      <c r="AB545" s="348"/>
      <c r="AC545" s="347"/>
      <c r="AD545" s="326"/>
      <c r="AE545" s="348"/>
      <c r="AF545" s="347"/>
      <c r="AG545" s="326"/>
      <c r="AH545" s="348"/>
      <c r="AI545" s="482">
        <v>5624</v>
      </c>
      <c r="AJ545" s="326">
        <v>0</v>
      </c>
      <c r="AK545" s="3917">
        <v>0</v>
      </c>
      <c r="AL545" s="349">
        <f t="shared" si="170"/>
        <v>5624</v>
      </c>
      <c r="AM545" s="2002" t="s">
        <v>1061</v>
      </c>
      <c r="AN545" s="3357">
        <v>44322</v>
      </c>
      <c r="AO545" s="695" t="s">
        <v>8763</v>
      </c>
      <c r="AP545" s="3362" t="s">
        <v>7957</v>
      </c>
      <c r="AQ545" s="3555">
        <v>1.0795220000000001</v>
      </c>
      <c r="AR545" s="333"/>
      <c r="AS545" s="330"/>
      <c r="AT545" s="330"/>
      <c r="AU545" s="330"/>
      <c r="AV545" s="330"/>
      <c r="AW545" s="3156">
        <f t="shared" si="176"/>
        <v>5794</v>
      </c>
      <c r="AX545" s="3140"/>
      <c r="BB545" s="267"/>
      <c r="BC545" s="4117">
        <f t="shared" si="175"/>
        <v>0</v>
      </c>
      <c r="BD545" s="4117">
        <f t="shared" si="169"/>
        <v>0</v>
      </c>
      <c r="BE545" s="267"/>
    </row>
    <row r="546" spans="1:57" ht="102">
      <c r="A546" s="2418" t="s">
        <v>11022</v>
      </c>
      <c r="B546" s="338" t="s">
        <v>11164</v>
      </c>
      <c r="C546" s="321">
        <v>0</v>
      </c>
      <c r="D546" s="323">
        <v>43941</v>
      </c>
      <c r="E546" s="3058" t="s">
        <v>7151</v>
      </c>
      <c r="F546" s="324" t="s">
        <v>7957</v>
      </c>
      <c r="G546" s="2621">
        <v>1.0795220000000001</v>
      </c>
      <c r="H546" s="332" t="s">
        <v>7981</v>
      </c>
      <c r="I546" s="339" t="s">
        <v>7806</v>
      </c>
      <c r="J546" s="2399" t="s">
        <v>4306</v>
      </c>
      <c r="K546" s="340">
        <v>44671</v>
      </c>
      <c r="L546" s="339" t="s">
        <v>7807</v>
      </c>
      <c r="M546" s="322" t="s">
        <v>7808</v>
      </c>
      <c r="N546" s="339" t="s">
        <v>7809</v>
      </c>
      <c r="O546" s="322" t="s">
        <v>7808</v>
      </c>
      <c r="P546" s="5171" t="s">
        <v>8017</v>
      </c>
      <c r="Q546" s="6094" t="s">
        <v>5708</v>
      </c>
      <c r="R546" s="322" t="s">
        <v>5350</v>
      </c>
      <c r="S546" s="346"/>
      <c r="T546" s="347"/>
      <c r="U546" s="326"/>
      <c r="V546" s="348"/>
      <c r="W546" s="347"/>
      <c r="X546" s="326"/>
      <c r="Y546" s="348"/>
      <c r="Z546" s="347"/>
      <c r="AA546" s="326"/>
      <c r="AB546" s="348"/>
      <c r="AC546" s="347"/>
      <c r="AD546" s="326"/>
      <c r="AE546" s="348"/>
      <c r="AF546" s="347"/>
      <c r="AG546" s="326"/>
      <c r="AH546" s="348"/>
      <c r="AI546" s="482">
        <v>1610</v>
      </c>
      <c r="AJ546" s="326">
        <v>0</v>
      </c>
      <c r="AK546" s="3917">
        <v>0</v>
      </c>
      <c r="AL546" s="349">
        <f t="shared" si="170"/>
        <v>1610</v>
      </c>
      <c r="AM546" s="2002" t="s">
        <v>1061</v>
      </c>
      <c r="AN546" s="3357">
        <v>44328</v>
      </c>
      <c r="AO546" s="695" t="s">
        <v>8790</v>
      </c>
      <c r="AP546" s="3696" t="s">
        <v>7957</v>
      </c>
      <c r="AQ546" s="3697">
        <v>1.0795220000000001</v>
      </c>
      <c r="AR546" s="333"/>
      <c r="AS546" s="330"/>
      <c r="AT546" s="330"/>
      <c r="AU546" s="330"/>
      <c r="AV546" s="330"/>
      <c r="AW546" s="3156">
        <f t="shared" si="176"/>
        <v>1610</v>
      </c>
      <c r="AX546" s="3140"/>
      <c r="BA546" s="267"/>
      <c r="BB546" s="267"/>
      <c r="BC546" s="4117">
        <f t="shared" si="175"/>
        <v>0</v>
      </c>
      <c r="BD546" s="4117">
        <f t="shared" si="169"/>
        <v>0</v>
      </c>
      <c r="BE546" s="267"/>
    </row>
    <row r="547" spans="1:57" ht="76.5">
      <c r="A547" s="5964" t="s">
        <v>11021</v>
      </c>
      <c r="B547" s="338" t="s">
        <v>11165</v>
      </c>
      <c r="C547" s="321">
        <v>0</v>
      </c>
      <c r="D547" s="323">
        <v>42757</v>
      </c>
      <c r="E547" s="3051" t="s">
        <v>6385</v>
      </c>
      <c r="F547" s="1203" t="s">
        <v>6558</v>
      </c>
      <c r="G547" s="2669">
        <v>114</v>
      </c>
      <c r="H547" s="332" t="s">
        <v>5233</v>
      </c>
      <c r="I547" s="339" t="s">
        <v>5239</v>
      </c>
      <c r="J547" s="322" t="s">
        <v>4306</v>
      </c>
      <c r="K547" s="340">
        <v>43482</v>
      </c>
      <c r="L547" s="339" t="s">
        <v>5240</v>
      </c>
      <c r="M547" s="322" t="s">
        <v>5241</v>
      </c>
      <c r="N547" s="339" t="s">
        <v>5243</v>
      </c>
      <c r="O547" s="332" t="s">
        <v>6275</v>
      </c>
      <c r="P547" s="345" t="s">
        <v>7755</v>
      </c>
      <c r="Q547" s="6094" t="s">
        <v>5234</v>
      </c>
      <c r="R547" s="322" t="s">
        <v>1100</v>
      </c>
      <c r="S547" s="346"/>
      <c r="T547" s="347">
        <v>469</v>
      </c>
      <c r="U547" s="326">
        <v>0</v>
      </c>
      <c r="V547" s="348">
        <f>T547-U547</f>
        <v>469</v>
      </c>
      <c r="W547" s="347">
        <v>586</v>
      </c>
      <c r="X547" s="326">
        <v>0</v>
      </c>
      <c r="Y547" s="348">
        <f>W547-X547</f>
        <v>586</v>
      </c>
      <c r="Z547" s="347">
        <v>167</v>
      </c>
      <c r="AA547" s="326">
        <v>0</v>
      </c>
      <c r="AB547" s="348">
        <f>Z547-AA547</f>
        <v>167</v>
      </c>
      <c r="AC547" s="347"/>
      <c r="AD547" s="326"/>
      <c r="AE547" s="348"/>
      <c r="AF547" s="347"/>
      <c r="AG547" s="326"/>
      <c r="AH547" s="348"/>
      <c r="AI547" s="482">
        <f>T547+W547+Z547+AC547+AF547</f>
        <v>1222</v>
      </c>
      <c r="AJ547" s="326">
        <f>U547+X547+AA547+AD547+AG547</f>
        <v>0</v>
      </c>
      <c r="AK547" s="3917">
        <v>0</v>
      </c>
      <c r="AL547" s="349">
        <f t="shared" si="170"/>
        <v>1222</v>
      </c>
      <c r="AM547" s="2002" t="s">
        <v>1061</v>
      </c>
      <c r="AN547" s="3357">
        <v>44328</v>
      </c>
      <c r="AO547" s="695" t="s">
        <v>8791</v>
      </c>
      <c r="AP547" s="3222" t="s">
        <v>7742</v>
      </c>
      <c r="AQ547" s="3223">
        <v>116.3</v>
      </c>
      <c r="AR547" s="333">
        <v>0</v>
      </c>
      <c r="AS547" s="330">
        <v>0</v>
      </c>
      <c r="AT547" s="330">
        <v>0</v>
      </c>
      <c r="AU547" s="330">
        <v>0</v>
      </c>
      <c r="AV547" s="330">
        <v>0</v>
      </c>
      <c r="AW547" s="3156">
        <f t="shared" si="176"/>
        <v>1247</v>
      </c>
      <c r="AX547" s="3140"/>
      <c r="BB547" s="267"/>
      <c r="BC547" s="4117">
        <f t="shared" si="175"/>
        <v>0</v>
      </c>
      <c r="BD547" s="4117">
        <f t="shared" si="169"/>
        <v>0</v>
      </c>
      <c r="BE547" s="267"/>
    </row>
    <row r="548" spans="1:57" ht="76.5">
      <c r="A548" s="5967" t="s">
        <v>11154</v>
      </c>
      <c r="B548" s="827" t="s">
        <v>11166</v>
      </c>
      <c r="C548" s="828">
        <v>0</v>
      </c>
      <c r="D548" s="829">
        <v>42949</v>
      </c>
      <c r="E548" s="829" t="s">
        <v>6385</v>
      </c>
      <c r="F548" s="3694" t="s">
        <v>6558</v>
      </c>
      <c r="G548" s="3695">
        <v>116.3</v>
      </c>
      <c r="H548" s="832" t="s">
        <v>4785</v>
      </c>
      <c r="I548" s="833" t="s">
        <v>4809</v>
      </c>
      <c r="J548" s="834" t="s">
        <v>4306</v>
      </c>
      <c r="K548" s="835">
        <v>43679</v>
      </c>
      <c r="L548" s="833" t="s">
        <v>4787</v>
      </c>
      <c r="M548" s="834" t="s">
        <v>4788</v>
      </c>
      <c r="N548" s="833" t="s">
        <v>4789</v>
      </c>
      <c r="O548" s="832" t="s">
        <v>6239</v>
      </c>
      <c r="P548" s="836" t="s">
        <v>7757</v>
      </c>
      <c r="Q548" s="6096" t="s">
        <v>4332</v>
      </c>
      <c r="R548" s="834" t="s">
        <v>1046</v>
      </c>
      <c r="S548" s="837"/>
      <c r="T548" s="838">
        <v>467</v>
      </c>
      <c r="U548" s="839">
        <v>0</v>
      </c>
      <c r="V548" s="840">
        <f>T548-U548</f>
        <v>467</v>
      </c>
      <c r="W548" s="838">
        <v>584</v>
      </c>
      <c r="X548" s="839">
        <v>0</v>
      </c>
      <c r="Y548" s="840">
        <f>W548-X548</f>
        <v>584</v>
      </c>
      <c r="Z548" s="838">
        <v>167</v>
      </c>
      <c r="AA548" s="839">
        <v>0</v>
      </c>
      <c r="AB548" s="840">
        <f>Z548-AA548</f>
        <v>167</v>
      </c>
      <c r="AC548" s="838"/>
      <c r="AD548" s="839"/>
      <c r="AE548" s="840"/>
      <c r="AF548" s="838"/>
      <c r="AG548" s="839"/>
      <c r="AH548" s="840"/>
      <c r="AI548" s="841"/>
      <c r="AJ548" s="839">
        <f>U548+X548+AA548+AD548+AG548</f>
        <v>0</v>
      </c>
      <c r="AK548" s="3906">
        <v>0</v>
      </c>
      <c r="AL548" s="869">
        <f t="shared" si="170"/>
        <v>0</v>
      </c>
      <c r="AM548" s="3369" t="s">
        <v>4488</v>
      </c>
      <c r="AN548" s="3360">
        <v>44329</v>
      </c>
      <c r="AO548" s="3361" t="s">
        <v>8805</v>
      </c>
      <c r="AP548" s="3696" t="s">
        <v>7742</v>
      </c>
      <c r="AQ548" s="3697">
        <v>116.3</v>
      </c>
      <c r="AR548" s="846">
        <v>0</v>
      </c>
      <c r="AS548" s="847">
        <v>0</v>
      </c>
      <c r="AT548" s="847">
        <v>0</v>
      </c>
      <c r="AU548" s="847">
        <v>0</v>
      </c>
      <c r="AV548" s="847">
        <v>0</v>
      </c>
      <c r="AW548" s="2872">
        <v>200</v>
      </c>
      <c r="AX548" s="2891"/>
      <c r="BC548" s="4117">
        <f t="shared" si="175"/>
        <v>0</v>
      </c>
      <c r="BD548" s="4117">
        <f t="shared" si="169"/>
        <v>0</v>
      </c>
      <c r="BE548" s="267"/>
    </row>
    <row r="549" spans="1:57" ht="127.5">
      <c r="A549" s="5964" t="s">
        <v>11154</v>
      </c>
      <c r="B549" s="338" t="s">
        <v>11167</v>
      </c>
      <c r="C549" s="321">
        <v>0</v>
      </c>
      <c r="D549" s="323">
        <v>42949</v>
      </c>
      <c r="E549" s="3051" t="s">
        <v>6385</v>
      </c>
      <c r="F549" s="4379" t="s">
        <v>6558</v>
      </c>
      <c r="G549" s="4380">
        <v>114</v>
      </c>
      <c r="H549" s="332" t="s">
        <v>4785</v>
      </c>
      <c r="I549" s="339" t="s">
        <v>4809</v>
      </c>
      <c r="J549" s="322" t="s">
        <v>4306</v>
      </c>
      <c r="K549" s="340">
        <v>43679</v>
      </c>
      <c r="L549" s="339" t="s">
        <v>4787</v>
      </c>
      <c r="M549" s="322" t="s">
        <v>4788</v>
      </c>
      <c r="N549" s="339" t="s">
        <v>4789</v>
      </c>
      <c r="O549" s="332" t="s">
        <v>6239</v>
      </c>
      <c r="P549" s="345" t="s">
        <v>7757</v>
      </c>
      <c r="Q549" s="6094" t="s">
        <v>4332</v>
      </c>
      <c r="R549" s="322" t="s">
        <v>1046</v>
      </c>
      <c r="S549" s="346"/>
      <c r="T549" s="347">
        <v>467</v>
      </c>
      <c r="U549" s="326">
        <v>0</v>
      </c>
      <c r="V549" s="348">
        <f>T549-U549</f>
        <v>467</v>
      </c>
      <c r="W549" s="347">
        <v>584</v>
      </c>
      <c r="X549" s="326">
        <v>0</v>
      </c>
      <c r="Y549" s="348">
        <f>W549-X549</f>
        <v>584</v>
      </c>
      <c r="Z549" s="347">
        <v>167</v>
      </c>
      <c r="AA549" s="326">
        <v>0</v>
      </c>
      <c r="AB549" s="348">
        <f>Z549-AA549</f>
        <v>167</v>
      </c>
      <c r="AC549" s="347"/>
      <c r="AD549" s="326"/>
      <c r="AE549" s="348"/>
      <c r="AF549" s="347"/>
      <c r="AG549" s="326"/>
      <c r="AH549" s="348"/>
      <c r="AI549" s="482">
        <f>1217</f>
        <v>1217</v>
      </c>
      <c r="AJ549" s="326">
        <f>U549+X549+AA549+AD549+AG549</f>
        <v>0</v>
      </c>
      <c r="AK549" s="3917">
        <v>0</v>
      </c>
      <c r="AL549" s="349">
        <f t="shared" si="170"/>
        <v>1217</v>
      </c>
      <c r="AM549" s="3592" t="s">
        <v>8806</v>
      </c>
      <c r="AN549" s="3357">
        <v>44330</v>
      </c>
      <c r="AO549" s="695" t="s">
        <v>8807</v>
      </c>
      <c r="AP549" s="3222" t="s">
        <v>7742</v>
      </c>
      <c r="AQ549" s="3223">
        <v>116.3</v>
      </c>
      <c r="AR549" s="333">
        <v>0</v>
      </c>
      <c r="AS549" s="330">
        <v>0</v>
      </c>
      <c r="AT549" s="330">
        <v>0</v>
      </c>
      <c r="AU549" s="330">
        <v>0</v>
      </c>
      <c r="AV549" s="330">
        <v>0</v>
      </c>
      <c r="AW549" s="3156">
        <f>ROUND(AL549*AQ549/G549,0)-200-200-100-100-200-100-100-200</f>
        <v>42</v>
      </c>
      <c r="AX549" s="3140"/>
      <c r="BB549" s="267"/>
      <c r="BC549" s="4117">
        <f t="shared" si="175"/>
        <v>0</v>
      </c>
      <c r="BD549" s="4117">
        <f t="shared" si="169"/>
        <v>0</v>
      </c>
      <c r="BE549" s="267"/>
    </row>
    <row r="550" spans="1:57" ht="51">
      <c r="A550" s="2418" t="s">
        <v>11004</v>
      </c>
      <c r="B550" s="338" t="s">
        <v>8757</v>
      </c>
      <c r="C550" s="321">
        <v>0</v>
      </c>
      <c r="D550" s="323">
        <v>43448</v>
      </c>
      <c r="E550" s="3051" t="s">
        <v>6386</v>
      </c>
      <c r="F550" s="324" t="s">
        <v>5757</v>
      </c>
      <c r="G550" s="2621">
        <v>1.0247219999999999</v>
      </c>
      <c r="H550" s="332" t="s">
        <v>6080</v>
      </c>
      <c r="I550" s="339" t="s">
        <v>5753</v>
      </c>
      <c r="J550" s="322" t="s">
        <v>2712</v>
      </c>
      <c r="K550" s="340">
        <v>44909</v>
      </c>
      <c r="L550" s="339" t="s">
        <v>6081</v>
      </c>
      <c r="M550" s="322" t="s">
        <v>2323</v>
      </c>
      <c r="N550" s="339" t="s">
        <v>6082</v>
      </c>
      <c r="O550" s="332" t="s">
        <v>6252</v>
      </c>
      <c r="P550" s="345"/>
      <c r="Q550" s="322" t="s">
        <v>6083</v>
      </c>
      <c r="R550" s="322" t="s">
        <v>6084</v>
      </c>
      <c r="S550" s="346"/>
      <c r="T550" s="347">
        <v>6886</v>
      </c>
      <c r="U550" s="326">
        <v>0</v>
      </c>
      <c r="V550" s="348">
        <f>T550-U550</f>
        <v>6886</v>
      </c>
      <c r="W550" s="347">
        <v>8608</v>
      </c>
      <c r="X550" s="326">
        <v>0</v>
      </c>
      <c r="Y550" s="348">
        <f>W550-X550</f>
        <v>8608</v>
      </c>
      <c r="Z550" s="347">
        <v>1721</v>
      </c>
      <c r="AA550" s="326">
        <v>0</v>
      </c>
      <c r="AB550" s="348">
        <f>Z550-AA550</f>
        <v>1721</v>
      </c>
      <c r="AC550" s="347"/>
      <c r="AD550" s="326"/>
      <c r="AE550" s="348"/>
      <c r="AF550" s="347"/>
      <c r="AG550" s="326"/>
      <c r="AH550" s="348"/>
      <c r="AI550" s="482">
        <f>T550+W550+Z550+AC550+AF550</f>
        <v>17215</v>
      </c>
      <c r="AJ550" s="326">
        <f>U550+X550+AA550+AD550+AG550</f>
        <v>0</v>
      </c>
      <c r="AK550" s="3917">
        <v>0</v>
      </c>
      <c r="AL550" s="349">
        <f t="shared" si="170"/>
        <v>17215</v>
      </c>
      <c r="AM550" s="2002" t="s">
        <v>1061</v>
      </c>
      <c r="AN550" s="3357">
        <v>44334</v>
      </c>
      <c r="AO550" s="695" t="s">
        <v>8828</v>
      </c>
      <c r="AP550" s="2722" t="s">
        <v>7957</v>
      </c>
      <c r="AQ550" s="2723">
        <v>1.0795220000000001</v>
      </c>
      <c r="AR550" s="333">
        <v>0</v>
      </c>
      <c r="AS550" s="330">
        <v>0</v>
      </c>
      <c r="AT550" s="330">
        <v>0</v>
      </c>
      <c r="AU550" s="330">
        <v>0</v>
      </c>
      <c r="AV550" s="330">
        <v>0</v>
      </c>
      <c r="AW550" s="3156">
        <f t="shared" ref="AW550:AW559" si="177">ROUND(AL550*AQ550/G550,0)</f>
        <v>18136</v>
      </c>
      <c r="AX550" s="3140"/>
      <c r="BB550" s="267"/>
      <c r="BC550" s="4117">
        <f t="shared" si="175"/>
        <v>0</v>
      </c>
      <c r="BD550" s="4117">
        <f t="shared" si="169"/>
        <v>0</v>
      </c>
      <c r="BE550" s="267"/>
    </row>
    <row r="551" spans="1:57" ht="102">
      <c r="A551" s="2418" t="s">
        <v>11004</v>
      </c>
      <c r="B551" s="338" t="s">
        <v>11156</v>
      </c>
      <c r="C551" s="321">
        <v>0</v>
      </c>
      <c r="D551" s="323" t="s">
        <v>11157</v>
      </c>
      <c r="E551" s="3051" t="s">
        <v>6386</v>
      </c>
      <c r="F551" s="324" t="s">
        <v>11158</v>
      </c>
      <c r="G551" s="4380">
        <v>1.047839</v>
      </c>
      <c r="H551" s="332" t="s">
        <v>6821</v>
      </c>
      <c r="I551" s="339" t="s">
        <v>8460</v>
      </c>
      <c r="J551" s="322" t="s">
        <v>4306</v>
      </c>
      <c r="K551" s="340">
        <v>44371</v>
      </c>
      <c r="L551" s="339" t="s">
        <v>6825</v>
      </c>
      <c r="M551" s="322" t="s">
        <v>6824</v>
      </c>
      <c r="N551" s="339" t="s">
        <v>6823</v>
      </c>
      <c r="O551" s="322" t="s">
        <v>6824</v>
      </c>
      <c r="P551" s="4175" t="s">
        <v>7739</v>
      </c>
      <c r="Q551" s="6094" t="s">
        <v>5708</v>
      </c>
      <c r="R551" s="322" t="s">
        <v>5350</v>
      </c>
      <c r="S551" s="346"/>
      <c r="T551" s="347">
        <v>2444</v>
      </c>
      <c r="U551" s="326">
        <v>0</v>
      </c>
      <c r="V551" s="348">
        <f>T551-U551</f>
        <v>2444</v>
      </c>
      <c r="W551" s="347">
        <v>3056</v>
      </c>
      <c r="X551" s="326">
        <v>0</v>
      </c>
      <c r="Y551" s="348">
        <f>W551-X551</f>
        <v>3056</v>
      </c>
      <c r="Z551" s="347">
        <v>611</v>
      </c>
      <c r="AA551" s="326">
        <v>0</v>
      </c>
      <c r="AB551" s="348">
        <f>Z551-AA551</f>
        <v>611</v>
      </c>
      <c r="AC551" s="347"/>
      <c r="AD551" s="326"/>
      <c r="AE551" s="348"/>
      <c r="AF551" s="347"/>
      <c r="AG551" s="326"/>
      <c r="AH551" s="348"/>
      <c r="AI551" s="482">
        <v>1562</v>
      </c>
      <c r="AJ551" s="326">
        <f>U551+X551+AA551+AD551+AG551</f>
        <v>0</v>
      </c>
      <c r="AK551" s="3917">
        <v>0</v>
      </c>
      <c r="AL551" s="349">
        <f t="shared" si="170"/>
        <v>1562</v>
      </c>
      <c r="AM551" s="2002" t="s">
        <v>9365</v>
      </c>
      <c r="AN551" s="3357">
        <v>44336</v>
      </c>
      <c r="AO551" s="695" t="s">
        <v>8833</v>
      </c>
      <c r="AP551" s="3222" t="s">
        <v>6894</v>
      </c>
      <c r="AQ551" s="3223">
        <v>1.047839</v>
      </c>
      <c r="AR551" s="333">
        <v>0</v>
      </c>
      <c r="AS551" s="330">
        <v>0</v>
      </c>
      <c r="AT551" s="330">
        <v>0</v>
      </c>
      <c r="AU551" s="330">
        <v>0</v>
      </c>
      <c r="AV551" s="330">
        <v>0</v>
      </c>
      <c r="AW551" s="3156">
        <f t="shared" si="177"/>
        <v>1562</v>
      </c>
      <c r="AX551" s="3140"/>
      <c r="BA551" s="267"/>
      <c r="BB551" s="267"/>
      <c r="BC551" s="4117">
        <f t="shared" si="175"/>
        <v>0</v>
      </c>
      <c r="BD551" s="4117">
        <f t="shared" si="169"/>
        <v>0</v>
      </c>
      <c r="BE551" s="267"/>
    </row>
    <row r="552" spans="1:57" ht="102">
      <c r="A552" s="6062" t="s">
        <v>11004</v>
      </c>
      <c r="B552" s="5173" t="s">
        <v>11159</v>
      </c>
      <c r="C552" s="4531">
        <v>0</v>
      </c>
      <c r="D552" s="4532">
        <v>43794</v>
      </c>
      <c r="E552" s="4533" t="s">
        <v>7151</v>
      </c>
      <c r="F552" s="4534" t="s">
        <v>6893</v>
      </c>
      <c r="G552" s="4535">
        <v>1.047839</v>
      </c>
      <c r="H552" s="5174" t="s">
        <v>7379</v>
      </c>
      <c r="I552" s="4536" t="s">
        <v>7380</v>
      </c>
      <c r="J552" s="4537" t="s">
        <v>4306</v>
      </c>
      <c r="K552" s="4538">
        <v>44525</v>
      </c>
      <c r="L552" s="4536" t="s">
        <v>7381</v>
      </c>
      <c r="M552" s="4537" t="s">
        <v>7382</v>
      </c>
      <c r="N552" s="4536" t="s">
        <v>7383</v>
      </c>
      <c r="O552" s="5174" t="s">
        <v>7384</v>
      </c>
      <c r="P552" s="5171" t="s">
        <v>7816</v>
      </c>
      <c r="Q552" s="6111" t="s">
        <v>5708</v>
      </c>
      <c r="R552" s="4537" t="s">
        <v>5350</v>
      </c>
      <c r="S552" s="4539"/>
      <c r="T552" s="4540"/>
      <c r="U552" s="4541"/>
      <c r="V552" s="4542"/>
      <c r="W552" s="4540"/>
      <c r="X552" s="4541"/>
      <c r="Y552" s="4542"/>
      <c r="Z552" s="4540"/>
      <c r="AA552" s="4541"/>
      <c r="AB552" s="4542"/>
      <c r="AC552" s="4540"/>
      <c r="AD552" s="4541"/>
      <c r="AE552" s="4542"/>
      <c r="AF552" s="4540"/>
      <c r="AG552" s="4541"/>
      <c r="AH552" s="4542"/>
      <c r="AI552" s="4543">
        <v>1562</v>
      </c>
      <c r="AJ552" s="4541">
        <v>0</v>
      </c>
      <c r="AK552" s="4544">
        <v>0</v>
      </c>
      <c r="AL552" s="4545">
        <f t="shared" ref="AL552:AL583" si="178">AI552-AJ552-AK552</f>
        <v>1562</v>
      </c>
      <c r="AM552" s="4546" t="s">
        <v>1061</v>
      </c>
      <c r="AN552" s="3357">
        <v>44336</v>
      </c>
      <c r="AO552" s="4547" t="s">
        <v>8834</v>
      </c>
      <c r="AP552" s="5175" t="s">
        <v>6894</v>
      </c>
      <c r="AQ552" s="5176">
        <v>1.047839</v>
      </c>
      <c r="AR552" s="4548"/>
      <c r="AS552" s="4549"/>
      <c r="AT552" s="4549"/>
      <c r="AU552" s="4549"/>
      <c r="AV552" s="4549"/>
      <c r="AW552" s="5177">
        <f t="shared" si="177"/>
        <v>1562</v>
      </c>
      <c r="AX552" s="4550"/>
      <c r="BA552" s="267"/>
      <c r="BB552" s="267"/>
      <c r="BC552" s="4117">
        <f t="shared" si="175"/>
        <v>0</v>
      </c>
      <c r="BD552" s="4117">
        <f t="shared" si="169"/>
        <v>0</v>
      </c>
      <c r="BE552" s="267"/>
    </row>
    <row r="553" spans="1:57" ht="89.25">
      <c r="A553" s="2418" t="s">
        <v>11004</v>
      </c>
      <c r="B553" s="2419" t="s">
        <v>11160</v>
      </c>
      <c r="C553" s="321">
        <v>0</v>
      </c>
      <c r="D553" s="323">
        <v>43592</v>
      </c>
      <c r="E553" s="3051" t="s">
        <v>6386</v>
      </c>
      <c r="F553" s="324" t="s">
        <v>8470</v>
      </c>
      <c r="G553" s="2669">
        <v>1.0795220000000001</v>
      </c>
      <c r="H553" s="332" t="s">
        <v>6664</v>
      </c>
      <c r="I553" s="339" t="s">
        <v>6666</v>
      </c>
      <c r="J553" s="322" t="s">
        <v>4306</v>
      </c>
      <c r="K553" s="340">
        <v>44323</v>
      </c>
      <c r="L553" s="339" t="s">
        <v>6668</v>
      </c>
      <c r="M553" s="322" t="s">
        <v>4355</v>
      </c>
      <c r="N553" s="339" t="s">
        <v>6669</v>
      </c>
      <c r="O553" s="332" t="s">
        <v>6670</v>
      </c>
      <c r="P553" s="345" t="s">
        <v>7778</v>
      </c>
      <c r="Q553" s="6094" t="s">
        <v>5708</v>
      </c>
      <c r="R553" s="322" t="s">
        <v>5350</v>
      </c>
      <c r="S553" s="346"/>
      <c r="T553" s="347">
        <v>2444</v>
      </c>
      <c r="U553" s="326">
        <v>0</v>
      </c>
      <c r="V553" s="348">
        <f>T553-U553</f>
        <v>2444</v>
      </c>
      <c r="W553" s="347">
        <v>3056</v>
      </c>
      <c r="X553" s="326">
        <v>0</v>
      </c>
      <c r="Y553" s="348">
        <f>W553-X553</f>
        <v>3056</v>
      </c>
      <c r="Z553" s="347">
        <v>0</v>
      </c>
      <c r="AA553" s="326">
        <v>0</v>
      </c>
      <c r="AB553" s="348">
        <f>Z553-AA553</f>
        <v>0</v>
      </c>
      <c r="AC553" s="347"/>
      <c r="AD553" s="326"/>
      <c r="AE553" s="348"/>
      <c r="AF553" s="347"/>
      <c r="AG553" s="326"/>
      <c r="AH553" s="348"/>
      <c r="AI553" s="482">
        <v>1449</v>
      </c>
      <c r="AJ553" s="326">
        <f>U553+X553+AA553+AD553+AG553</f>
        <v>0</v>
      </c>
      <c r="AK553" s="3917">
        <v>0</v>
      </c>
      <c r="AL553" s="349">
        <f t="shared" si="178"/>
        <v>1449</v>
      </c>
      <c r="AM553" s="2002" t="s">
        <v>1061</v>
      </c>
      <c r="AN553" s="3357">
        <v>44341</v>
      </c>
      <c r="AO553" s="695" t="s">
        <v>8840</v>
      </c>
      <c r="AP553" s="3222" t="s">
        <v>7957</v>
      </c>
      <c r="AQ553" s="3223">
        <v>1.0795220000000001</v>
      </c>
      <c r="AR553" s="333">
        <v>0</v>
      </c>
      <c r="AS553" s="330">
        <v>0</v>
      </c>
      <c r="AT553" s="330">
        <v>0</v>
      </c>
      <c r="AU553" s="330">
        <v>0</v>
      </c>
      <c r="AV553" s="330">
        <v>0</v>
      </c>
      <c r="AW553" s="3156">
        <f t="shared" si="177"/>
        <v>1449</v>
      </c>
      <c r="AX553" s="3140"/>
      <c r="BB553" s="267"/>
      <c r="BC553" s="4117">
        <f t="shared" si="175"/>
        <v>0</v>
      </c>
      <c r="BD553" s="4117">
        <f t="shared" si="169"/>
        <v>0</v>
      </c>
      <c r="BE553" s="267"/>
    </row>
    <row r="554" spans="1:57" ht="89.25">
      <c r="A554" s="2418" t="s">
        <v>11168</v>
      </c>
      <c r="B554" s="338" t="s">
        <v>11161</v>
      </c>
      <c r="C554" s="321">
        <v>0</v>
      </c>
      <c r="D554" s="323">
        <v>44224</v>
      </c>
      <c r="E554" s="3058" t="s">
        <v>8170</v>
      </c>
      <c r="F554" s="324" t="s">
        <v>7957</v>
      </c>
      <c r="G554" s="2621">
        <v>1.0795220000000001</v>
      </c>
      <c r="H554" s="332" t="s">
        <v>8499</v>
      </c>
      <c r="I554" s="2398" t="s">
        <v>8560</v>
      </c>
      <c r="J554" s="2399" t="s">
        <v>4306</v>
      </c>
      <c r="K554" s="340">
        <v>44954</v>
      </c>
      <c r="L554" s="339" t="s">
        <v>8500</v>
      </c>
      <c r="M554" s="322" t="s">
        <v>8501</v>
      </c>
      <c r="N554" s="339" t="s">
        <v>8502</v>
      </c>
      <c r="O554" s="322" t="s">
        <v>8501</v>
      </c>
      <c r="P554" s="667" t="s">
        <v>8839</v>
      </c>
      <c r="Q554" s="6094" t="s">
        <v>5708</v>
      </c>
      <c r="R554" s="322" t="s">
        <v>5350</v>
      </c>
      <c r="S554" s="346"/>
      <c r="T554" s="347"/>
      <c r="U554" s="326"/>
      <c r="V554" s="348"/>
      <c r="W554" s="347"/>
      <c r="X554" s="326"/>
      <c r="Y554" s="348"/>
      <c r="Z554" s="347"/>
      <c r="AA554" s="326"/>
      <c r="AB554" s="348"/>
      <c r="AC554" s="347"/>
      <c r="AD554" s="326"/>
      <c r="AE554" s="348"/>
      <c r="AF554" s="347"/>
      <c r="AG554" s="326"/>
      <c r="AH554" s="348"/>
      <c r="AI554" s="482">
        <f>1609+1609+3219</f>
        <v>6437</v>
      </c>
      <c r="AJ554" s="326">
        <v>0</v>
      </c>
      <c r="AK554" s="3917">
        <v>0</v>
      </c>
      <c r="AL554" s="349">
        <f t="shared" si="178"/>
        <v>6437</v>
      </c>
      <c r="AM554" s="2002" t="s">
        <v>8861</v>
      </c>
      <c r="AN554" s="3357">
        <v>44343</v>
      </c>
      <c r="AO554" s="695" t="s">
        <v>8862</v>
      </c>
      <c r="AP554" s="3696" t="s">
        <v>7957</v>
      </c>
      <c r="AQ554" s="3697">
        <v>1.0795220000000001</v>
      </c>
      <c r="AR554" s="333"/>
      <c r="AS554" s="330"/>
      <c r="AT554" s="330"/>
      <c r="AU554" s="330"/>
      <c r="AV554" s="330"/>
      <c r="AW554" s="3156">
        <f t="shared" si="177"/>
        <v>6437</v>
      </c>
      <c r="AX554" s="3140"/>
      <c r="BA554" s="267"/>
      <c r="BB554" s="267"/>
      <c r="BC554" s="4117">
        <f t="shared" si="175"/>
        <v>0</v>
      </c>
      <c r="BD554" s="4117">
        <f t="shared" si="169"/>
        <v>0</v>
      </c>
      <c r="BE554" s="267"/>
    </row>
    <row r="555" spans="1:57" ht="63.75">
      <c r="A555" s="2418" t="s">
        <v>11004</v>
      </c>
      <c r="B555" s="338" t="s">
        <v>8859</v>
      </c>
      <c r="C555" s="321">
        <v>0</v>
      </c>
      <c r="D555" s="323" t="s">
        <v>7184</v>
      </c>
      <c r="E555" s="829" t="s">
        <v>7151</v>
      </c>
      <c r="F555" s="830" t="s">
        <v>6893</v>
      </c>
      <c r="G555" s="2620">
        <v>1.047839</v>
      </c>
      <c r="H555" s="332" t="s">
        <v>8204</v>
      </c>
      <c r="I555" s="339" t="s">
        <v>1433</v>
      </c>
      <c r="J555" s="322" t="s">
        <v>1434</v>
      </c>
      <c r="K555" s="340">
        <v>44470</v>
      </c>
      <c r="L555" s="339" t="s">
        <v>4959</v>
      </c>
      <c r="M555" s="322" t="s">
        <v>4960</v>
      </c>
      <c r="N555" s="339" t="s">
        <v>8858</v>
      </c>
      <c r="O555" s="332" t="s">
        <v>8857</v>
      </c>
      <c r="P555" s="345" t="s">
        <v>7185</v>
      </c>
      <c r="Q555" s="2054" t="s">
        <v>7188</v>
      </c>
      <c r="R555" s="322" t="s">
        <v>7186</v>
      </c>
      <c r="S555" s="346"/>
      <c r="T555" s="347"/>
      <c r="U555" s="326"/>
      <c r="V555" s="348"/>
      <c r="W555" s="347"/>
      <c r="X555" s="326"/>
      <c r="Y555" s="348"/>
      <c r="Z555" s="347"/>
      <c r="AA555" s="326"/>
      <c r="AB555" s="348"/>
      <c r="AC555" s="347"/>
      <c r="AD555" s="326"/>
      <c r="AE555" s="348"/>
      <c r="AF555" s="347"/>
      <c r="AG555" s="326"/>
      <c r="AH555" s="348"/>
      <c r="AI555" s="482">
        <v>65322</v>
      </c>
      <c r="AJ555" s="326">
        <v>0</v>
      </c>
      <c r="AK555" s="3917">
        <v>0</v>
      </c>
      <c r="AL555" s="349">
        <f t="shared" si="178"/>
        <v>65322</v>
      </c>
      <c r="AM555" s="2002" t="s">
        <v>1061</v>
      </c>
      <c r="AN555" s="3357">
        <v>44343</v>
      </c>
      <c r="AO555" s="695" t="s">
        <v>8863</v>
      </c>
      <c r="AP555" s="3362" t="s">
        <v>7957</v>
      </c>
      <c r="AQ555" s="3555">
        <v>1.0795220000000001</v>
      </c>
      <c r="AR555" s="333"/>
      <c r="AS555" s="330"/>
      <c r="AT555" s="330"/>
      <c r="AU555" s="330"/>
      <c r="AV555" s="330"/>
      <c r="AW555" s="3156">
        <f t="shared" si="177"/>
        <v>67297</v>
      </c>
      <c r="AX555" s="3140"/>
      <c r="BB555" s="267"/>
      <c r="BC555" s="4117">
        <f t="shared" si="175"/>
        <v>0</v>
      </c>
      <c r="BD555" s="4117">
        <f t="shared" si="169"/>
        <v>0</v>
      </c>
      <c r="BE555" s="267"/>
    </row>
    <row r="556" spans="1:57" ht="78.75">
      <c r="A556" s="5966" t="s">
        <v>11004</v>
      </c>
      <c r="B556" s="338" t="s">
        <v>11163</v>
      </c>
      <c r="C556" s="321">
        <v>0</v>
      </c>
      <c r="D556" s="323">
        <v>43683</v>
      </c>
      <c r="E556" s="829" t="s">
        <v>6386</v>
      </c>
      <c r="F556" s="830" t="s">
        <v>6893</v>
      </c>
      <c r="G556" s="2620">
        <v>1.047839</v>
      </c>
      <c r="H556" s="332" t="s">
        <v>7863</v>
      </c>
      <c r="I556" s="339" t="s">
        <v>1433</v>
      </c>
      <c r="J556" s="322" t="s">
        <v>1434</v>
      </c>
      <c r="K556" s="340">
        <v>45869</v>
      </c>
      <c r="L556" s="339" t="s">
        <v>7013</v>
      </c>
      <c r="M556" s="322" t="s">
        <v>7014</v>
      </c>
      <c r="N556" s="339" t="s">
        <v>7910</v>
      </c>
      <c r="O556" s="332" t="s">
        <v>7911</v>
      </c>
      <c r="P556" s="667" t="s">
        <v>7744</v>
      </c>
      <c r="Q556" s="322" t="s">
        <v>7015</v>
      </c>
      <c r="R556" s="322" t="s">
        <v>4075</v>
      </c>
      <c r="S556" s="346"/>
      <c r="T556" s="347"/>
      <c r="U556" s="326"/>
      <c r="V556" s="348"/>
      <c r="W556" s="347"/>
      <c r="X556" s="326"/>
      <c r="Y556" s="348"/>
      <c r="Z556" s="347"/>
      <c r="AA556" s="326"/>
      <c r="AB556" s="348"/>
      <c r="AC556" s="347"/>
      <c r="AD556" s="326"/>
      <c r="AE556" s="348"/>
      <c r="AF556" s="347"/>
      <c r="AG556" s="326"/>
      <c r="AH556" s="348"/>
      <c r="AI556" s="482">
        <v>12573</v>
      </c>
      <c r="AJ556" s="326">
        <v>0</v>
      </c>
      <c r="AK556" s="3917">
        <v>0</v>
      </c>
      <c r="AL556" s="349">
        <f t="shared" si="178"/>
        <v>12573</v>
      </c>
      <c r="AM556" s="2002" t="s">
        <v>1061</v>
      </c>
      <c r="AN556" s="3357">
        <v>44347</v>
      </c>
      <c r="AO556" s="695" t="s">
        <v>8864</v>
      </c>
      <c r="AP556" s="3696" t="s">
        <v>7957</v>
      </c>
      <c r="AQ556" s="3697">
        <v>1.0795220000000001</v>
      </c>
      <c r="AR556" s="5193"/>
      <c r="AS556" s="5194"/>
      <c r="AT556" s="5194"/>
      <c r="AU556" s="5194"/>
      <c r="AV556" s="5194"/>
      <c r="AW556" s="3156">
        <f t="shared" si="177"/>
        <v>12953</v>
      </c>
      <c r="AX556" s="3140"/>
      <c r="BA556" s="267"/>
      <c r="BB556" s="267"/>
      <c r="BC556" s="4117">
        <f t="shared" si="175"/>
        <v>0</v>
      </c>
      <c r="BD556" s="4117">
        <f t="shared" si="169"/>
        <v>0</v>
      </c>
      <c r="BE556" s="267"/>
    </row>
    <row r="557" spans="1:57" ht="90" thickBot="1">
      <c r="A557" s="6093" t="s">
        <v>11004</v>
      </c>
      <c r="B557" s="5084" t="s">
        <v>11162</v>
      </c>
      <c r="C557" s="5195">
        <v>0</v>
      </c>
      <c r="D557" s="5196">
        <v>44286</v>
      </c>
      <c r="E557" s="5197" t="s">
        <v>8170</v>
      </c>
      <c r="F557" s="5198" t="s">
        <v>7957</v>
      </c>
      <c r="G557" s="5199">
        <v>1.0795220000000001</v>
      </c>
      <c r="H557" s="5200" t="s">
        <v>8660</v>
      </c>
      <c r="I557" s="5090" t="s">
        <v>8652</v>
      </c>
      <c r="J557" s="5201">
        <v>44378</v>
      </c>
      <c r="K557" s="5202" t="s">
        <v>8674</v>
      </c>
      <c r="L557" s="5090" t="s">
        <v>8653</v>
      </c>
      <c r="M557" s="5203" t="s">
        <v>8654</v>
      </c>
      <c r="N557" s="5090" t="s">
        <v>8656</v>
      </c>
      <c r="O557" s="5200" t="s">
        <v>8655</v>
      </c>
      <c r="P557" s="5093" t="s">
        <v>8657</v>
      </c>
      <c r="Q557" s="5203" t="s">
        <v>8659</v>
      </c>
      <c r="R557" s="5203" t="s">
        <v>8658</v>
      </c>
      <c r="S557" s="5204"/>
      <c r="T557" s="5095"/>
      <c r="U557" s="5205"/>
      <c r="V557" s="5206"/>
      <c r="W557" s="5095"/>
      <c r="X557" s="5205"/>
      <c r="Y557" s="5206"/>
      <c r="Z557" s="5095"/>
      <c r="AA557" s="5205"/>
      <c r="AB557" s="5206"/>
      <c r="AC557" s="5095"/>
      <c r="AD557" s="5205"/>
      <c r="AE557" s="5206"/>
      <c r="AF557" s="5095"/>
      <c r="AG557" s="5205"/>
      <c r="AH557" s="5206"/>
      <c r="AI557" s="5098">
        <v>25958</v>
      </c>
      <c r="AJ557" s="5205">
        <v>0</v>
      </c>
      <c r="AK557" s="5207">
        <v>0</v>
      </c>
      <c r="AL557" s="5208">
        <f t="shared" si="178"/>
        <v>25958</v>
      </c>
      <c r="AM557" s="5209" t="s">
        <v>1061</v>
      </c>
      <c r="AN557" s="5210">
        <v>44347</v>
      </c>
      <c r="AO557" s="5211" t="s">
        <v>8865</v>
      </c>
      <c r="AP557" s="5212" t="s">
        <v>7957</v>
      </c>
      <c r="AQ557" s="5213">
        <v>1.0795220000000001</v>
      </c>
      <c r="AR557" s="5106"/>
      <c r="AS557" s="5214"/>
      <c r="AT557" s="5214"/>
      <c r="AU557" s="5214"/>
      <c r="AV557" s="5214"/>
      <c r="AW557" s="5215">
        <f t="shared" si="177"/>
        <v>25958</v>
      </c>
      <c r="AX557" s="5109"/>
      <c r="AY557" s="4031" t="s">
        <v>8762</v>
      </c>
      <c r="AZ557" s="3857">
        <f>SUM(AW544:AW557)</f>
        <v>180519</v>
      </c>
      <c r="BA557" s="4028">
        <f>AZ557</f>
        <v>180519</v>
      </c>
      <c r="BB557" s="267"/>
      <c r="BC557" s="4117">
        <f t="shared" si="175"/>
        <v>0</v>
      </c>
      <c r="BD557" s="4117">
        <f t="shared" si="169"/>
        <v>0</v>
      </c>
      <c r="BE557" s="267"/>
    </row>
    <row r="558" spans="1:57" ht="51">
      <c r="A558" s="6017" t="s">
        <v>11004</v>
      </c>
      <c r="B558" s="1538" t="s">
        <v>5731</v>
      </c>
      <c r="C558" s="1509">
        <v>0</v>
      </c>
      <c r="D558" s="1510">
        <v>43706</v>
      </c>
      <c r="E558" s="2300" t="s">
        <v>6386</v>
      </c>
      <c r="F558" s="2497" t="s">
        <v>6893</v>
      </c>
      <c r="G558" s="3110">
        <v>1.047839</v>
      </c>
      <c r="H558" s="1513" t="s">
        <v>7084</v>
      </c>
      <c r="I558" s="1514" t="s">
        <v>1433</v>
      </c>
      <c r="J558" s="1515" t="s">
        <v>1434</v>
      </c>
      <c r="K558" s="1516">
        <v>45895</v>
      </c>
      <c r="L558" s="1514" t="s">
        <v>7087</v>
      </c>
      <c r="M558" s="1515" t="s">
        <v>6628</v>
      </c>
      <c r="N558" s="1514" t="s">
        <v>7104</v>
      </c>
      <c r="O558" s="1513" t="s">
        <v>7085</v>
      </c>
      <c r="P558" s="1517"/>
      <c r="Q558" s="1515" t="s">
        <v>7086</v>
      </c>
      <c r="R558" s="1515" t="s">
        <v>5350</v>
      </c>
      <c r="S558" s="1518"/>
      <c r="T558" s="1519"/>
      <c r="U558" s="1504"/>
      <c r="V558" s="1520"/>
      <c r="W558" s="1519"/>
      <c r="X558" s="1504"/>
      <c r="Y558" s="1520"/>
      <c r="Z558" s="1519"/>
      <c r="AA558" s="1504"/>
      <c r="AB558" s="1520"/>
      <c r="AC558" s="1519"/>
      <c r="AD558" s="1504"/>
      <c r="AE558" s="1520"/>
      <c r="AF558" s="1519"/>
      <c r="AG558" s="1504"/>
      <c r="AH558" s="1520"/>
      <c r="AI558" s="1503">
        <v>45267</v>
      </c>
      <c r="AJ558" s="1504">
        <v>0</v>
      </c>
      <c r="AK558" s="3919">
        <v>0</v>
      </c>
      <c r="AL558" s="1505">
        <f t="shared" si="178"/>
        <v>45267</v>
      </c>
      <c r="AM558" s="1508" t="s">
        <v>1061</v>
      </c>
      <c r="AN558" s="3401">
        <v>44348</v>
      </c>
      <c r="AO558" s="3402" t="s">
        <v>8872</v>
      </c>
      <c r="AP558" s="2905" t="s">
        <v>7957</v>
      </c>
      <c r="AQ558" s="2906">
        <v>1.0795220000000001</v>
      </c>
      <c r="AR558" s="1506"/>
      <c r="AS558" s="1507"/>
      <c r="AT558" s="1507"/>
      <c r="AU558" s="1507"/>
      <c r="AV558" s="1507"/>
      <c r="AW558" s="3247">
        <f t="shared" si="177"/>
        <v>46636</v>
      </c>
      <c r="AX558" s="3146"/>
      <c r="BA558" s="267"/>
      <c r="BB558" s="267"/>
      <c r="BC558" s="4117">
        <f t="shared" si="175"/>
        <v>0</v>
      </c>
      <c r="BD558" s="4117">
        <f t="shared" si="169"/>
        <v>0</v>
      </c>
      <c r="BE558" s="267"/>
    </row>
    <row r="559" spans="1:57" ht="144" customHeight="1">
      <c r="A559" s="5978" t="s">
        <v>11035</v>
      </c>
      <c r="B559" s="1538" t="s">
        <v>5937</v>
      </c>
      <c r="C559" s="1509">
        <v>7</v>
      </c>
      <c r="D559" s="1510" t="s">
        <v>7204</v>
      </c>
      <c r="E559" s="2300" t="s">
        <v>6386</v>
      </c>
      <c r="F559" s="2497" t="s">
        <v>5757</v>
      </c>
      <c r="G559" s="2663">
        <v>1.0247219999999999</v>
      </c>
      <c r="H559" s="1513" t="s">
        <v>7205</v>
      </c>
      <c r="I559" s="1514" t="s">
        <v>4235</v>
      </c>
      <c r="J559" s="1515" t="s">
        <v>1434</v>
      </c>
      <c r="K559" s="1516" t="s">
        <v>4260</v>
      </c>
      <c r="L559" s="1514" t="s">
        <v>1119</v>
      </c>
      <c r="M559" s="1515" t="s">
        <v>3301</v>
      </c>
      <c r="N559" s="1514" t="s">
        <v>4967</v>
      </c>
      <c r="O559" s="1513" t="s">
        <v>6192</v>
      </c>
      <c r="P559" s="1517" t="s">
        <v>6052</v>
      </c>
      <c r="Q559" s="1515" t="s">
        <v>5248</v>
      </c>
      <c r="R559" s="2145" t="s">
        <v>5245</v>
      </c>
      <c r="S559" s="1518"/>
      <c r="T559" s="1519">
        <v>2479</v>
      </c>
      <c r="U559" s="1504">
        <v>0</v>
      </c>
      <c r="V559" s="1520">
        <f>T559-U559</f>
        <v>2479</v>
      </c>
      <c r="W559" s="1519">
        <v>0</v>
      </c>
      <c r="X559" s="1504">
        <v>0</v>
      </c>
      <c r="Y559" s="1520">
        <f>W559-X559</f>
        <v>0</v>
      </c>
      <c r="Z559" s="1519">
        <v>15494</v>
      </c>
      <c r="AA559" s="1504">
        <v>0</v>
      </c>
      <c r="AB559" s="1520">
        <f>Z559-AA559</f>
        <v>15494</v>
      </c>
      <c r="AC559" s="1519"/>
      <c r="AD559" s="1504"/>
      <c r="AE559" s="1520"/>
      <c r="AF559" s="1519"/>
      <c r="AG559" s="1504"/>
      <c r="AH559" s="1520"/>
      <c r="AI559" s="1503">
        <f>T559+W559+Z559+AC559+AF559</f>
        <v>17973</v>
      </c>
      <c r="AJ559" s="1504">
        <f>U559+X559+AA559</f>
        <v>0</v>
      </c>
      <c r="AK559" s="3919">
        <v>0</v>
      </c>
      <c r="AL559" s="1505">
        <f t="shared" si="178"/>
        <v>17973</v>
      </c>
      <c r="AM559" s="1508" t="s">
        <v>1061</v>
      </c>
      <c r="AN559" s="3401">
        <v>44351</v>
      </c>
      <c r="AO559" s="3402" t="s">
        <v>8874</v>
      </c>
      <c r="AP559" s="2664" t="s">
        <v>7957</v>
      </c>
      <c r="AQ559" s="2806">
        <v>1.0795220000000001</v>
      </c>
      <c r="AR559" s="1506">
        <v>0</v>
      </c>
      <c r="AS559" s="1507">
        <v>0</v>
      </c>
      <c r="AT559" s="1507">
        <v>0</v>
      </c>
      <c r="AU559" s="1507">
        <v>0</v>
      </c>
      <c r="AV559" s="1507">
        <v>0</v>
      </c>
      <c r="AW559" s="3247">
        <f t="shared" si="177"/>
        <v>18934</v>
      </c>
      <c r="AX559" s="3146"/>
      <c r="BA559" s="267"/>
      <c r="BB559" s="267"/>
      <c r="BC559" s="4117">
        <f t="shared" si="175"/>
        <v>0</v>
      </c>
      <c r="BD559" s="4117">
        <f t="shared" si="169"/>
        <v>0</v>
      </c>
      <c r="BE559" s="267"/>
    </row>
    <row r="560" spans="1:57" ht="107.25">
      <c r="A560" s="5981" t="s">
        <v>11004</v>
      </c>
      <c r="B560" s="1538" t="s">
        <v>8875</v>
      </c>
      <c r="C560" s="1509">
        <v>0</v>
      </c>
      <c r="D560" s="5258" t="s">
        <v>7090</v>
      </c>
      <c r="E560" s="3053" t="s">
        <v>6386</v>
      </c>
      <c r="F560" s="1511" t="s">
        <v>7088</v>
      </c>
      <c r="G560" s="5259">
        <v>1.047839</v>
      </c>
      <c r="H560" s="1513" t="s">
        <v>7038</v>
      </c>
      <c r="I560" s="1514" t="s">
        <v>6039</v>
      </c>
      <c r="J560" s="1515" t="s">
        <v>4306</v>
      </c>
      <c r="K560" s="1516">
        <v>44161</v>
      </c>
      <c r="L560" s="1514" t="s">
        <v>6040</v>
      </c>
      <c r="M560" s="1515" t="s">
        <v>6041</v>
      </c>
      <c r="N560" s="1514" t="s">
        <v>6042</v>
      </c>
      <c r="O560" s="1513" t="s">
        <v>6257</v>
      </c>
      <c r="P560" s="1517" t="s">
        <v>7746</v>
      </c>
      <c r="Q560" s="6094" t="s">
        <v>5708</v>
      </c>
      <c r="R560" s="1515" t="s">
        <v>5350</v>
      </c>
      <c r="S560" s="1518"/>
      <c r="T560" s="1519">
        <v>2444</v>
      </c>
      <c r="U560" s="1504">
        <v>0</v>
      </c>
      <c r="V560" s="1520">
        <f>T560-U560</f>
        <v>2444</v>
      </c>
      <c r="W560" s="1519">
        <v>3056</v>
      </c>
      <c r="X560" s="1504">
        <v>0</v>
      </c>
      <c r="Y560" s="1520">
        <f>W560-X560</f>
        <v>3056</v>
      </c>
      <c r="Z560" s="1519">
        <v>611</v>
      </c>
      <c r="AA560" s="1504">
        <v>0</v>
      </c>
      <c r="AB560" s="1520">
        <f>Z560-AA560</f>
        <v>611</v>
      </c>
      <c r="AC560" s="1519"/>
      <c r="AD560" s="1504"/>
      <c r="AE560" s="1520"/>
      <c r="AF560" s="1519"/>
      <c r="AG560" s="1504"/>
      <c r="AH560" s="1520"/>
      <c r="AI560" s="1503">
        <v>0</v>
      </c>
      <c r="AJ560" s="1504">
        <f>U560+X560+AA560+AD560+AG560</f>
        <v>0</v>
      </c>
      <c r="AK560" s="3919">
        <v>0</v>
      </c>
      <c r="AL560" s="1505">
        <f t="shared" si="178"/>
        <v>0</v>
      </c>
      <c r="AM560" s="1508" t="s">
        <v>4488</v>
      </c>
      <c r="AN560" s="3401">
        <v>44351</v>
      </c>
      <c r="AO560" s="3402" t="s">
        <v>8890</v>
      </c>
      <c r="AP560" s="3251" t="s">
        <v>6894</v>
      </c>
      <c r="AQ560" s="3248">
        <v>1.047839</v>
      </c>
      <c r="AR560" s="1506">
        <v>0</v>
      </c>
      <c r="AS560" s="1507">
        <v>0</v>
      </c>
      <c r="AT560" s="1507">
        <v>0</v>
      </c>
      <c r="AU560" s="1507">
        <v>0</v>
      </c>
      <c r="AV560" s="1507">
        <v>0</v>
      </c>
      <c r="AW560" s="3247">
        <v>780</v>
      </c>
      <c r="AX560" s="3146"/>
      <c r="BB560" s="267"/>
      <c r="BC560" s="4117">
        <f t="shared" si="175"/>
        <v>0</v>
      </c>
      <c r="BD560" s="4117">
        <f t="shared" si="169"/>
        <v>0</v>
      </c>
      <c r="BE560" s="267"/>
    </row>
    <row r="561" spans="1:57" ht="89.25">
      <c r="A561" s="5981" t="s">
        <v>11022</v>
      </c>
      <c r="B561" s="1538" t="s">
        <v>7622</v>
      </c>
      <c r="C561" s="1509">
        <v>0</v>
      </c>
      <c r="D561" s="1510">
        <v>44244</v>
      </c>
      <c r="E561" s="4344" t="s">
        <v>8170</v>
      </c>
      <c r="F561" s="1511" t="s">
        <v>7957</v>
      </c>
      <c r="G561" s="2663">
        <v>1.0795220000000001</v>
      </c>
      <c r="H561" s="1513" t="s">
        <v>8562</v>
      </c>
      <c r="I561" s="5260" t="s">
        <v>8563</v>
      </c>
      <c r="J561" s="4345" t="s">
        <v>4306</v>
      </c>
      <c r="K561" s="1516">
        <v>44974</v>
      </c>
      <c r="L561" s="1514" t="s">
        <v>8564</v>
      </c>
      <c r="M561" s="1515" t="s">
        <v>8565</v>
      </c>
      <c r="N561" s="1514" t="s">
        <v>8566</v>
      </c>
      <c r="O561" s="1513" t="s">
        <v>8567</v>
      </c>
      <c r="P561" s="1517"/>
      <c r="Q561" s="6094" t="s">
        <v>5708</v>
      </c>
      <c r="R561" s="1515" t="s">
        <v>5350</v>
      </c>
      <c r="S561" s="1518"/>
      <c r="T561" s="1519"/>
      <c r="U561" s="1504"/>
      <c r="V561" s="1520"/>
      <c r="W561" s="1519"/>
      <c r="X561" s="1504"/>
      <c r="Y561" s="1520"/>
      <c r="Z561" s="1519"/>
      <c r="AA561" s="1504"/>
      <c r="AB561" s="1520"/>
      <c r="AC561" s="1519"/>
      <c r="AD561" s="1504"/>
      <c r="AE561" s="1520"/>
      <c r="AF561" s="1519"/>
      <c r="AG561" s="1504"/>
      <c r="AH561" s="1520"/>
      <c r="AI561" s="1503">
        <v>6437</v>
      </c>
      <c r="AJ561" s="1504">
        <v>0</v>
      </c>
      <c r="AK561" s="3919">
        <v>0</v>
      </c>
      <c r="AL561" s="1505">
        <f t="shared" si="178"/>
        <v>6437</v>
      </c>
      <c r="AM561" s="1508" t="s">
        <v>1061</v>
      </c>
      <c r="AN561" s="3401">
        <v>44356</v>
      </c>
      <c r="AO561" s="3402" t="s">
        <v>8888</v>
      </c>
      <c r="AP561" s="2905" t="s">
        <v>7957</v>
      </c>
      <c r="AQ561" s="2906">
        <v>1.0795220000000001</v>
      </c>
      <c r="AR561" s="1506"/>
      <c r="AS561" s="1507"/>
      <c r="AT561" s="1507"/>
      <c r="AU561" s="1507"/>
      <c r="AV561" s="1507"/>
      <c r="AW561" s="3247">
        <f>ROUND(AL561*AQ561/G561,0)</f>
        <v>6437</v>
      </c>
      <c r="AX561" s="3146"/>
      <c r="BA561" s="267"/>
      <c r="BB561" s="267"/>
      <c r="BC561" s="4117">
        <f t="shared" si="175"/>
        <v>0</v>
      </c>
      <c r="BD561" s="4117">
        <f t="shared" si="169"/>
        <v>0</v>
      </c>
      <c r="BE561" s="267"/>
    </row>
    <row r="562" spans="1:57" ht="114.75">
      <c r="A562" s="5981" t="s">
        <v>11004</v>
      </c>
      <c r="B562" s="2546" t="s">
        <v>8889</v>
      </c>
      <c r="C562" s="1509">
        <v>0</v>
      </c>
      <c r="D562" s="1510">
        <v>43133</v>
      </c>
      <c r="E562" s="3053" t="s">
        <v>6385</v>
      </c>
      <c r="F562" s="1511" t="s">
        <v>5915</v>
      </c>
      <c r="G562" s="2663">
        <v>1.0119899999999999</v>
      </c>
      <c r="H562" s="1513" t="s">
        <v>5290</v>
      </c>
      <c r="I562" s="1514" t="s">
        <v>1433</v>
      </c>
      <c r="J562" s="1515" t="s">
        <v>1434</v>
      </c>
      <c r="K562" s="1516">
        <v>44594</v>
      </c>
      <c r="L562" s="1514" t="s">
        <v>5291</v>
      </c>
      <c r="M562" s="1515" t="s">
        <v>5292</v>
      </c>
      <c r="N562" s="1514" t="s">
        <v>8211</v>
      </c>
      <c r="O562" s="1513" t="s">
        <v>6312</v>
      </c>
      <c r="P562" s="2215" t="s">
        <v>7744</v>
      </c>
      <c r="Q562" s="1515" t="s">
        <v>5293</v>
      </c>
      <c r="R562" s="1515" t="s">
        <v>4837</v>
      </c>
      <c r="S562" s="1518"/>
      <c r="T562" s="1519">
        <v>6800</v>
      </c>
      <c r="U562" s="1504">
        <v>0</v>
      </c>
      <c r="V562" s="1520">
        <f>T562-U562</f>
        <v>6800</v>
      </c>
      <c r="W562" s="1519">
        <v>8501</v>
      </c>
      <c r="X562" s="1504">
        <v>0</v>
      </c>
      <c r="Y562" s="1520">
        <f>W562-X562</f>
        <v>8501</v>
      </c>
      <c r="Z562" s="1519">
        <v>1700</v>
      </c>
      <c r="AA562" s="1504">
        <v>0</v>
      </c>
      <c r="AB562" s="1520">
        <f>Z562-AA562</f>
        <v>1700</v>
      </c>
      <c r="AC562" s="1519"/>
      <c r="AD562" s="1504"/>
      <c r="AE562" s="1520"/>
      <c r="AF562" s="1519"/>
      <c r="AG562" s="1504"/>
      <c r="AH562" s="1520"/>
      <c r="AI562" s="1503"/>
      <c r="AJ562" s="1504">
        <f>U562+X562+AA562+AD562+AG562</f>
        <v>0</v>
      </c>
      <c r="AK562" s="3919">
        <v>0</v>
      </c>
      <c r="AL562" s="1505">
        <f t="shared" si="178"/>
        <v>0</v>
      </c>
      <c r="AM562" s="1508" t="s">
        <v>4488</v>
      </c>
      <c r="AN562" s="3401">
        <v>44356</v>
      </c>
      <c r="AO562" s="3402" t="s">
        <v>8892</v>
      </c>
      <c r="AP562" s="3251" t="s">
        <v>7957</v>
      </c>
      <c r="AQ562" s="3248">
        <v>1.0795220000000001</v>
      </c>
      <c r="AR562" s="1506">
        <v>0</v>
      </c>
      <c r="AS562" s="1507">
        <v>0</v>
      </c>
      <c r="AT562" s="1507">
        <v>0</v>
      </c>
      <c r="AU562" s="1507">
        <v>0</v>
      </c>
      <c r="AV562" s="1507">
        <v>0</v>
      </c>
      <c r="AW562" s="3247">
        <v>9068</v>
      </c>
      <c r="AX562" s="3146"/>
      <c r="BA562" s="267"/>
      <c r="BB562" s="267"/>
      <c r="BC562" s="4117">
        <f t="shared" si="175"/>
        <v>0</v>
      </c>
      <c r="BD562" s="4117">
        <f t="shared" si="169"/>
        <v>0</v>
      </c>
      <c r="BE562" s="267"/>
    </row>
    <row r="563" spans="1:57" ht="76.5">
      <c r="A563" s="5981" t="s">
        <v>11004</v>
      </c>
      <c r="B563" s="1538" t="s">
        <v>11176</v>
      </c>
      <c r="C563" s="1509">
        <v>0</v>
      </c>
      <c r="D563" s="1510">
        <v>43767</v>
      </c>
      <c r="E563" s="2300" t="s">
        <v>7151</v>
      </c>
      <c r="F563" s="2497" t="s">
        <v>8486</v>
      </c>
      <c r="G563" s="2645">
        <v>1.0795220000000001</v>
      </c>
      <c r="H563" s="1513" t="s">
        <v>7277</v>
      </c>
      <c r="I563" s="1514" t="s">
        <v>1433</v>
      </c>
      <c r="J563" s="1515" t="s">
        <v>1434</v>
      </c>
      <c r="K563" s="3799" t="s">
        <v>7278</v>
      </c>
      <c r="L563" s="1514" t="s">
        <v>7279</v>
      </c>
      <c r="M563" s="1515" t="s">
        <v>3046</v>
      </c>
      <c r="N563" s="1514" t="s">
        <v>7280</v>
      </c>
      <c r="O563" s="1513" t="s">
        <v>7281</v>
      </c>
      <c r="P563" s="1517" t="s">
        <v>8485</v>
      </c>
      <c r="Q563" s="6094" t="s">
        <v>8816</v>
      </c>
      <c r="R563" s="1515" t="s">
        <v>7282</v>
      </c>
      <c r="S563" s="1518"/>
      <c r="T563" s="1519"/>
      <c r="U563" s="1504"/>
      <c r="V563" s="1520"/>
      <c r="W563" s="1519"/>
      <c r="X563" s="1504"/>
      <c r="Y563" s="1520"/>
      <c r="Z563" s="1519"/>
      <c r="AA563" s="1504"/>
      <c r="AB563" s="1520"/>
      <c r="AC563" s="1519"/>
      <c r="AD563" s="1504"/>
      <c r="AE563" s="1520"/>
      <c r="AF563" s="1519"/>
      <c r="AG563" s="1504"/>
      <c r="AH563" s="1520"/>
      <c r="AI563" s="1503">
        <v>4363</v>
      </c>
      <c r="AJ563" s="1504">
        <v>0</v>
      </c>
      <c r="AK563" s="3919">
        <v>0</v>
      </c>
      <c r="AL563" s="1505">
        <f t="shared" si="178"/>
        <v>4363</v>
      </c>
      <c r="AM563" s="1508" t="s">
        <v>1061</v>
      </c>
      <c r="AN563" s="3401">
        <v>44357</v>
      </c>
      <c r="AO563" s="3402" t="s">
        <v>8891</v>
      </c>
      <c r="AP563" s="3539" t="s">
        <v>7957</v>
      </c>
      <c r="AQ563" s="4189">
        <v>1.0795220000000001</v>
      </c>
      <c r="AR563" s="1506"/>
      <c r="AS563" s="1507"/>
      <c r="AT563" s="1507"/>
      <c r="AU563" s="1507"/>
      <c r="AV563" s="1507"/>
      <c r="AW563" s="3247">
        <f>ROUND(AL563*AQ563/G563,0)</f>
        <v>4363</v>
      </c>
      <c r="AX563" s="3146"/>
      <c r="BB563" s="267"/>
      <c r="BC563" s="4117">
        <f t="shared" si="175"/>
        <v>0</v>
      </c>
      <c r="BD563" s="4117">
        <f t="shared" si="169"/>
        <v>0</v>
      </c>
      <c r="BE563" s="267"/>
    </row>
    <row r="564" spans="1:57" ht="102">
      <c r="A564" s="6017" t="s">
        <v>11004</v>
      </c>
      <c r="B564" s="2546" t="s">
        <v>11175</v>
      </c>
      <c r="C564" s="1509">
        <v>0</v>
      </c>
      <c r="D564" s="1510">
        <v>43668</v>
      </c>
      <c r="E564" s="5261" t="s">
        <v>6386</v>
      </c>
      <c r="F564" s="2497" t="s">
        <v>6893</v>
      </c>
      <c r="G564" s="3110">
        <v>1.047839</v>
      </c>
      <c r="H564" s="1513" t="s">
        <v>6909</v>
      </c>
      <c r="I564" s="1514" t="s">
        <v>6911</v>
      </c>
      <c r="J564" s="1515" t="s">
        <v>4306</v>
      </c>
      <c r="K564" s="1516">
        <v>44399</v>
      </c>
      <c r="L564" s="1514" t="s">
        <v>6913</v>
      </c>
      <c r="M564" s="1515" t="s">
        <v>6914</v>
      </c>
      <c r="N564" s="1514" t="s">
        <v>6915</v>
      </c>
      <c r="O564" s="1513" t="s">
        <v>6916</v>
      </c>
      <c r="P564" s="5262" t="s">
        <v>7739</v>
      </c>
      <c r="Q564" s="6094" t="s">
        <v>5708</v>
      </c>
      <c r="R564" s="1515" t="s">
        <v>5350</v>
      </c>
      <c r="S564" s="1518"/>
      <c r="T564" s="1519"/>
      <c r="U564" s="1504"/>
      <c r="V564" s="1520"/>
      <c r="W564" s="1519"/>
      <c r="X564" s="1504"/>
      <c r="Y564" s="1520"/>
      <c r="Z564" s="1519"/>
      <c r="AA564" s="1504"/>
      <c r="AB564" s="1520"/>
      <c r="AC564" s="1519"/>
      <c r="AD564" s="1504"/>
      <c r="AE564" s="1520"/>
      <c r="AF564" s="1519"/>
      <c r="AG564" s="1504"/>
      <c r="AH564" s="1520"/>
      <c r="AI564" s="1503">
        <v>1562</v>
      </c>
      <c r="AJ564" s="1504">
        <v>0</v>
      </c>
      <c r="AK564" s="3919">
        <v>0</v>
      </c>
      <c r="AL564" s="1505">
        <f t="shared" si="178"/>
        <v>1562</v>
      </c>
      <c r="AM564" s="1508" t="s">
        <v>1061</v>
      </c>
      <c r="AN564" s="3401">
        <v>44358</v>
      </c>
      <c r="AO564" s="3402" t="s">
        <v>8894</v>
      </c>
      <c r="AP564" s="3251" t="s">
        <v>6894</v>
      </c>
      <c r="AQ564" s="3248">
        <v>1.047839</v>
      </c>
      <c r="AR564" s="1506"/>
      <c r="AS564" s="1507"/>
      <c r="AT564" s="1507"/>
      <c r="AU564" s="1507"/>
      <c r="AV564" s="1507"/>
      <c r="AW564" s="3247">
        <f>ROUND(AL564*AQ564/G564,0)</f>
        <v>1562</v>
      </c>
      <c r="AX564" s="3146"/>
      <c r="BA564" s="267"/>
      <c r="BB564" s="267"/>
      <c r="BC564" s="4117">
        <f t="shared" si="175"/>
        <v>0</v>
      </c>
      <c r="BD564" s="4117">
        <f t="shared" si="169"/>
        <v>0</v>
      </c>
      <c r="BE564" s="267"/>
    </row>
    <row r="565" spans="1:57" ht="76.5">
      <c r="A565" s="5978" t="s">
        <v>11021</v>
      </c>
      <c r="B565" s="2546" t="s">
        <v>11174</v>
      </c>
      <c r="C565" s="1509">
        <v>0</v>
      </c>
      <c r="D565" s="1510">
        <v>42905</v>
      </c>
      <c r="E565" s="3053" t="s">
        <v>6385</v>
      </c>
      <c r="F565" s="2139" t="s">
        <v>6544</v>
      </c>
      <c r="G565" s="2805">
        <v>114</v>
      </c>
      <c r="H565" s="1513" t="s">
        <v>4685</v>
      </c>
      <c r="I565" s="1514" t="s">
        <v>4686</v>
      </c>
      <c r="J565" s="1515" t="s">
        <v>4306</v>
      </c>
      <c r="K565" s="1516">
        <v>43635</v>
      </c>
      <c r="L565" s="1514" t="s">
        <v>4687</v>
      </c>
      <c r="M565" s="1515" t="s">
        <v>4688</v>
      </c>
      <c r="N565" s="1514" t="s">
        <v>4689</v>
      </c>
      <c r="O565" s="1513" t="s">
        <v>6234</v>
      </c>
      <c r="P565" s="1517" t="s">
        <v>7754</v>
      </c>
      <c r="Q565" s="6094" t="s">
        <v>4332</v>
      </c>
      <c r="R565" s="1515" t="s">
        <v>1046</v>
      </c>
      <c r="S565" s="4214" t="s">
        <v>7769</v>
      </c>
      <c r="T565" s="1519">
        <v>465</v>
      </c>
      <c r="U565" s="1504">
        <v>0</v>
      </c>
      <c r="V565" s="1520">
        <f>T565-U565</f>
        <v>465</v>
      </c>
      <c r="W565" s="1519">
        <v>582</v>
      </c>
      <c r="X565" s="1504">
        <v>0</v>
      </c>
      <c r="Y565" s="1520">
        <f>W565-X565</f>
        <v>582</v>
      </c>
      <c r="Z565" s="1519">
        <v>166</v>
      </c>
      <c r="AA565" s="1504">
        <v>0</v>
      </c>
      <c r="AB565" s="1520">
        <f>Z565-AA565</f>
        <v>166</v>
      </c>
      <c r="AC565" s="1519"/>
      <c r="AD565" s="1504"/>
      <c r="AE565" s="1520"/>
      <c r="AF565" s="1519"/>
      <c r="AG565" s="1504"/>
      <c r="AH565" s="1520"/>
      <c r="AI565" s="1503">
        <f>T565+W565+Z565+AC565+AF565-20</f>
        <v>1193</v>
      </c>
      <c r="AJ565" s="1504">
        <f>U565+X565+AA565+AD565+AG565</f>
        <v>0</v>
      </c>
      <c r="AK565" s="3919">
        <v>0</v>
      </c>
      <c r="AL565" s="1505">
        <f t="shared" si="178"/>
        <v>1193</v>
      </c>
      <c r="AM565" s="1508" t="s">
        <v>1061</v>
      </c>
      <c r="AN565" s="3401">
        <v>44358</v>
      </c>
      <c r="AO565" s="3402" t="s">
        <v>8895</v>
      </c>
      <c r="AP565" s="3251" t="s">
        <v>7742</v>
      </c>
      <c r="AQ565" s="3248">
        <v>116.3</v>
      </c>
      <c r="AR565" s="1506">
        <v>0</v>
      </c>
      <c r="AS565" s="1507">
        <v>0</v>
      </c>
      <c r="AT565" s="1507">
        <v>0</v>
      </c>
      <c r="AU565" s="1507">
        <v>0</v>
      </c>
      <c r="AV565" s="1507">
        <v>0</v>
      </c>
      <c r="AW565" s="3247">
        <f>ROUND(AL565*AQ565/G565,0)</f>
        <v>1217</v>
      </c>
      <c r="AX565" s="3146"/>
      <c r="BB565" s="267"/>
      <c r="BC565" s="4117">
        <f t="shared" si="175"/>
        <v>0</v>
      </c>
      <c r="BD565" s="4117">
        <f t="shared" si="169"/>
        <v>0</v>
      </c>
      <c r="BE565" s="267"/>
    </row>
    <row r="566" spans="1:57" ht="76.5">
      <c r="A566" s="5981" t="s">
        <v>11004</v>
      </c>
      <c r="B566" s="1538" t="s">
        <v>8899</v>
      </c>
      <c r="C566" s="1509">
        <v>0</v>
      </c>
      <c r="D566" s="1510">
        <v>43054</v>
      </c>
      <c r="E566" s="3053" t="s">
        <v>6385</v>
      </c>
      <c r="F566" s="1511" t="s">
        <v>5915</v>
      </c>
      <c r="G566" s="2663">
        <v>1.0119899999999999</v>
      </c>
      <c r="H566" s="1513" t="s">
        <v>7867</v>
      </c>
      <c r="I566" s="1514" t="s">
        <v>1433</v>
      </c>
      <c r="J566" s="1515" t="s">
        <v>1434</v>
      </c>
      <c r="K566" s="1516">
        <v>44515</v>
      </c>
      <c r="L566" s="1514" t="s">
        <v>5083</v>
      </c>
      <c r="M566" s="1515" t="s">
        <v>5084</v>
      </c>
      <c r="N566" s="1514" t="s">
        <v>5085</v>
      </c>
      <c r="O566" s="1513" t="s">
        <v>6321</v>
      </c>
      <c r="P566" s="2215" t="s">
        <v>7744</v>
      </c>
      <c r="Q566" s="1515" t="s">
        <v>5086</v>
      </c>
      <c r="R566" s="1515" t="s">
        <v>5087</v>
      </c>
      <c r="S566" s="1518"/>
      <c r="T566" s="1519">
        <v>9715</v>
      </c>
      <c r="U566" s="1504">
        <v>0</v>
      </c>
      <c r="V566" s="1520">
        <f>T566-U566</f>
        <v>9715</v>
      </c>
      <c r="W566" s="1519">
        <v>12144</v>
      </c>
      <c r="X566" s="1504">
        <v>0</v>
      </c>
      <c r="Y566" s="1520">
        <f>W566-X566</f>
        <v>12144</v>
      </c>
      <c r="Z566" s="1519">
        <v>2428</v>
      </c>
      <c r="AA566" s="1504">
        <v>0</v>
      </c>
      <c r="AB566" s="1520">
        <f>Z566-AA566</f>
        <v>2428</v>
      </c>
      <c r="AC566" s="1519"/>
      <c r="AD566" s="1504"/>
      <c r="AE566" s="1520"/>
      <c r="AF566" s="1519"/>
      <c r="AG566" s="1504"/>
      <c r="AH566" s="1520"/>
      <c r="AI566" s="1503">
        <f>T566+W566+Z566+AC566+AF566</f>
        <v>24287</v>
      </c>
      <c r="AJ566" s="1504">
        <f>U566+X566+AA566+AD566+AG566</f>
        <v>0</v>
      </c>
      <c r="AK566" s="3919">
        <v>0</v>
      </c>
      <c r="AL566" s="1505">
        <f t="shared" si="178"/>
        <v>24287</v>
      </c>
      <c r="AM566" s="5263" t="s">
        <v>8893</v>
      </c>
      <c r="AN566" s="5264" t="s">
        <v>8896</v>
      </c>
      <c r="AO566" s="3402" t="s">
        <v>8901</v>
      </c>
      <c r="AP566" s="3251" t="s">
        <v>6894</v>
      </c>
      <c r="AQ566" s="3248">
        <v>1.047839</v>
      </c>
      <c r="AR566" s="1506">
        <v>0</v>
      </c>
      <c r="AS566" s="1507">
        <v>0</v>
      </c>
      <c r="AT566" s="1507">
        <v>0</v>
      </c>
      <c r="AU566" s="1507">
        <v>0</v>
      </c>
      <c r="AV566" s="1507">
        <v>0</v>
      </c>
      <c r="AW566" s="3247">
        <f>ROUND(AL566*AQ566/G566,0)-5000-2000-5000</f>
        <v>13147</v>
      </c>
      <c r="AX566" s="3148"/>
      <c r="BA566" s="267"/>
      <c r="BB566" s="267"/>
      <c r="BC566" s="4117">
        <f t="shared" si="175"/>
        <v>0</v>
      </c>
      <c r="BD566" s="4117">
        <f t="shared" si="169"/>
        <v>0</v>
      </c>
      <c r="BE566" s="267"/>
    </row>
    <row r="567" spans="1:57" ht="102">
      <c r="A567" s="5978" t="s">
        <v>11035</v>
      </c>
      <c r="B567" s="1538" t="s">
        <v>11169</v>
      </c>
      <c r="C567" s="1509">
        <v>0</v>
      </c>
      <c r="D567" s="1510" t="s">
        <v>11170</v>
      </c>
      <c r="E567" s="3053" t="s">
        <v>6385</v>
      </c>
      <c r="F567" s="1511" t="s">
        <v>11171</v>
      </c>
      <c r="G567" s="3250">
        <v>1.047839</v>
      </c>
      <c r="H567" s="1513" t="s">
        <v>5010</v>
      </c>
      <c r="I567" s="1514" t="s">
        <v>5037</v>
      </c>
      <c r="J567" s="1515" t="s">
        <v>4306</v>
      </c>
      <c r="K567" s="1516">
        <v>43750</v>
      </c>
      <c r="L567" s="1514" t="s">
        <v>5013</v>
      </c>
      <c r="M567" s="1515" t="s">
        <v>5011</v>
      </c>
      <c r="N567" s="1514" t="s">
        <v>5012</v>
      </c>
      <c r="O567" s="1515" t="s">
        <v>5011</v>
      </c>
      <c r="P567" s="1517" t="s">
        <v>7741</v>
      </c>
      <c r="Q567" s="6094" t="s">
        <v>4878</v>
      </c>
      <c r="R567" s="1515" t="s">
        <v>1046</v>
      </c>
      <c r="S567" s="1518"/>
      <c r="T567" s="1519">
        <v>2304</v>
      </c>
      <c r="U567" s="1504">
        <v>0</v>
      </c>
      <c r="V567" s="1520">
        <f>T567-U567</f>
        <v>2304</v>
      </c>
      <c r="W567" s="1519">
        <v>2881</v>
      </c>
      <c r="X567" s="1504">
        <v>0</v>
      </c>
      <c r="Y567" s="1520">
        <f>W567-X567</f>
        <v>2881</v>
      </c>
      <c r="Z567" s="1519">
        <v>823</v>
      </c>
      <c r="AA567" s="1504">
        <v>0</v>
      </c>
      <c r="AB567" s="1520">
        <f>Z567-AA567</f>
        <v>823</v>
      </c>
      <c r="AC567" s="1519"/>
      <c r="AD567" s="1504"/>
      <c r="AE567" s="1520"/>
      <c r="AF567" s="1519"/>
      <c r="AG567" s="1504"/>
      <c r="AH567" s="1520"/>
      <c r="AI567" s="1503">
        <v>1555</v>
      </c>
      <c r="AJ567" s="1504">
        <f>U567+X567+AA567+AD567+AG567</f>
        <v>0</v>
      </c>
      <c r="AK567" s="3919">
        <v>0</v>
      </c>
      <c r="AL567" s="1505">
        <f t="shared" si="178"/>
        <v>1555</v>
      </c>
      <c r="AM567" s="1508" t="s">
        <v>1061</v>
      </c>
      <c r="AN567" s="3401">
        <v>44362</v>
      </c>
      <c r="AO567" s="3402" t="s">
        <v>8902</v>
      </c>
      <c r="AP567" s="3251" t="s">
        <v>6894</v>
      </c>
      <c r="AQ567" s="3248">
        <v>1.047839</v>
      </c>
      <c r="AR567" s="1506">
        <v>0</v>
      </c>
      <c r="AS567" s="1507">
        <v>0</v>
      </c>
      <c r="AT567" s="1507">
        <v>0</v>
      </c>
      <c r="AU567" s="1507">
        <v>0</v>
      </c>
      <c r="AV567" s="1507">
        <v>0</v>
      </c>
      <c r="AW567" s="3247">
        <f t="shared" ref="AW567:AW585" si="179">ROUND(AL567*AQ567/G567,0)</f>
        <v>1555</v>
      </c>
      <c r="AX567" s="3146"/>
      <c r="BA567" s="267"/>
      <c r="BB567" s="267"/>
      <c r="BC567" s="4117">
        <f t="shared" si="175"/>
        <v>0</v>
      </c>
      <c r="BD567" s="4117">
        <f t="shared" si="169"/>
        <v>0</v>
      </c>
      <c r="BE567" s="267"/>
    </row>
    <row r="568" spans="1:57" ht="102">
      <c r="A568" s="5981" t="s">
        <v>11168</v>
      </c>
      <c r="B568" s="1538" t="s">
        <v>11173</v>
      </c>
      <c r="C568" s="1509">
        <v>0</v>
      </c>
      <c r="D568" s="1510">
        <v>44145</v>
      </c>
      <c r="E568" s="4344" t="s">
        <v>8170</v>
      </c>
      <c r="F568" s="1511" t="s">
        <v>7957</v>
      </c>
      <c r="G568" s="2663">
        <v>1.0795220000000001</v>
      </c>
      <c r="H568" s="1513" t="s">
        <v>8275</v>
      </c>
      <c r="I568" s="1514" t="s">
        <v>8276</v>
      </c>
      <c r="J568" s="4345" t="s">
        <v>4306</v>
      </c>
      <c r="K568" s="1516">
        <v>44875</v>
      </c>
      <c r="L568" s="1514" t="s">
        <v>8277</v>
      </c>
      <c r="M568" s="1515" t="s">
        <v>8278</v>
      </c>
      <c r="N568" s="1514" t="s">
        <v>8279</v>
      </c>
      <c r="O568" s="1515" t="s">
        <v>8278</v>
      </c>
      <c r="P568" s="2215" t="s">
        <v>8715</v>
      </c>
      <c r="Q568" s="6094" t="s">
        <v>5708</v>
      </c>
      <c r="R568" s="1515" t="s">
        <v>5350</v>
      </c>
      <c r="S568" s="1518"/>
      <c r="T568" s="1519"/>
      <c r="U568" s="1504"/>
      <c r="V568" s="1520"/>
      <c r="W568" s="1519"/>
      <c r="X568" s="1504"/>
      <c r="Y568" s="1520"/>
      <c r="Z568" s="1519"/>
      <c r="AA568" s="1504"/>
      <c r="AB568" s="1520"/>
      <c r="AC568" s="1519"/>
      <c r="AD568" s="1504"/>
      <c r="AE568" s="1520"/>
      <c r="AF568" s="1519"/>
      <c r="AG568" s="1504"/>
      <c r="AH568" s="1520"/>
      <c r="AI568" s="1503">
        <v>1609</v>
      </c>
      <c r="AJ568" s="1504">
        <v>0</v>
      </c>
      <c r="AK568" s="3919">
        <v>0</v>
      </c>
      <c r="AL568" s="1505">
        <f t="shared" si="178"/>
        <v>1609</v>
      </c>
      <c r="AM568" s="1508" t="s">
        <v>1061</v>
      </c>
      <c r="AN568" s="3401">
        <v>44362</v>
      </c>
      <c r="AO568" s="3402" t="s">
        <v>8903</v>
      </c>
      <c r="AP568" s="3539" t="s">
        <v>7957</v>
      </c>
      <c r="AQ568" s="4189">
        <v>1.0795220000000001</v>
      </c>
      <c r="AR568" s="1506"/>
      <c r="AS568" s="1507"/>
      <c r="AT568" s="1507"/>
      <c r="AU568" s="1507"/>
      <c r="AV568" s="1507"/>
      <c r="AW568" s="3247">
        <f t="shared" si="179"/>
        <v>1609</v>
      </c>
      <c r="AX568" s="3146"/>
      <c r="BA568" s="267"/>
      <c r="BB568" s="267"/>
      <c r="BC568" s="4117">
        <f t="shared" si="175"/>
        <v>0</v>
      </c>
      <c r="BD568" s="4117">
        <f t="shared" si="169"/>
        <v>0</v>
      </c>
      <c r="BE568" s="267"/>
    </row>
    <row r="569" spans="1:57" ht="96.75" customHeight="1">
      <c r="A569" s="5981" t="s">
        <v>11004</v>
      </c>
      <c r="B569" s="1538" t="s">
        <v>11172</v>
      </c>
      <c r="C569" s="1509">
        <v>0</v>
      </c>
      <c r="D569" s="1510" t="s">
        <v>11180</v>
      </c>
      <c r="E569" s="3053" t="s">
        <v>6386</v>
      </c>
      <c r="F569" s="1511" t="s">
        <v>11179</v>
      </c>
      <c r="G569" s="2805">
        <v>1.0795220000000001</v>
      </c>
      <c r="H569" s="1513" t="s">
        <v>8235</v>
      </c>
      <c r="I569" s="1514" t="s">
        <v>1433</v>
      </c>
      <c r="J569" s="1515" t="s">
        <v>1434</v>
      </c>
      <c r="K569" s="1516">
        <v>45695</v>
      </c>
      <c r="L569" s="1514" t="s">
        <v>6178</v>
      </c>
      <c r="M569" s="1515" t="s">
        <v>6179</v>
      </c>
      <c r="N569" s="1514" t="s">
        <v>6180</v>
      </c>
      <c r="O569" s="1513" t="s">
        <v>6181</v>
      </c>
      <c r="P569" s="1517" t="s">
        <v>8234</v>
      </c>
      <c r="Q569" s="1515" t="s">
        <v>6182</v>
      </c>
      <c r="R569" s="1515" t="s">
        <v>6183</v>
      </c>
      <c r="S569" s="1518"/>
      <c r="T569" s="1519">
        <v>14755</v>
      </c>
      <c r="U569" s="1504">
        <v>0</v>
      </c>
      <c r="V569" s="1520">
        <f>T569-U569</f>
        <v>14755</v>
      </c>
      <c r="W569" s="1519">
        <v>18445</v>
      </c>
      <c r="X569" s="1504">
        <v>0</v>
      </c>
      <c r="Y569" s="1520">
        <f>W569-X569</f>
        <v>18445</v>
      </c>
      <c r="Z569" s="1519">
        <v>0</v>
      </c>
      <c r="AA569" s="1504">
        <v>0</v>
      </c>
      <c r="AB569" s="1520">
        <f>Z569-AA569</f>
        <v>0</v>
      </c>
      <c r="AC569" s="1519"/>
      <c r="AD569" s="1504"/>
      <c r="AE569" s="1520"/>
      <c r="AF569" s="1519"/>
      <c r="AG569" s="1504"/>
      <c r="AH569" s="1520"/>
      <c r="AI569" s="1503">
        <v>8744</v>
      </c>
      <c r="AJ569" s="1504">
        <f>U569+X569+AA569+AD569+AG569</f>
        <v>0</v>
      </c>
      <c r="AK569" s="3919">
        <v>0</v>
      </c>
      <c r="AL569" s="1505">
        <f t="shared" si="178"/>
        <v>8744</v>
      </c>
      <c r="AM569" s="1508" t="s">
        <v>1061</v>
      </c>
      <c r="AN569" s="3401">
        <v>44362</v>
      </c>
      <c r="AO569" s="3402" t="s">
        <v>8904</v>
      </c>
      <c r="AP569" s="3251" t="s">
        <v>7957</v>
      </c>
      <c r="AQ569" s="3248">
        <v>1.0795220000000001</v>
      </c>
      <c r="AR569" s="1506">
        <v>0</v>
      </c>
      <c r="AS569" s="1507">
        <v>0</v>
      </c>
      <c r="AT569" s="1507">
        <v>0</v>
      </c>
      <c r="AU569" s="1507">
        <v>0</v>
      </c>
      <c r="AV569" s="1507">
        <v>0</v>
      </c>
      <c r="AW569" s="3247">
        <f t="shared" si="179"/>
        <v>8744</v>
      </c>
      <c r="AX569" s="3146"/>
      <c r="BA569" s="267"/>
      <c r="BB569" s="267"/>
      <c r="BC569" s="4117">
        <f t="shared" si="175"/>
        <v>0</v>
      </c>
      <c r="BD569" s="4117">
        <f t="shared" si="169"/>
        <v>0</v>
      </c>
      <c r="BE569" s="267"/>
    </row>
    <row r="570" spans="1:57" ht="102">
      <c r="A570" s="5978" t="s">
        <v>11035</v>
      </c>
      <c r="B570" s="2546" t="s">
        <v>11177</v>
      </c>
      <c r="C570" s="1509">
        <v>1</v>
      </c>
      <c r="D570" s="1510" t="s">
        <v>5919</v>
      </c>
      <c r="E570" s="3053" t="s">
        <v>6385</v>
      </c>
      <c r="F570" s="1511" t="s">
        <v>11178</v>
      </c>
      <c r="G570" s="2805">
        <v>1.047839</v>
      </c>
      <c r="H570" s="1513" t="s">
        <v>5758</v>
      </c>
      <c r="I570" s="1514" t="s">
        <v>5759</v>
      </c>
      <c r="J570" s="1515" t="s">
        <v>4306</v>
      </c>
      <c r="K570" s="1516">
        <v>44029</v>
      </c>
      <c r="L570" s="1514" t="s">
        <v>5760</v>
      </c>
      <c r="M570" s="1515" t="s">
        <v>5761</v>
      </c>
      <c r="N570" s="1514" t="s">
        <v>5762</v>
      </c>
      <c r="O570" s="1513" t="s">
        <v>6297</v>
      </c>
      <c r="P570" s="1517" t="s">
        <v>7745</v>
      </c>
      <c r="Q570" s="6094" t="s">
        <v>5708</v>
      </c>
      <c r="R570" s="1515" t="s">
        <v>5350</v>
      </c>
      <c r="S570" s="1518"/>
      <c r="T570" s="1519">
        <v>2444</v>
      </c>
      <c r="U570" s="1504">
        <v>0</v>
      </c>
      <c r="V570" s="1520">
        <f>T570-U570</f>
        <v>2444</v>
      </c>
      <c r="W570" s="1519">
        <v>3056</v>
      </c>
      <c r="X570" s="1504">
        <v>0</v>
      </c>
      <c r="Y570" s="1520">
        <f>W570-X570</f>
        <v>3056</v>
      </c>
      <c r="Z570" s="1519">
        <v>0</v>
      </c>
      <c r="AA570" s="1504">
        <v>0</v>
      </c>
      <c r="AB570" s="1520">
        <f>Z570-AA570</f>
        <v>0</v>
      </c>
      <c r="AC570" s="1519"/>
      <c r="AD570" s="1504"/>
      <c r="AE570" s="1520"/>
      <c r="AF570" s="1519"/>
      <c r="AG570" s="1504"/>
      <c r="AH570" s="1520"/>
      <c r="AI570" s="1503">
        <v>1477</v>
      </c>
      <c r="AJ570" s="1504">
        <f>U570+X570+AA570+AD570+AG570</f>
        <v>0</v>
      </c>
      <c r="AK570" s="3919">
        <v>0</v>
      </c>
      <c r="AL570" s="1505">
        <f t="shared" si="178"/>
        <v>1477</v>
      </c>
      <c r="AM570" s="1508" t="s">
        <v>1061</v>
      </c>
      <c r="AN570" s="3401">
        <v>44362</v>
      </c>
      <c r="AO570" s="3402" t="s">
        <v>8905</v>
      </c>
      <c r="AP570" s="3251" t="s">
        <v>6894</v>
      </c>
      <c r="AQ570" s="3248">
        <v>1.047839</v>
      </c>
      <c r="AR570" s="1506">
        <v>0</v>
      </c>
      <c r="AS570" s="1507">
        <v>0</v>
      </c>
      <c r="AT570" s="1507">
        <v>0</v>
      </c>
      <c r="AU570" s="1507">
        <v>0</v>
      </c>
      <c r="AV570" s="1507">
        <v>0</v>
      </c>
      <c r="AW570" s="3247">
        <f t="shared" si="179"/>
        <v>1477</v>
      </c>
      <c r="AX570" s="3146"/>
      <c r="BA570" s="267"/>
      <c r="BB570" s="267"/>
      <c r="BC570" s="4117">
        <f t="shared" si="175"/>
        <v>0</v>
      </c>
      <c r="BD570" s="4117">
        <f t="shared" si="169"/>
        <v>0</v>
      </c>
      <c r="BE570" s="267"/>
    </row>
    <row r="571" spans="1:57" ht="76.5">
      <c r="A571" s="5978" t="s">
        <v>11021</v>
      </c>
      <c r="B571" s="1538" t="s">
        <v>8900</v>
      </c>
      <c r="C571" s="1509">
        <v>0</v>
      </c>
      <c r="D571" s="1510">
        <v>42780</v>
      </c>
      <c r="E571" s="3053" t="s">
        <v>6385</v>
      </c>
      <c r="F571" s="2139" t="s">
        <v>6737</v>
      </c>
      <c r="G571" s="2805">
        <v>114.1</v>
      </c>
      <c r="H571" s="1513" t="s">
        <v>4351</v>
      </c>
      <c r="I571" s="1514" t="s">
        <v>4352</v>
      </c>
      <c r="J571" s="1515" t="s">
        <v>4306</v>
      </c>
      <c r="K571" s="1516">
        <v>43510</v>
      </c>
      <c r="L571" s="1514" t="s">
        <v>4354</v>
      </c>
      <c r="M571" s="1515" t="s">
        <v>4355</v>
      </c>
      <c r="N571" s="1514" t="s">
        <v>4356</v>
      </c>
      <c r="O571" s="1515" t="s">
        <v>4355</v>
      </c>
      <c r="P571" s="2215" t="s">
        <v>7759</v>
      </c>
      <c r="Q571" s="6094" t="s">
        <v>6638</v>
      </c>
      <c r="R571" s="1515" t="s">
        <v>1046</v>
      </c>
      <c r="S571" s="1518"/>
      <c r="T571" s="1519">
        <v>580</v>
      </c>
      <c r="U571" s="1504">
        <v>0</v>
      </c>
      <c r="V571" s="1520">
        <f>T571-U571</f>
        <v>580</v>
      </c>
      <c r="W571" s="1519">
        <v>725</v>
      </c>
      <c r="X571" s="1504">
        <v>0</v>
      </c>
      <c r="Y571" s="1520">
        <f>W571-X571</f>
        <v>725</v>
      </c>
      <c r="Z571" s="1519">
        <v>207</v>
      </c>
      <c r="AA571" s="1504">
        <v>0</v>
      </c>
      <c r="AB571" s="1520">
        <f>Z571-AA571</f>
        <v>207</v>
      </c>
      <c r="AC571" s="1519"/>
      <c r="AD571" s="1504"/>
      <c r="AE571" s="1520"/>
      <c r="AF571" s="1519"/>
      <c r="AG571" s="1504"/>
      <c r="AH571" s="1520"/>
      <c r="AI571" s="1503">
        <f>T571+W571+Z571+AC571+AF571</f>
        <v>1512</v>
      </c>
      <c r="AJ571" s="1504">
        <f>U571+X571+AA571+AD571+AG571</f>
        <v>0</v>
      </c>
      <c r="AK571" s="3919">
        <v>0</v>
      </c>
      <c r="AL571" s="1505">
        <f t="shared" si="178"/>
        <v>1512</v>
      </c>
      <c r="AM571" s="1508" t="s">
        <v>1061</v>
      </c>
      <c r="AN571" s="3401">
        <v>44362</v>
      </c>
      <c r="AO571" s="3402" t="s">
        <v>8906</v>
      </c>
      <c r="AP571" s="3251" t="s">
        <v>7742</v>
      </c>
      <c r="AQ571" s="3248">
        <v>116.3</v>
      </c>
      <c r="AR571" s="1506">
        <v>0</v>
      </c>
      <c r="AS571" s="1507">
        <v>0</v>
      </c>
      <c r="AT571" s="1507">
        <v>0</v>
      </c>
      <c r="AU571" s="1507">
        <v>0</v>
      </c>
      <c r="AV571" s="1507">
        <v>0</v>
      </c>
      <c r="AW571" s="3247">
        <f t="shared" si="179"/>
        <v>1541</v>
      </c>
      <c r="AX571" s="3146"/>
      <c r="BB571" s="267"/>
      <c r="BC571" s="4117">
        <f t="shared" si="175"/>
        <v>0</v>
      </c>
      <c r="BD571" s="4117">
        <f t="shared" si="169"/>
        <v>0</v>
      </c>
      <c r="BE571" s="267"/>
    </row>
    <row r="572" spans="1:57" ht="89.25">
      <c r="A572" s="5978" t="s">
        <v>11035</v>
      </c>
      <c r="B572" s="2546" t="s">
        <v>11183</v>
      </c>
      <c r="C572" s="1509">
        <v>0</v>
      </c>
      <c r="D572" s="1510" t="s">
        <v>11181</v>
      </c>
      <c r="E572" s="3053" t="s">
        <v>6385</v>
      </c>
      <c r="F572" s="1511" t="s">
        <v>11182</v>
      </c>
      <c r="G572" s="2663">
        <v>1.047839</v>
      </c>
      <c r="H572" s="1513" t="s">
        <v>4939</v>
      </c>
      <c r="I572" s="1514" t="s">
        <v>4940</v>
      </c>
      <c r="J572" s="1515" t="s">
        <v>4306</v>
      </c>
      <c r="K572" s="1516">
        <v>43726</v>
      </c>
      <c r="L572" s="1514" t="s">
        <v>4941</v>
      </c>
      <c r="M572" s="1515" t="s">
        <v>4942</v>
      </c>
      <c r="N572" s="1514" t="s">
        <v>4943</v>
      </c>
      <c r="O572" s="1513" t="s">
        <v>6245</v>
      </c>
      <c r="P572" s="5262" t="s">
        <v>7740</v>
      </c>
      <c r="Q572" s="6094" t="s">
        <v>4878</v>
      </c>
      <c r="R572" s="1515" t="s">
        <v>1046</v>
      </c>
      <c r="S572" s="1518"/>
      <c r="T572" s="1519">
        <v>2304</v>
      </c>
      <c r="U572" s="1504">
        <v>0</v>
      </c>
      <c r="V572" s="1520">
        <f>T572-U572</f>
        <v>2304</v>
      </c>
      <c r="W572" s="1519">
        <v>2881</v>
      </c>
      <c r="X572" s="1504">
        <v>0</v>
      </c>
      <c r="Y572" s="1520">
        <f>W572-X572</f>
        <v>2881</v>
      </c>
      <c r="Z572" s="1519">
        <v>823</v>
      </c>
      <c r="AA572" s="1504">
        <v>0</v>
      </c>
      <c r="AB572" s="1520">
        <f>Z572-AA572</f>
        <v>823</v>
      </c>
      <c r="AC572" s="1519"/>
      <c r="AD572" s="1504"/>
      <c r="AE572" s="1520"/>
      <c r="AF572" s="1519"/>
      <c r="AG572" s="1504"/>
      <c r="AH572" s="1520"/>
      <c r="AI572" s="1503">
        <v>1555</v>
      </c>
      <c r="AJ572" s="1504">
        <f>U572+X572+AA572+AD572+AG572</f>
        <v>0</v>
      </c>
      <c r="AK572" s="3919">
        <v>0</v>
      </c>
      <c r="AL572" s="1505">
        <f t="shared" si="178"/>
        <v>1555</v>
      </c>
      <c r="AM572" s="1508" t="s">
        <v>8897</v>
      </c>
      <c r="AN572" s="3401">
        <v>44362</v>
      </c>
      <c r="AO572" s="5265" t="s">
        <v>8914</v>
      </c>
      <c r="AP572" s="3251" t="s">
        <v>6894</v>
      </c>
      <c r="AQ572" s="3248">
        <v>1.047839</v>
      </c>
      <c r="AR572" s="1506">
        <v>0</v>
      </c>
      <c r="AS572" s="1507">
        <v>0</v>
      </c>
      <c r="AT572" s="1507">
        <v>0</v>
      </c>
      <c r="AU572" s="1507">
        <v>0</v>
      </c>
      <c r="AV572" s="1507">
        <v>0</v>
      </c>
      <c r="AW572" s="3247">
        <f t="shared" si="179"/>
        <v>1555</v>
      </c>
      <c r="AX572" s="3146"/>
      <c r="BA572" s="267"/>
      <c r="BB572" s="267"/>
      <c r="BC572" s="4117">
        <f t="shared" si="175"/>
        <v>0</v>
      </c>
      <c r="BD572" s="4117">
        <f t="shared" si="169"/>
        <v>0</v>
      </c>
      <c r="BE572" s="267"/>
    </row>
    <row r="573" spans="1:57" ht="78.75">
      <c r="A573" s="5981" t="s">
        <v>11004</v>
      </c>
      <c r="B573" s="1538" t="s">
        <v>11184</v>
      </c>
      <c r="C573" s="1509">
        <v>0</v>
      </c>
      <c r="D573" s="1510">
        <v>43762</v>
      </c>
      <c r="E573" s="2300" t="s">
        <v>7151</v>
      </c>
      <c r="F573" s="2497" t="s">
        <v>6893</v>
      </c>
      <c r="G573" s="3110">
        <v>1.047839</v>
      </c>
      <c r="H573" s="1513" t="s">
        <v>7245</v>
      </c>
      <c r="I573" s="1514" t="s">
        <v>5753</v>
      </c>
      <c r="J573" s="1515" t="s">
        <v>2712</v>
      </c>
      <c r="K573" s="1516">
        <v>45221</v>
      </c>
      <c r="L573" s="1514" t="s">
        <v>7246</v>
      </c>
      <c r="M573" s="1515" t="s">
        <v>2323</v>
      </c>
      <c r="N573" s="1514" t="s">
        <v>7248</v>
      </c>
      <c r="O573" s="1513" t="s">
        <v>7247</v>
      </c>
      <c r="P573" s="2215" t="s">
        <v>7744</v>
      </c>
      <c r="Q573" s="1515" t="s">
        <v>4127</v>
      </c>
      <c r="R573" s="1515" t="s">
        <v>7249</v>
      </c>
      <c r="S573" s="1518"/>
      <c r="T573" s="1519"/>
      <c r="U573" s="1504"/>
      <c r="V573" s="1520"/>
      <c r="W573" s="1519"/>
      <c r="X573" s="1504"/>
      <c r="Y573" s="1520"/>
      <c r="Z573" s="1519"/>
      <c r="AA573" s="1504"/>
      <c r="AB573" s="1520"/>
      <c r="AC573" s="1519"/>
      <c r="AD573" s="1504"/>
      <c r="AE573" s="1520"/>
      <c r="AF573" s="1519"/>
      <c r="AG573" s="1504"/>
      <c r="AH573" s="1520"/>
      <c r="AI573" s="1503">
        <v>15843</v>
      </c>
      <c r="AJ573" s="1504">
        <v>0</v>
      </c>
      <c r="AK573" s="3919">
        <v>0</v>
      </c>
      <c r="AL573" s="1505">
        <f t="shared" si="178"/>
        <v>15843</v>
      </c>
      <c r="AM573" s="1508" t="s">
        <v>1061</v>
      </c>
      <c r="AN573" s="3401">
        <v>44363</v>
      </c>
      <c r="AO573" s="3402" t="s">
        <v>8915</v>
      </c>
      <c r="AP573" s="3539" t="s">
        <v>7957</v>
      </c>
      <c r="AQ573" s="4189">
        <v>1.0795220000000001</v>
      </c>
      <c r="AR573" s="1506"/>
      <c r="AS573" s="1507"/>
      <c r="AT573" s="1507"/>
      <c r="AU573" s="1507"/>
      <c r="AV573" s="1507"/>
      <c r="AW573" s="3247">
        <f t="shared" si="179"/>
        <v>16322</v>
      </c>
      <c r="AX573" s="3146"/>
      <c r="BB573" s="267"/>
      <c r="BC573" s="4117">
        <f t="shared" si="175"/>
        <v>0</v>
      </c>
      <c r="BD573" s="4117">
        <f t="shared" si="169"/>
        <v>0</v>
      </c>
      <c r="BE573" s="267"/>
    </row>
    <row r="574" spans="1:57" ht="76.5">
      <c r="A574" s="5981" t="s">
        <v>11022</v>
      </c>
      <c r="B574" s="1538" t="s">
        <v>8913</v>
      </c>
      <c r="C574" s="1509">
        <v>0</v>
      </c>
      <c r="D574" s="1510">
        <v>44336</v>
      </c>
      <c r="E574" s="4344" t="s">
        <v>8170</v>
      </c>
      <c r="F574" s="1511" t="s">
        <v>7957</v>
      </c>
      <c r="G574" s="2663">
        <v>1.0795220000000001</v>
      </c>
      <c r="H574" s="1513" t="s">
        <v>8837</v>
      </c>
      <c r="I574" s="1514" t="s">
        <v>1433</v>
      </c>
      <c r="J574" s="1515" t="s">
        <v>1434</v>
      </c>
      <c r="K574" s="1516">
        <v>46524</v>
      </c>
      <c r="L574" s="1514" t="s">
        <v>8835</v>
      </c>
      <c r="M574" s="1515" t="s">
        <v>8836</v>
      </c>
      <c r="N574" s="1514" t="s">
        <v>8908</v>
      </c>
      <c r="O574" s="1513" t="s">
        <v>8907</v>
      </c>
      <c r="P574" s="1517" t="s">
        <v>8911</v>
      </c>
      <c r="Q574" s="1515" t="s">
        <v>8838</v>
      </c>
      <c r="R574" s="1515" t="s">
        <v>8909</v>
      </c>
      <c r="S574" s="1518"/>
      <c r="T574" s="1519"/>
      <c r="U574" s="1504"/>
      <c r="V574" s="1520"/>
      <c r="W574" s="1519"/>
      <c r="X574" s="1504"/>
      <c r="Y574" s="1520"/>
      <c r="Z574" s="1519"/>
      <c r="AA574" s="1504"/>
      <c r="AB574" s="1520"/>
      <c r="AC574" s="1519"/>
      <c r="AD574" s="1504"/>
      <c r="AE574" s="1520"/>
      <c r="AF574" s="1519"/>
      <c r="AG574" s="1504"/>
      <c r="AH574" s="1520"/>
      <c r="AI574" s="1503">
        <v>2342</v>
      </c>
      <c r="AJ574" s="1504">
        <v>0</v>
      </c>
      <c r="AK574" s="3919">
        <v>0</v>
      </c>
      <c r="AL574" s="1505">
        <f t="shared" si="178"/>
        <v>2342</v>
      </c>
      <c r="AM574" s="1508" t="s">
        <v>1061</v>
      </c>
      <c r="AN574" s="3401">
        <v>44363</v>
      </c>
      <c r="AO574" s="3402" t="s">
        <v>8916</v>
      </c>
      <c r="AP574" s="3539" t="s">
        <v>7957</v>
      </c>
      <c r="AQ574" s="4189">
        <v>1.0795220000000001</v>
      </c>
      <c r="AR574" s="1506"/>
      <c r="AS574" s="1507"/>
      <c r="AT574" s="1507"/>
      <c r="AU574" s="1507"/>
      <c r="AV574" s="1507"/>
      <c r="AW574" s="3247">
        <f t="shared" si="179"/>
        <v>2342</v>
      </c>
      <c r="AX574" s="3146"/>
      <c r="BA574" s="267"/>
      <c r="BB574" s="267"/>
      <c r="BC574" s="4117">
        <f t="shared" si="175"/>
        <v>0</v>
      </c>
      <c r="BD574" s="4117">
        <f t="shared" si="169"/>
        <v>0</v>
      </c>
      <c r="BE574" s="267"/>
    </row>
    <row r="575" spans="1:57" ht="76.5">
      <c r="A575" s="5978" t="s">
        <v>11021</v>
      </c>
      <c r="B575" s="1538" t="s">
        <v>11185</v>
      </c>
      <c r="C575" s="1509">
        <v>0</v>
      </c>
      <c r="D575" s="1510">
        <v>43074</v>
      </c>
      <c r="E575" s="3053" t="s">
        <v>6385</v>
      </c>
      <c r="F575" s="2139" t="s">
        <v>6558</v>
      </c>
      <c r="G575" s="2805">
        <v>114</v>
      </c>
      <c r="H575" s="1513" t="s">
        <v>5150</v>
      </c>
      <c r="I575" s="1514" t="s">
        <v>5152</v>
      </c>
      <c r="J575" s="1515" t="s">
        <v>4306</v>
      </c>
      <c r="K575" s="1516">
        <v>43804</v>
      </c>
      <c r="L575" s="1514" t="s">
        <v>5157</v>
      </c>
      <c r="M575" s="1515" t="s">
        <v>5158</v>
      </c>
      <c r="N575" s="1514" t="s">
        <v>5159</v>
      </c>
      <c r="O575" s="1513" t="s">
        <v>6249</v>
      </c>
      <c r="P575" s="1517" t="s">
        <v>7751</v>
      </c>
      <c r="Q575" s="6094" t="s">
        <v>4878</v>
      </c>
      <c r="R575" s="1515" t="s">
        <v>1046</v>
      </c>
      <c r="S575" s="1518"/>
      <c r="T575" s="1519">
        <v>469</v>
      </c>
      <c r="U575" s="1504">
        <v>0</v>
      </c>
      <c r="V575" s="1520">
        <f>T575-U575</f>
        <v>469</v>
      </c>
      <c r="W575" s="1519">
        <v>586</v>
      </c>
      <c r="X575" s="1504">
        <v>0</v>
      </c>
      <c r="Y575" s="1520">
        <f>W575-X575</f>
        <v>586</v>
      </c>
      <c r="Z575" s="1519">
        <v>167</v>
      </c>
      <c r="AA575" s="1504">
        <v>0</v>
      </c>
      <c r="AB575" s="1520">
        <f>Z575-AA575</f>
        <v>167</v>
      </c>
      <c r="AC575" s="1519"/>
      <c r="AD575" s="1504"/>
      <c r="AE575" s="1520"/>
      <c r="AF575" s="1519"/>
      <c r="AG575" s="1504"/>
      <c r="AH575" s="1520"/>
      <c r="AI575" s="1503">
        <f>T575+W575+Z575+AC575+AF575</f>
        <v>1222</v>
      </c>
      <c r="AJ575" s="1504">
        <f>U575+X575+AA575+AD575+AG575</f>
        <v>0</v>
      </c>
      <c r="AK575" s="3919">
        <v>0</v>
      </c>
      <c r="AL575" s="1505">
        <f t="shared" si="178"/>
        <v>1222</v>
      </c>
      <c r="AM575" s="1508" t="s">
        <v>1061</v>
      </c>
      <c r="AN575" s="3401">
        <v>44363</v>
      </c>
      <c r="AO575" s="3402" t="s">
        <v>8917</v>
      </c>
      <c r="AP575" s="3251" t="s">
        <v>7742</v>
      </c>
      <c r="AQ575" s="3248">
        <v>116.3</v>
      </c>
      <c r="AR575" s="1506">
        <v>0</v>
      </c>
      <c r="AS575" s="1507">
        <v>0</v>
      </c>
      <c r="AT575" s="1507">
        <v>0</v>
      </c>
      <c r="AU575" s="1507">
        <v>0</v>
      </c>
      <c r="AV575" s="1507">
        <v>0</v>
      </c>
      <c r="AW575" s="3247">
        <f t="shared" si="179"/>
        <v>1247</v>
      </c>
      <c r="AX575" s="3146"/>
      <c r="BA575" s="267"/>
      <c r="BB575" s="267"/>
      <c r="BC575" s="4117">
        <f t="shared" si="175"/>
        <v>0</v>
      </c>
      <c r="BD575" s="4117">
        <f t="shared" si="169"/>
        <v>0</v>
      </c>
      <c r="BE575" s="267"/>
    </row>
    <row r="576" spans="1:57" ht="140.25">
      <c r="A576" s="5981" t="s">
        <v>11022</v>
      </c>
      <c r="B576" s="1538" t="s">
        <v>8919</v>
      </c>
      <c r="C576" s="1509">
        <v>0</v>
      </c>
      <c r="D576" s="1510">
        <v>44280</v>
      </c>
      <c r="E576" s="4344" t="s">
        <v>8170</v>
      </c>
      <c r="F576" s="1511" t="s">
        <v>7957</v>
      </c>
      <c r="G576" s="2663">
        <v>1.0795220000000001</v>
      </c>
      <c r="H576" s="1513" t="s">
        <v>8633</v>
      </c>
      <c r="I576" s="1514" t="s">
        <v>1433</v>
      </c>
      <c r="J576" s="1515" t="s">
        <v>1434</v>
      </c>
      <c r="K576" s="3799" t="s">
        <v>8634</v>
      </c>
      <c r="L576" s="1514" t="s">
        <v>8635</v>
      </c>
      <c r="M576" s="1515" t="s">
        <v>8636</v>
      </c>
      <c r="N576" s="1514" t="s">
        <v>8637</v>
      </c>
      <c r="O576" s="1513" t="s">
        <v>8638</v>
      </c>
      <c r="P576" s="2215" t="s">
        <v>8639</v>
      </c>
      <c r="Q576" s="1515" t="s">
        <v>8641</v>
      </c>
      <c r="R576" s="1515" t="s">
        <v>8642</v>
      </c>
      <c r="S576" s="1518"/>
      <c r="T576" s="1519"/>
      <c r="U576" s="1504"/>
      <c r="V576" s="1520"/>
      <c r="W576" s="1519"/>
      <c r="X576" s="1504"/>
      <c r="Y576" s="1520"/>
      <c r="Z576" s="1519"/>
      <c r="AA576" s="1504"/>
      <c r="AB576" s="1520"/>
      <c r="AC576" s="1519"/>
      <c r="AD576" s="1504"/>
      <c r="AE576" s="1520"/>
      <c r="AF576" s="1519"/>
      <c r="AG576" s="1504"/>
      <c r="AH576" s="1520"/>
      <c r="AI576" s="1503">
        <v>47265</v>
      </c>
      <c r="AJ576" s="1504">
        <v>0</v>
      </c>
      <c r="AK576" s="3919">
        <v>0</v>
      </c>
      <c r="AL576" s="1505">
        <f t="shared" si="178"/>
        <v>47265</v>
      </c>
      <c r="AM576" s="1508" t="s">
        <v>1061</v>
      </c>
      <c r="AN576" s="3401">
        <v>44363</v>
      </c>
      <c r="AO576" s="3402" t="s">
        <v>8918</v>
      </c>
      <c r="AP576" s="3251" t="s">
        <v>7957</v>
      </c>
      <c r="AQ576" s="3248">
        <v>1.0795220000000001</v>
      </c>
      <c r="AR576" s="1506"/>
      <c r="AS576" s="1507"/>
      <c r="AT576" s="1507"/>
      <c r="AU576" s="1507"/>
      <c r="AV576" s="1507"/>
      <c r="AW576" s="3247">
        <f t="shared" si="179"/>
        <v>47265</v>
      </c>
      <c r="AX576" s="3146"/>
      <c r="BB576" s="267"/>
      <c r="BC576" s="4117">
        <f t="shared" si="175"/>
        <v>0</v>
      </c>
      <c r="BD576" s="4117">
        <f t="shared" si="169"/>
        <v>0</v>
      </c>
      <c r="BE576" s="267"/>
    </row>
    <row r="577" spans="1:61" ht="76.5">
      <c r="A577" s="5981" t="s">
        <v>11022</v>
      </c>
      <c r="B577" s="1538" t="s">
        <v>11194</v>
      </c>
      <c r="C577" s="1509">
        <v>0</v>
      </c>
      <c r="D577" s="1510">
        <v>44336</v>
      </c>
      <c r="E577" s="4344" t="s">
        <v>8170</v>
      </c>
      <c r="F577" s="1511" t="s">
        <v>7957</v>
      </c>
      <c r="G577" s="2663">
        <v>1.0795220000000001</v>
      </c>
      <c r="H577" s="1513" t="s">
        <v>8837</v>
      </c>
      <c r="I577" s="1514" t="s">
        <v>1433</v>
      </c>
      <c r="J577" s="1515" t="s">
        <v>1434</v>
      </c>
      <c r="K577" s="1516">
        <v>46524</v>
      </c>
      <c r="L577" s="1514" t="s">
        <v>8835</v>
      </c>
      <c r="M577" s="1515" t="s">
        <v>8836</v>
      </c>
      <c r="N577" s="1514" t="s">
        <v>8908</v>
      </c>
      <c r="O577" s="1513" t="s">
        <v>8907</v>
      </c>
      <c r="P577" s="1517" t="s">
        <v>8912</v>
      </c>
      <c r="Q577" s="1515" t="s">
        <v>8838</v>
      </c>
      <c r="R577" s="1515" t="s">
        <v>8909</v>
      </c>
      <c r="S577" s="1518"/>
      <c r="T577" s="1519"/>
      <c r="U577" s="1504"/>
      <c r="V577" s="1520"/>
      <c r="W577" s="1519"/>
      <c r="X577" s="1504"/>
      <c r="Y577" s="1520"/>
      <c r="Z577" s="1519"/>
      <c r="AA577" s="1504"/>
      <c r="AB577" s="1520"/>
      <c r="AC577" s="1519"/>
      <c r="AD577" s="1504"/>
      <c r="AE577" s="1520"/>
      <c r="AF577" s="1519"/>
      <c r="AG577" s="1504"/>
      <c r="AH577" s="1520"/>
      <c r="AI577" s="1503">
        <v>1619</v>
      </c>
      <c r="AJ577" s="1504">
        <v>0</v>
      </c>
      <c r="AK577" s="3919">
        <v>0</v>
      </c>
      <c r="AL577" s="1505">
        <f t="shared" si="178"/>
        <v>1619</v>
      </c>
      <c r="AM577" s="1508" t="s">
        <v>1061</v>
      </c>
      <c r="AN577" s="3401">
        <v>44364</v>
      </c>
      <c r="AO577" s="3402" t="s">
        <v>8920</v>
      </c>
      <c r="AP577" s="3539" t="s">
        <v>7957</v>
      </c>
      <c r="AQ577" s="4189">
        <v>1.0795220000000001</v>
      </c>
      <c r="AR577" s="1506"/>
      <c r="AS577" s="1507"/>
      <c r="AT577" s="1507"/>
      <c r="AU577" s="1507"/>
      <c r="AV577" s="1507"/>
      <c r="AW577" s="3247">
        <f t="shared" si="179"/>
        <v>1619</v>
      </c>
      <c r="AX577" s="3146"/>
      <c r="BA577" s="267"/>
      <c r="BB577" s="267"/>
      <c r="BC577" s="4117">
        <f t="shared" si="175"/>
        <v>0</v>
      </c>
      <c r="BD577" s="4117">
        <f t="shared" si="169"/>
        <v>0</v>
      </c>
      <c r="BE577" s="267"/>
    </row>
    <row r="578" spans="1:61" ht="89.25">
      <c r="A578" s="5981" t="s">
        <v>11004</v>
      </c>
      <c r="B578" s="1538" t="s">
        <v>11193</v>
      </c>
      <c r="C578" s="1509">
        <v>0</v>
      </c>
      <c r="D578" s="1510">
        <v>43815</v>
      </c>
      <c r="E578" s="4344" t="s">
        <v>7151</v>
      </c>
      <c r="F578" s="1511" t="s">
        <v>11192</v>
      </c>
      <c r="G578" s="2805">
        <v>1.0795220000000001</v>
      </c>
      <c r="H578" s="1513" t="s">
        <v>7483</v>
      </c>
      <c r="I578" s="1514" t="s">
        <v>7484</v>
      </c>
      <c r="J578" s="4345" t="s">
        <v>4306</v>
      </c>
      <c r="K578" s="1516">
        <v>44546</v>
      </c>
      <c r="L578" s="1514" t="s">
        <v>7485</v>
      </c>
      <c r="M578" s="1515" t="s">
        <v>7486</v>
      </c>
      <c r="N578" s="1514" t="s">
        <v>7487</v>
      </c>
      <c r="O578" s="1513" t="s">
        <v>7488</v>
      </c>
      <c r="P578" s="5266" t="s">
        <v>8418</v>
      </c>
      <c r="Q578" s="6094" t="s">
        <v>5708</v>
      </c>
      <c r="R578" s="1515" t="s">
        <v>5350</v>
      </c>
      <c r="S578" s="1518"/>
      <c r="T578" s="1519"/>
      <c r="U578" s="1504"/>
      <c r="V578" s="1520"/>
      <c r="W578" s="1519"/>
      <c r="X578" s="1504"/>
      <c r="Y578" s="1520"/>
      <c r="Z578" s="1519"/>
      <c r="AA578" s="1504"/>
      <c r="AB578" s="1520"/>
      <c r="AC578" s="1519"/>
      <c r="AD578" s="1504"/>
      <c r="AE578" s="1520"/>
      <c r="AF578" s="1519"/>
      <c r="AG578" s="1504"/>
      <c r="AH578" s="1520"/>
      <c r="AI578" s="1503">
        <v>1449</v>
      </c>
      <c r="AJ578" s="1504">
        <v>0</v>
      </c>
      <c r="AK578" s="3919">
        <v>0</v>
      </c>
      <c r="AL578" s="1505">
        <f t="shared" si="178"/>
        <v>1449</v>
      </c>
      <c r="AM578" s="1508" t="s">
        <v>1061</v>
      </c>
      <c r="AN578" s="3401">
        <v>44364</v>
      </c>
      <c r="AO578" s="3402" t="s">
        <v>8921</v>
      </c>
      <c r="AP578" s="3539" t="s">
        <v>7957</v>
      </c>
      <c r="AQ578" s="4189">
        <v>1.0795220000000001</v>
      </c>
      <c r="AR578" s="1506"/>
      <c r="AS578" s="1507"/>
      <c r="AT578" s="1507"/>
      <c r="AU578" s="1507"/>
      <c r="AV578" s="1507"/>
      <c r="AW578" s="3247">
        <f t="shared" si="179"/>
        <v>1449</v>
      </c>
      <c r="AX578" s="3146"/>
      <c r="BB578" s="267"/>
      <c r="BC578" s="4117">
        <f t="shared" si="175"/>
        <v>0</v>
      </c>
      <c r="BD578" s="4117">
        <f t="shared" si="169"/>
        <v>0</v>
      </c>
      <c r="BE578" s="267"/>
    </row>
    <row r="579" spans="1:61" ht="76.5">
      <c r="A579" s="5981" t="s">
        <v>11022</v>
      </c>
      <c r="B579" s="1538" t="s">
        <v>11195</v>
      </c>
      <c r="C579" s="1509">
        <v>0</v>
      </c>
      <c r="D579" s="1510">
        <v>44336</v>
      </c>
      <c r="E579" s="4344" t="s">
        <v>8170</v>
      </c>
      <c r="F579" s="1511" t="s">
        <v>7957</v>
      </c>
      <c r="G579" s="2663">
        <v>1.0795220000000001</v>
      </c>
      <c r="H579" s="1513" t="s">
        <v>8837</v>
      </c>
      <c r="I579" s="1514" t="s">
        <v>1433</v>
      </c>
      <c r="J579" s="1515" t="s">
        <v>1434</v>
      </c>
      <c r="K579" s="1516">
        <v>46524</v>
      </c>
      <c r="L579" s="1514" t="s">
        <v>8835</v>
      </c>
      <c r="M579" s="1515" t="s">
        <v>8836</v>
      </c>
      <c r="N579" s="1514" t="s">
        <v>8908</v>
      </c>
      <c r="O579" s="1513" t="s">
        <v>8907</v>
      </c>
      <c r="P579" s="1517" t="s">
        <v>8910</v>
      </c>
      <c r="Q579" s="1515" t="s">
        <v>8838</v>
      </c>
      <c r="R579" s="1515" t="s">
        <v>8909</v>
      </c>
      <c r="S579" s="1518"/>
      <c r="T579" s="1519"/>
      <c r="U579" s="1504"/>
      <c r="V579" s="1520"/>
      <c r="W579" s="1519"/>
      <c r="X579" s="1504"/>
      <c r="Y579" s="1520"/>
      <c r="Z579" s="1519"/>
      <c r="AA579" s="1504"/>
      <c r="AB579" s="1520"/>
      <c r="AC579" s="1519"/>
      <c r="AD579" s="1504"/>
      <c r="AE579" s="1520"/>
      <c r="AF579" s="1519"/>
      <c r="AG579" s="1504"/>
      <c r="AH579" s="1520"/>
      <c r="AI579" s="1503">
        <v>6477</v>
      </c>
      <c r="AJ579" s="1504">
        <v>0</v>
      </c>
      <c r="AK579" s="3919">
        <v>0</v>
      </c>
      <c r="AL579" s="1505">
        <f t="shared" si="178"/>
        <v>6477</v>
      </c>
      <c r="AM579" s="1508" t="s">
        <v>1061</v>
      </c>
      <c r="AN579" s="3401">
        <v>44368</v>
      </c>
      <c r="AO579" s="3402" t="s">
        <v>8934</v>
      </c>
      <c r="AP579" s="3539" t="s">
        <v>7957</v>
      </c>
      <c r="AQ579" s="4189">
        <v>1.0795220000000001</v>
      </c>
      <c r="AR579" s="1506"/>
      <c r="AS579" s="1507"/>
      <c r="AT579" s="1507"/>
      <c r="AU579" s="1507"/>
      <c r="AV579" s="1507"/>
      <c r="AW579" s="3247">
        <f t="shared" si="179"/>
        <v>6477</v>
      </c>
      <c r="AX579" s="3146"/>
      <c r="BA579" s="267"/>
      <c r="BB579" s="267"/>
      <c r="BC579" s="4117">
        <f t="shared" si="175"/>
        <v>0</v>
      </c>
      <c r="BD579" s="4117">
        <f t="shared" si="169"/>
        <v>0</v>
      </c>
      <c r="BE579" s="267"/>
    </row>
    <row r="580" spans="1:61" ht="89.25">
      <c r="A580" s="5981" t="s">
        <v>11022</v>
      </c>
      <c r="B580" s="1538" t="s">
        <v>7605</v>
      </c>
      <c r="C580" s="1509">
        <v>0</v>
      </c>
      <c r="D580" s="1510">
        <v>44082</v>
      </c>
      <c r="E580" s="4344" t="s">
        <v>7972</v>
      </c>
      <c r="F580" s="1511" t="s">
        <v>7957</v>
      </c>
      <c r="G580" s="2663">
        <v>1.0795220000000001</v>
      </c>
      <c r="H580" s="1513" t="s">
        <v>8267</v>
      </c>
      <c r="I580" s="1514" t="s">
        <v>8045</v>
      </c>
      <c r="J580" s="4345" t="s">
        <v>4306</v>
      </c>
      <c r="K580" s="1516">
        <v>44812</v>
      </c>
      <c r="L580" s="1514" t="s">
        <v>1169</v>
      </c>
      <c r="M580" s="1515" t="s">
        <v>8046</v>
      </c>
      <c r="N580" s="1514" t="s">
        <v>8047</v>
      </c>
      <c r="O580" s="1513" t="s">
        <v>8048</v>
      </c>
      <c r="P580" s="1517" t="s">
        <v>8008</v>
      </c>
      <c r="Q580" s="6094" t="s">
        <v>5708</v>
      </c>
      <c r="R580" s="1515" t="s">
        <v>5350</v>
      </c>
      <c r="S580" s="1518"/>
      <c r="T580" s="1519"/>
      <c r="U580" s="1504"/>
      <c r="V580" s="1520"/>
      <c r="W580" s="1519"/>
      <c r="X580" s="1504"/>
      <c r="Y580" s="1520"/>
      <c r="Z580" s="1519"/>
      <c r="AA580" s="1504"/>
      <c r="AB580" s="1520"/>
      <c r="AC580" s="1519"/>
      <c r="AD580" s="1504"/>
      <c r="AE580" s="1520"/>
      <c r="AF580" s="1519"/>
      <c r="AG580" s="1504"/>
      <c r="AH580" s="1520"/>
      <c r="AI580" s="1503">
        <v>5485</v>
      </c>
      <c r="AJ580" s="1504">
        <v>0</v>
      </c>
      <c r="AK580" s="3919">
        <v>0</v>
      </c>
      <c r="AL580" s="1505">
        <f t="shared" si="178"/>
        <v>5485</v>
      </c>
      <c r="AM580" s="1508" t="s">
        <v>1061</v>
      </c>
      <c r="AN580" s="3401">
        <v>44368</v>
      </c>
      <c r="AO580" s="3402" t="s">
        <v>8936</v>
      </c>
      <c r="AP580" s="2905" t="s">
        <v>7957</v>
      </c>
      <c r="AQ580" s="2906">
        <v>1.0795220000000001</v>
      </c>
      <c r="AR580" s="1506"/>
      <c r="AS580" s="1507"/>
      <c r="AT580" s="1507"/>
      <c r="AU580" s="1507"/>
      <c r="AV580" s="1507"/>
      <c r="AW580" s="3247">
        <f t="shared" si="179"/>
        <v>5485</v>
      </c>
      <c r="AX580" s="3146"/>
      <c r="BA580" s="267"/>
      <c r="BB580" s="267"/>
      <c r="BC580" s="4117">
        <f t="shared" si="175"/>
        <v>0</v>
      </c>
      <c r="BD580" s="4117">
        <f t="shared" ref="BD580:BD643" si="180">ROUND($AK580*$AQ580/$G580,0)</f>
        <v>0</v>
      </c>
      <c r="BE580" s="267"/>
    </row>
    <row r="581" spans="1:61" ht="76.5">
      <c r="A581" s="5978" t="s">
        <v>11021</v>
      </c>
      <c r="B581" s="1538" t="s">
        <v>11197</v>
      </c>
      <c r="C581" s="1509">
        <v>0</v>
      </c>
      <c r="D581" s="1510">
        <v>42807</v>
      </c>
      <c r="E581" s="3053" t="s">
        <v>6385</v>
      </c>
      <c r="F581" s="2139" t="s">
        <v>6634</v>
      </c>
      <c r="G581" s="2805">
        <v>114.1</v>
      </c>
      <c r="H581" s="1513" t="s">
        <v>4411</v>
      </c>
      <c r="I581" s="1514" t="s">
        <v>4412</v>
      </c>
      <c r="J581" s="1515" t="s">
        <v>4306</v>
      </c>
      <c r="K581" s="1516">
        <v>43537</v>
      </c>
      <c r="L581" s="1514" t="s">
        <v>4415</v>
      </c>
      <c r="M581" s="1515" t="s">
        <v>4413</v>
      </c>
      <c r="N581" s="1514" t="s">
        <v>4414</v>
      </c>
      <c r="O581" s="1513" t="s">
        <v>6224</v>
      </c>
      <c r="P581" s="1517" t="s">
        <v>7763</v>
      </c>
      <c r="Q581" s="6094" t="s">
        <v>4332</v>
      </c>
      <c r="R581" s="1515" t="s">
        <v>1046</v>
      </c>
      <c r="S581" s="1518"/>
      <c r="T581" s="1519">
        <v>580</v>
      </c>
      <c r="U581" s="1504">
        <v>0</v>
      </c>
      <c r="V581" s="1520">
        <f>T581-U581</f>
        <v>580</v>
      </c>
      <c r="W581" s="1519">
        <v>753</v>
      </c>
      <c r="X581" s="1504">
        <v>0</v>
      </c>
      <c r="Y581" s="1520">
        <f>W581-X581</f>
        <v>753</v>
      </c>
      <c r="Z581" s="1519">
        <v>276</v>
      </c>
      <c r="AA581" s="1504">
        <v>0</v>
      </c>
      <c r="AB581" s="1520">
        <f>Z581-AA581</f>
        <v>276</v>
      </c>
      <c r="AC581" s="1519"/>
      <c r="AD581" s="1504"/>
      <c r="AE581" s="1520"/>
      <c r="AF581" s="1519"/>
      <c r="AG581" s="1504"/>
      <c r="AH581" s="1520"/>
      <c r="AI581" s="1503">
        <f>T581+W581+Z581+AC581+AF581+20</f>
        <v>1629</v>
      </c>
      <c r="AJ581" s="1504">
        <f>U581+X581+AA581+AD581+AG581</f>
        <v>0</v>
      </c>
      <c r="AK581" s="3919">
        <v>0</v>
      </c>
      <c r="AL581" s="1505">
        <f t="shared" si="178"/>
        <v>1629</v>
      </c>
      <c r="AM581" s="1508" t="s">
        <v>1061</v>
      </c>
      <c r="AN581" s="3401">
        <v>44368</v>
      </c>
      <c r="AO581" s="3402" t="s">
        <v>8935</v>
      </c>
      <c r="AP581" s="3251" t="s">
        <v>7742</v>
      </c>
      <c r="AQ581" s="3248">
        <v>116.3</v>
      </c>
      <c r="AR581" s="1506">
        <v>0</v>
      </c>
      <c r="AS581" s="1507">
        <v>0</v>
      </c>
      <c r="AT581" s="1507">
        <v>0</v>
      </c>
      <c r="AU581" s="1507">
        <v>0</v>
      </c>
      <c r="AV581" s="1507">
        <v>0</v>
      </c>
      <c r="AW581" s="3247">
        <f t="shared" si="179"/>
        <v>1660</v>
      </c>
      <c r="AX581" s="3146"/>
      <c r="BB581" s="267"/>
      <c r="BC581" s="4117">
        <f t="shared" si="175"/>
        <v>0</v>
      </c>
      <c r="BD581" s="4117">
        <f t="shared" si="180"/>
        <v>0</v>
      </c>
      <c r="BE581" s="267"/>
    </row>
    <row r="582" spans="1:61" ht="89.25">
      <c r="A582" s="5978" t="s">
        <v>11021</v>
      </c>
      <c r="B582" s="1538" t="s">
        <v>11196</v>
      </c>
      <c r="C582" s="1509">
        <v>0</v>
      </c>
      <c r="D582" s="1510">
        <v>43256</v>
      </c>
      <c r="E582" s="3053" t="s">
        <v>6385</v>
      </c>
      <c r="F582" s="2139" t="s">
        <v>5823</v>
      </c>
      <c r="G582" s="2805">
        <v>112.9</v>
      </c>
      <c r="H582" s="1513" t="s">
        <v>5634</v>
      </c>
      <c r="I582" s="1514" t="s">
        <v>1433</v>
      </c>
      <c r="J582" s="1515" t="s">
        <v>1434</v>
      </c>
      <c r="K582" s="1516">
        <v>45442</v>
      </c>
      <c r="L582" s="1514" t="s">
        <v>5635</v>
      </c>
      <c r="M582" s="1515" t="s">
        <v>5636</v>
      </c>
      <c r="N582" s="1514" t="s">
        <v>5637</v>
      </c>
      <c r="O582" s="1513" t="s">
        <v>6301</v>
      </c>
      <c r="P582" s="1517" t="s">
        <v>7743</v>
      </c>
      <c r="Q582" s="1515" t="s">
        <v>5639</v>
      </c>
      <c r="R582" s="1515" t="s">
        <v>5640</v>
      </c>
      <c r="S582" s="1518"/>
      <c r="T582" s="1519">
        <v>4064</v>
      </c>
      <c r="U582" s="1504">
        <v>0</v>
      </c>
      <c r="V582" s="1520">
        <f>T582-U582</f>
        <v>4064</v>
      </c>
      <c r="W582" s="1519">
        <v>717</v>
      </c>
      <c r="X582" s="1504">
        <v>0</v>
      </c>
      <c r="Y582" s="1520">
        <f>W582-X582</f>
        <v>717</v>
      </c>
      <c r="Z582" s="1519">
        <v>312</v>
      </c>
      <c r="AA582" s="1504">
        <v>0</v>
      </c>
      <c r="AB582" s="1520">
        <f>Z582-AA582</f>
        <v>312</v>
      </c>
      <c r="AC582" s="1519"/>
      <c r="AD582" s="1504"/>
      <c r="AE582" s="1520"/>
      <c r="AF582" s="1519"/>
      <c r="AG582" s="1504"/>
      <c r="AH582" s="1520"/>
      <c r="AI582" s="1503">
        <f>T582+W582+Z582+AC582+AF582</f>
        <v>5093</v>
      </c>
      <c r="AJ582" s="1504">
        <f>U582+X582+AA582+AD582+AG582</f>
        <v>0</v>
      </c>
      <c r="AK582" s="3919">
        <v>0</v>
      </c>
      <c r="AL582" s="1505">
        <f t="shared" si="178"/>
        <v>5093</v>
      </c>
      <c r="AM582" s="1508" t="s">
        <v>1061</v>
      </c>
      <c r="AN582" s="3401">
        <v>44371</v>
      </c>
      <c r="AO582" s="3402" t="s">
        <v>8944</v>
      </c>
      <c r="AP582" s="3251" t="s">
        <v>7742</v>
      </c>
      <c r="AQ582" s="3248">
        <v>116.3</v>
      </c>
      <c r="AR582" s="1506">
        <v>0</v>
      </c>
      <c r="AS582" s="1507">
        <v>0</v>
      </c>
      <c r="AT582" s="1507">
        <v>0</v>
      </c>
      <c r="AU582" s="1507">
        <v>0</v>
      </c>
      <c r="AV582" s="1507">
        <v>0</v>
      </c>
      <c r="AW582" s="3247">
        <f t="shared" si="179"/>
        <v>5246</v>
      </c>
      <c r="AX582" s="3146"/>
      <c r="BB582" s="267"/>
      <c r="BC582" s="4117">
        <f t="shared" si="175"/>
        <v>0</v>
      </c>
      <c r="BD582" s="4117">
        <f t="shared" si="180"/>
        <v>0</v>
      </c>
      <c r="BE582" s="267"/>
    </row>
    <row r="583" spans="1:61" ht="102">
      <c r="A583" s="5981" t="s">
        <v>11004</v>
      </c>
      <c r="B583" s="1538" t="s">
        <v>11188</v>
      </c>
      <c r="C583" s="1509">
        <v>0</v>
      </c>
      <c r="D583" s="1510" t="s">
        <v>11186</v>
      </c>
      <c r="E583" s="3053" t="s">
        <v>6386</v>
      </c>
      <c r="F583" s="1511" t="s">
        <v>11187</v>
      </c>
      <c r="G583" s="3250">
        <v>1.047839</v>
      </c>
      <c r="H583" s="1513" t="s">
        <v>6689</v>
      </c>
      <c r="I583" s="1514" t="s">
        <v>6690</v>
      </c>
      <c r="J583" s="1515" t="s">
        <v>4306</v>
      </c>
      <c r="K583" s="1516">
        <v>44329</v>
      </c>
      <c r="L583" s="1514" t="s">
        <v>5532</v>
      </c>
      <c r="M583" s="1515" t="s">
        <v>5533</v>
      </c>
      <c r="N583" s="1514" t="s">
        <v>6691</v>
      </c>
      <c r="O583" s="1513" t="s">
        <v>6692</v>
      </c>
      <c r="P583" s="5262" t="s">
        <v>7739</v>
      </c>
      <c r="Q583" s="6094" t="s">
        <v>5708</v>
      </c>
      <c r="R583" s="1515" t="s">
        <v>5350</v>
      </c>
      <c r="S583" s="1518"/>
      <c r="T583" s="1519">
        <v>2444</v>
      </c>
      <c r="U583" s="1504">
        <v>0</v>
      </c>
      <c r="V583" s="1520">
        <f>T583-U583</f>
        <v>2444</v>
      </c>
      <c r="W583" s="1519">
        <v>3056</v>
      </c>
      <c r="X583" s="1504">
        <v>0</v>
      </c>
      <c r="Y583" s="1520">
        <f>W583-X583</f>
        <v>3056</v>
      </c>
      <c r="Z583" s="1519">
        <v>611</v>
      </c>
      <c r="AA583" s="1504">
        <v>0</v>
      </c>
      <c r="AB583" s="1520">
        <f>Z583-AA583</f>
        <v>611</v>
      </c>
      <c r="AC583" s="1519"/>
      <c r="AD583" s="1504"/>
      <c r="AE583" s="1520"/>
      <c r="AF583" s="1519"/>
      <c r="AG583" s="1504"/>
      <c r="AH583" s="1520"/>
      <c r="AI583" s="1503">
        <v>1562</v>
      </c>
      <c r="AJ583" s="1504">
        <f>U583+X583+AA583+AD583+AG583</f>
        <v>0</v>
      </c>
      <c r="AK583" s="3919">
        <v>0</v>
      </c>
      <c r="AL583" s="1505">
        <f t="shared" si="178"/>
        <v>1562</v>
      </c>
      <c r="AM583" s="1508" t="s">
        <v>1061</v>
      </c>
      <c r="AN583" s="3401">
        <v>44371</v>
      </c>
      <c r="AO583" s="3402" t="s">
        <v>8946</v>
      </c>
      <c r="AP583" s="3251" t="s">
        <v>6894</v>
      </c>
      <c r="AQ583" s="3248">
        <v>1.047839</v>
      </c>
      <c r="AR583" s="1506">
        <v>0</v>
      </c>
      <c r="AS583" s="1507">
        <v>0</v>
      </c>
      <c r="AT583" s="1507">
        <v>0</v>
      </c>
      <c r="AU583" s="1507">
        <v>0</v>
      </c>
      <c r="AV583" s="1507">
        <v>0</v>
      </c>
      <c r="AW583" s="3247">
        <f t="shared" si="179"/>
        <v>1562</v>
      </c>
      <c r="AX583" s="3146"/>
      <c r="BA583" s="267"/>
      <c r="BB583" s="267"/>
      <c r="BC583" s="4117">
        <f t="shared" si="175"/>
        <v>0</v>
      </c>
      <c r="BD583" s="4117">
        <f t="shared" si="180"/>
        <v>0</v>
      </c>
      <c r="BE583" s="267"/>
    </row>
    <row r="584" spans="1:61" ht="76.5">
      <c r="A584" s="5981" t="s">
        <v>11022</v>
      </c>
      <c r="B584" s="1538" t="s">
        <v>8288</v>
      </c>
      <c r="C584" s="1509">
        <v>0</v>
      </c>
      <c r="D584" s="1510">
        <v>44330</v>
      </c>
      <c r="E584" s="4344" t="s">
        <v>8170</v>
      </c>
      <c r="F584" s="1511" t="s">
        <v>7957</v>
      </c>
      <c r="G584" s="2663">
        <v>1.0795220000000001</v>
      </c>
      <c r="H584" s="1513" t="s">
        <v>8945</v>
      </c>
      <c r="I584" s="1514" t="s">
        <v>5753</v>
      </c>
      <c r="J584" s="1515" t="s">
        <v>2712</v>
      </c>
      <c r="K584" s="1516">
        <v>45782</v>
      </c>
      <c r="L584" s="1514" t="s">
        <v>8808</v>
      </c>
      <c r="M584" s="1515" t="s">
        <v>8809</v>
      </c>
      <c r="N584" s="1514" t="s">
        <v>8810</v>
      </c>
      <c r="O584" s="1513" t="s">
        <v>8811</v>
      </c>
      <c r="P584" s="1517"/>
      <c r="Q584" s="1515" t="s">
        <v>8777</v>
      </c>
      <c r="R584" s="1515" t="s">
        <v>8812</v>
      </c>
      <c r="S584" s="1518"/>
      <c r="T584" s="1519"/>
      <c r="U584" s="1504"/>
      <c r="V584" s="1520"/>
      <c r="W584" s="1519"/>
      <c r="X584" s="1504"/>
      <c r="Y584" s="1520"/>
      <c r="Z584" s="1519"/>
      <c r="AA584" s="1504"/>
      <c r="AB584" s="1520"/>
      <c r="AC584" s="1519"/>
      <c r="AD584" s="1504"/>
      <c r="AE584" s="1520"/>
      <c r="AF584" s="1519"/>
      <c r="AG584" s="1504"/>
      <c r="AH584" s="1520"/>
      <c r="AI584" s="1503">
        <v>18136</v>
      </c>
      <c r="AJ584" s="1504">
        <v>0</v>
      </c>
      <c r="AK584" s="3919">
        <v>0</v>
      </c>
      <c r="AL584" s="1505">
        <f t="shared" ref="AL584:AL588" si="181">AI584-AJ584-AK584</f>
        <v>18136</v>
      </c>
      <c r="AM584" s="1508" t="s">
        <v>1061</v>
      </c>
      <c r="AN584" s="3401">
        <v>44371</v>
      </c>
      <c r="AO584" s="3402" t="s">
        <v>8947</v>
      </c>
      <c r="AP584" s="2905" t="s">
        <v>7957</v>
      </c>
      <c r="AQ584" s="2906">
        <v>1.0795220000000001</v>
      </c>
      <c r="AR584" s="1506"/>
      <c r="AS584" s="1507"/>
      <c r="AT584" s="1507"/>
      <c r="AU584" s="1507"/>
      <c r="AV584" s="1507"/>
      <c r="AW584" s="3247">
        <f t="shared" si="179"/>
        <v>18136</v>
      </c>
      <c r="AX584" s="3146"/>
      <c r="BB584" s="267"/>
      <c r="BC584" s="4117">
        <f t="shared" si="175"/>
        <v>0</v>
      </c>
      <c r="BD584" s="4117">
        <f t="shared" si="180"/>
        <v>0</v>
      </c>
      <c r="BE584" s="267"/>
    </row>
    <row r="585" spans="1:61" ht="114.75">
      <c r="A585" s="5978" t="s">
        <v>11035</v>
      </c>
      <c r="B585" s="1538" t="s">
        <v>7692</v>
      </c>
      <c r="C585" s="1509">
        <v>7</v>
      </c>
      <c r="D585" s="1510" t="s">
        <v>7204</v>
      </c>
      <c r="E585" s="2300" t="s">
        <v>6386</v>
      </c>
      <c r="F585" s="2497" t="s">
        <v>5757</v>
      </c>
      <c r="G585" s="2663">
        <v>1.0247219999999999</v>
      </c>
      <c r="H585" s="1513" t="s">
        <v>7205</v>
      </c>
      <c r="I585" s="1514" t="s">
        <v>4235</v>
      </c>
      <c r="J585" s="1515" t="s">
        <v>1434</v>
      </c>
      <c r="K585" s="1516" t="s">
        <v>4260</v>
      </c>
      <c r="L585" s="1514" t="s">
        <v>1119</v>
      </c>
      <c r="M585" s="1515" t="s">
        <v>3301</v>
      </c>
      <c r="N585" s="1514" t="s">
        <v>4967</v>
      </c>
      <c r="O585" s="1513" t="s">
        <v>6192</v>
      </c>
      <c r="P585" s="1517" t="s">
        <v>6052</v>
      </c>
      <c r="Q585" s="1515" t="s">
        <v>6055</v>
      </c>
      <c r="R585" s="2145" t="s">
        <v>5245</v>
      </c>
      <c r="S585" s="1518"/>
      <c r="T585" s="1519">
        <v>2827</v>
      </c>
      <c r="U585" s="1504">
        <v>0</v>
      </c>
      <c r="V585" s="1520">
        <f>T585-U585</f>
        <v>2827</v>
      </c>
      <c r="W585" s="1519">
        <v>0</v>
      </c>
      <c r="X585" s="1504">
        <v>0</v>
      </c>
      <c r="Y585" s="1520">
        <f>W585-X585</f>
        <v>0</v>
      </c>
      <c r="Z585" s="1519">
        <v>17659</v>
      </c>
      <c r="AA585" s="1504">
        <v>0</v>
      </c>
      <c r="AB585" s="1520">
        <f>Z585-AA585</f>
        <v>17659</v>
      </c>
      <c r="AC585" s="1519"/>
      <c r="AD585" s="1504"/>
      <c r="AE585" s="1520"/>
      <c r="AF585" s="1519"/>
      <c r="AG585" s="1504"/>
      <c r="AH585" s="1520"/>
      <c r="AI585" s="1503">
        <f>T585+W585+Z585+AC585+AF585</f>
        <v>20486</v>
      </c>
      <c r="AJ585" s="1504">
        <f>U585+X585+AA585</f>
        <v>0</v>
      </c>
      <c r="AK585" s="3919">
        <v>0</v>
      </c>
      <c r="AL585" s="1505">
        <f t="shared" si="181"/>
        <v>20486</v>
      </c>
      <c r="AM585" s="1508" t="s">
        <v>1061</v>
      </c>
      <c r="AN585" s="3401">
        <v>44371</v>
      </c>
      <c r="AO585" s="3402" t="s">
        <v>8951</v>
      </c>
      <c r="AP585" s="2664" t="s">
        <v>7957</v>
      </c>
      <c r="AQ585" s="2806">
        <v>1.0795220000000001</v>
      </c>
      <c r="AR585" s="1506">
        <v>0</v>
      </c>
      <c r="AS585" s="1507">
        <v>0</v>
      </c>
      <c r="AT585" s="1507">
        <v>0</v>
      </c>
      <c r="AU585" s="1507">
        <v>0</v>
      </c>
      <c r="AV585" s="1507">
        <v>0</v>
      </c>
      <c r="AW585" s="3247">
        <f t="shared" si="179"/>
        <v>21582</v>
      </c>
      <c r="AX585" s="3146"/>
      <c r="BB585" s="267"/>
      <c r="BC585" s="4117">
        <f t="shared" si="175"/>
        <v>0</v>
      </c>
      <c r="BD585" s="4117">
        <f t="shared" si="180"/>
        <v>0</v>
      </c>
      <c r="BE585" s="267"/>
    </row>
    <row r="586" spans="1:61" ht="78.75">
      <c r="A586" s="5981" t="s">
        <v>11004</v>
      </c>
      <c r="B586" s="2546" t="s">
        <v>8898</v>
      </c>
      <c r="C586" s="1509">
        <v>0</v>
      </c>
      <c r="D586" s="1510">
        <v>43133</v>
      </c>
      <c r="E586" s="3053" t="s">
        <v>6385</v>
      </c>
      <c r="F586" s="1511" t="s">
        <v>5915</v>
      </c>
      <c r="G586" s="2663">
        <v>1.0119899999999999</v>
      </c>
      <c r="H586" s="1513" t="s">
        <v>5290</v>
      </c>
      <c r="I586" s="1514" t="s">
        <v>1433</v>
      </c>
      <c r="J586" s="1515" t="s">
        <v>1434</v>
      </c>
      <c r="K586" s="1516">
        <v>44594</v>
      </c>
      <c r="L586" s="1514" t="s">
        <v>5291</v>
      </c>
      <c r="M586" s="1515" t="s">
        <v>5292</v>
      </c>
      <c r="N586" s="1514" t="s">
        <v>8211</v>
      </c>
      <c r="O586" s="1513" t="s">
        <v>6312</v>
      </c>
      <c r="P586" s="2215" t="s">
        <v>7744</v>
      </c>
      <c r="Q586" s="1515" t="s">
        <v>5293</v>
      </c>
      <c r="R586" s="1515" t="s">
        <v>4837</v>
      </c>
      <c r="S586" s="1518"/>
      <c r="T586" s="1519">
        <v>6800</v>
      </c>
      <c r="U586" s="1504">
        <v>0</v>
      </c>
      <c r="V586" s="1520">
        <f>T586-U586</f>
        <v>6800</v>
      </c>
      <c r="W586" s="1519">
        <v>8501</v>
      </c>
      <c r="X586" s="1504">
        <v>0</v>
      </c>
      <c r="Y586" s="1520">
        <f>W586-X586</f>
        <v>8501</v>
      </c>
      <c r="Z586" s="1519">
        <v>1700</v>
      </c>
      <c r="AA586" s="1504">
        <v>0</v>
      </c>
      <c r="AB586" s="1520">
        <f>Z586-AA586</f>
        <v>1700</v>
      </c>
      <c r="AC586" s="1519"/>
      <c r="AD586" s="1504"/>
      <c r="AE586" s="1520"/>
      <c r="AF586" s="1519"/>
      <c r="AG586" s="1504"/>
      <c r="AH586" s="1520"/>
      <c r="AI586" s="1503">
        <f>T586+W586+Z586+AC586+AF586</f>
        <v>17001</v>
      </c>
      <c r="AJ586" s="1504">
        <f>U586+X586+AA586+AD586+AG586</f>
        <v>0</v>
      </c>
      <c r="AK586" s="3919">
        <v>0</v>
      </c>
      <c r="AL586" s="1505">
        <f t="shared" si="181"/>
        <v>17001</v>
      </c>
      <c r="AM586" s="4219" t="s">
        <v>8973</v>
      </c>
      <c r="AN586" s="3401">
        <v>44372</v>
      </c>
      <c r="AO586" s="3402" t="s">
        <v>8972</v>
      </c>
      <c r="AP586" s="3251" t="s">
        <v>7957</v>
      </c>
      <c r="AQ586" s="3248">
        <v>1.0795220000000001</v>
      </c>
      <c r="AR586" s="1506">
        <v>0</v>
      </c>
      <c r="AS586" s="1507">
        <v>0</v>
      </c>
      <c r="AT586" s="1507">
        <v>0</v>
      </c>
      <c r="AU586" s="1507">
        <v>0</v>
      </c>
      <c r="AV586" s="1507">
        <v>0</v>
      </c>
      <c r="AW586" s="3247">
        <f>ROUND(AL586*AQ586/G586,0)-9068</f>
        <v>9068</v>
      </c>
      <c r="AX586" s="3146"/>
      <c r="BB586" s="267"/>
      <c r="BC586" s="4117">
        <f t="shared" si="175"/>
        <v>0</v>
      </c>
      <c r="BD586" s="4117">
        <f t="shared" si="180"/>
        <v>0</v>
      </c>
      <c r="BE586" s="267"/>
    </row>
    <row r="587" spans="1:61" ht="114.75">
      <c r="A587" s="5981" t="s">
        <v>11004</v>
      </c>
      <c r="B587" s="1538" t="s">
        <v>11189</v>
      </c>
      <c r="C587" s="1509">
        <v>1</v>
      </c>
      <c r="D587" s="1510" t="s">
        <v>11190</v>
      </c>
      <c r="E587" s="3053" t="s">
        <v>6385</v>
      </c>
      <c r="F587" s="1511" t="s">
        <v>11191</v>
      </c>
      <c r="G587" s="2805">
        <v>1.0795220000000001</v>
      </c>
      <c r="H587" s="1513" t="s">
        <v>5332</v>
      </c>
      <c r="I587" s="1514" t="s">
        <v>1433</v>
      </c>
      <c r="J587" s="1515" t="s">
        <v>1434</v>
      </c>
      <c r="K587" s="1516">
        <v>44670</v>
      </c>
      <c r="L587" s="1514" t="s">
        <v>313</v>
      </c>
      <c r="M587" s="1515" t="s">
        <v>5333</v>
      </c>
      <c r="N587" s="1514" t="s">
        <v>5334</v>
      </c>
      <c r="O587" s="1513" t="s">
        <v>6311</v>
      </c>
      <c r="P587" s="1517" t="s">
        <v>8961</v>
      </c>
      <c r="Q587" s="1515" t="s">
        <v>5454</v>
      </c>
      <c r="R587" s="1515" t="s">
        <v>5335</v>
      </c>
      <c r="S587" s="1518"/>
      <c r="T587" s="1519">
        <v>40242</v>
      </c>
      <c r="U587" s="1504">
        <v>0</v>
      </c>
      <c r="V587" s="1520">
        <f>T587-U587</f>
        <v>40242</v>
      </c>
      <c r="W587" s="1519">
        <v>7102</v>
      </c>
      <c r="X587" s="1504">
        <v>0</v>
      </c>
      <c r="Y587" s="1520">
        <f>W587-X587</f>
        <v>7102</v>
      </c>
      <c r="Z587" s="1519">
        <v>486</v>
      </c>
      <c r="AA587" s="1504">
        <v>0</v>
      </c>
      <c r="AB587" s="1520">
        <f>Z587-AA587</f>
        <v>486</v>
      </c>
      <c r="AC587" s="1519"/>
      <c r="AD587" s="1504"/>
      <c r="AE587" s="1520"/>
      <c r="AF587" s="1519"/>
      <c r="AG587" s="1504"/>
      <c r="AH587" s="1520"/>
      <c r="AI587" s="1503">
        <v>12756</v>
      </c>
      <c r="AJ587" s="1504">
        <f>U587+X587+AA587+AD587+AG587</f>
        <v>0</v>
      </c>
      <c r="AK587" s="3919">
        <v>0</v>
      </c>
      <c r="AL587" s="1505">
        <f t="shared" si="181"/>
        <v>12756</v>
      </c>
      <c r="AM587" s="1508" t="s">
        <v>1061</v>
      </c>
      <c r="AN587" s="3401">
        <v>44376</v>
      </c>
      <c r="AO587" s="4034" t="s">
        <v>8980</v>
      </c>
      <c r="AP587" s="3251" t="s">
        <v>7957</v>
      </c>
      <c r="AQ587" s="3248">
        <v>1.0795220000000001</v>
      </c>
      <c r="AR587" s="1506">
        <v>0</v>
      </c>
      <c r="AS587" s="1507">
        <v>0</v>
      </c>
      <c r="AT587" s="1507">
        <v>0</v>
      </c>
      <c r="AU587" s="1507">
        <v>0</v>
      </c>
      <c r="AV587" s="1507">
        <v>0</v>
      </c>
      <c r="AW587" s="3247">
        <f>ROUND(AL587*AQ587/G587,0)</f>
        <v>12756</v>
      </c>
      <c r="AX587" s="3146"/>
      <c r="BB587" s="267"/>
      <c r="BC587" s="4117">
        <f t="shared" si="175"/>
        <v>0</v>
      </c>
      <c r="BD587" s="4117">
        <f t="shared" si="180"/>
        <v>0</v>
      </c>
      <c r="BE587" s="267"/>
    </row>
    <row r="588" spans="1:61" ht="76.5">
      <c r="A588" s="5981" t="s">
        <v>11022</v>
      </c>
      <c r="B588" s="1538" t="s">
        <v>8291</v>
      </c>
      <c r="C588" s="1509">
        <v>0</v>
      </c>
      <c r="D588" s="1510">
        <v>44369</v>
      </c>
      <c r="E588" s="4344" t="s">
        <v>8170</v>
      </c>
      <c r="F588" s="1511" t="s">
        <v>7957</v>
      </c>
      <c r="G588" s="2663">
        <v>1.0795220000000001</v>
      </c>
      <c r="H588" s="1513" t="s">
        <v>8937</v>
      </c>
      <c r="I588" s="1514" t="s">
        <v>8938</v>
      </c>
      <c r="J588" s="4345" t="s">
        <v>4306</v>
      </c>
      <c r="K588" s="1516">
        <v>45099</v>
      </c>
      <c r="L588" s="1514" t="s">
        <v>8939</v>
      </c>
      <c r="M588" s="1515" t="s">
        <v>8940</v>
      </c>
      <c r="N588" s="1514" t="s">
        <v>8941</v>
      </c>
      <c r="O588" s="1513" t="s">
        <v>8942</v>
      </c>
      <c r="P588" s="1517"/>
      <c r="Q588" s="6094" t="s">
        <v>5708</v>
      </c>
      <c r="R588" s="1515" t="s">
        <v>5350</v>
      </c>
      <c r="S588" s="1518"/>
      <c r="T588" s="1519"/>
      <c r="U588" s="1504"/>
      <c r="V588" s="1520"/>
      <c r="W588" s="1519"/>
      <c r="X588" s="1504"/>
      <c r="Y588" s="1520"/>
      <c r="Z588" s="1519"/>
      <c r="AA588" s="1504"/>
      <c r="AB588" s="1520"/>
      <c r="AC588" s="1519"/>
      <c r="AD588" s="1504"/>
      <c r="AE588" s="1520"/>
      <c r="AF588" s="1519"/>
      <c r="AG588" s="1504"/>
      <c r="AH588" s="1520"/>
      <c r="AI588" s="1503">
        <v>5484</v>
      </c>
      <c r="AJ588" s="1504">
        <v>0</v>
      </c>
      <c r="AK588" s="3919">
        <v>0</v>
      </c>
      <c r="AL588" s="1505">
        <f t="shared" si="181"/>
        <v>5484</v>
      </c>
      <c r="AM588" s="1508" t="s">
        <v>1061</v>
      </c>
      <c r="AN588" s="4033">
        <v>44376</v>
      </c>
      <c r="AO588" s="4034" t="s">
        <v>8981</v>
      </c>
      <c r="AP588" s="2905" t="s">
        <v>7957</v>
      </c>
      <c r="AQ588" s="2906">
        <v>1.0795220000000001</v>
      </c>
      <c r="AR588" s="1506"/>
      <c r="AS588" s="1507"/>
      <c r="AT588" s="1507"/>
      <c r="AU588" s="1507"/>
      <c r="AV588" s="1507"/>
      <c r="AW588" s="3247">
        <f>ROUND(AL588*AQ588/G588,0)</f>
        <v>5484</v>
      </c>
      <c r="AX588" s="3146"/>
      <c r="BA588" s="267"/>
      <c r="BB588" s="267"/>
      <c r="BC588" s="4117">
        <f t="shared" si="175"/>
        <v>0</v>
      </c>
      <c r="BD588" s="4117">
        <f t="shared" si="180"/>
        <v>0</v>
      </c>
      <c r="BE588" s="267"/>
    </row>
    <row r="589" spans="1:61" ht="76.5">
      <c r="A589" s="5981" t="s">
        <v>11004</v>
      </c>
      <c r="B589" s="1538" t="s">
        <v>8974</v>
      </c>
      <c r="C589" s="1509">
        <v>0</v>
      </c>
      <c r="D589" s="1510" t="s">
        <v>7825</v>
      </c>
      <c r="E589" s="3053" t="s">
        <v>6387</v>
      </c>
      <c r="F589" s="1511" t="s">
        <v>4154</v>
      </c>
      <c r="G589" s="2663">
        <v>1.0111000000000001</v>
      </c>
      <c r="H589" s="1513" t="s">
        <v>7826</v>
      </c>
      <c r="I589" s="1514" t="s">
        <v>1436</v>
      </c>
      <c r="J589" s="1515" t="s">
        <v>1437</v>
      </c>
      <c r="K589" s="1516" t="s">
        <v>7824</v>
      </c>
      <c r="L589" s="1514" t="s">
        <v>4034</v>
      </c>
      <c r="M589" s="1515" t="s">
        <v>2323</v>
      </c>
      <c r="N589" s="1514" t="s">
        <v>8760</v>
      </c>
      <c r="O589" s="1513" t="s">
        <v>8759</v>
      </c>
      <c r="P589" s="2215" t="s">
        <v>7744</v>
      </c>
      <c r="Q589" s="1515" t="s">
        <v>3883</v>
      </c>
      <c r="R589" s="1515" t="s">
        <v>3884</v>
      </c>
      <c r="S589" s="1518"/>
      <c r="T589" s="1519">
        <v>6794</v>
      </c>
      <c r="U589" s="1504">
        <v>0</v>
      </c>
      <c r="V589" s="1520">
        <f>T589-U589</f>
        <v>6794</v>
      </c>
      <c r="W589" s="1519">
        <v>8493</v>
      </c>
      <c r="X589" s="1504">
        <v>0</v>
      </c>
      <c r="Y589" s="1520">
        <f>W589-X589</f>
        <v>8493</v>
      </c>
      <c r="Z589" s="1519">
        <v>1699</v>
      </c>
      <c r="AA589" s="1504">
        <v>0</v>
      </c>
      <c r="AB589" s="1520">
        <f>Z589-AA589</f>
        <v>1699</v>
      </c>
      <c r="AC589" s="1519"/>
      <c r="AD589" s="1504"/>
      <c r="AE589" s="1520"/>
      <c r="AF589" s="1519"/>
      <c r="AG589" s="1504"/>
      <c r="AH589" s="1520"/>
      <c r="AI589" s="1503">
        <f>T589+W589+Z589+AC589+AF589</f>
        <v>16986</v>
      </c>
      <c r="AJ589" s="1504">
        <f>U589+X589+AA589+AD589+AG589</f>
        <v>0</v>
      </c>
      <c r="AK589" s="4346">
        <v>0</v>
      </c>
      <c r="AL589" s="1505">
        <f>V589+Y589+AB589+AE589+AH589</f>
        <v>16986</v>
      </c>
      <c r="AM589" s="5270" t="s">
        <v>8975</v>
      </c>
      <c r="AN589" s="4033">
        <v>44376</v>
      </c>
      <c r="AO589" s="4034" t="s">
        <v>8982</v>
      </c>
      <c r="AP589" s="3539" t="s">
        <v>7957</v>
      </c>
      <c r="AQ589" s="4189">
        <v>1.0795220000000001</v>
      </c>
      <c r="AR589" s="1506"/>
      <c r="AS589" s="1507"/>
      <c r="AT589" s="1507"/>
      <c r="AU589" s="1507"/>
      <c r="AV589" s="1507"/>
      <c r="AW589" s="3247">
        <f>ROUNDUP(AL589*AQ589/G589,0)</f>
        <v>18136</v>
      </c>
      <c r="AX589" s="3146"/>
      <c r="BB589" s="267"/>
      <c r="BC589" s="4117">
        <f t="shared" si="175"/>
        <v>0</v>
      </c>
      <c r="BD589" s="4117">
        <f t="shared" si="180"/>
        <v>0</v>
      </c>
      <c r="BE589" s="267"/>
    </row>
    <row r="590" spans="1:61" ht="92.25">
      <c r="A590" s="5981" t="s">
        <v>11004</v>
      </c>
      <c r="B590" s="1538" t="s">
        <v>8978</v>
      </c>
      <c r="C590" s="1509">
        <v>0</v>
      </c>
      <c r="D590" s="1510">
        <v>43780</v>
      </c>
      <c r="E590" s="4344" t="s">
        <v>7151</v>
      </c>
      <c r="F590" s="1511" t="s">
        <v>6893</v>
      </c>
      <c r="G590" s="2663">
        <v>1.047839</v>
      </c>
      <c r="H590" s="1513" t="s">
        <v>7864</v>
      </c>
      <c r="I590" s="5260" t="s">
        <v>5127</v>
      </c>
      <c r="J590" s="4345" t="s">
        <v>4306</v>
      </c>
      <c r="K590" s="1516">
        <v>44511</v>
      </c>
      <c r="L590" s="1514" t="s">
        <v>7324</v>
      </c>
      <c r="M590" s="1515" t="s">
        <v>7325</v>
      </c>
      <c r="N590" s="1514" t="s">
        <v>7326</v>
      </c>
      <c r="O590" s="1513" t="s">
        <v>7327</v>
      </c>
      <c r="P590" s="1517" t="s">
        <v>7766</v>
      </c>
      <c r="Q590" s="1515" t="s">
        <v>7329</v>
      </c>
      <c r="R590" s="1515" t="s">
        <v>7328</v>
      </c>
      <c r="S590" s="1518"/>
      <c r="T590" s="1519"/>
      <c r="U590" s="1504"/>
      <c r="V590" s="1520"/>
      <c r="W590" s="1519"/>
      <c r="X590" s="1504"/>
      <c r="Y590" s="1520"/>
      <c r="Z590" s="1519"/>
      <c r="AA590" s="1504"/>
      <c r="AB590" s="1520"/>
      <c r="AC590" s="1519"/>
      <c r="AD590" s="1504"/>
      <c r="AE590" s="1520"/>
      <c r="AF590" s="1519"/>
      <c r="AG590" s="1504"/>
      <c r="AH590" s="1520"/>
      <c r="AI590" s="1503">
        <v>4253</v>
      </c>
      <c r="AJ590" s="1504">
        <v>0</v>
      </c>
      <c r="AK590" s="3919">
        <v>0</v>
      </c>
      <c r="AL590" s="1505">
        <f t="shared" ref="AL590:AL603" si="182">AI590-AJ590-AK590</f>
        <v>4253</v>
      </c>
      <c r="AM590" s="1508" t="s">
        <v>1061</v>
      </c>
      <c r="AN590" s="4033">
        <v>44376</v>
      </c>
      <c r="AO590" s="4034" t="s">
        <v>8983</v>
      </c>
      <c r="AP590" s="3539" t="s">
        <v>6894</v>
      </c>
      <c r="AQ590" s="4189">
        <v>1.047839</v>
      </c>
      <c r="AR590" s="1506"/>
      <c r="AS590" s="1507"/>
      <c r="AT590" s="1507"/>
      <c r="AU590" s="1507"/>
      <c r="AV590" s="1507"/>
      <c r="AW590" s="3247">
        <f t="shared" ref="AW590:AW597" si="183">ROUND(AL590*AQ590/G590,0)</f>
        <v>4253</v>
      </c>
      <c r="AX590" s="3146"/>
      <c r="BA590" s="267"/>
      <c r="BB590" s="267"/>
      <c r="BC590" s="4117">
        <f t="shared" si="175"/>
        <v>0</v>
      </c>
      <c r="BD590" s="4117">
        <f t="shared" si="180"/>
        <v>0</v>
      </c>
      <c r="BE590" s="267"/>
    </row>
    <row r="591" spans="1:61" ht="63.75">
      <c r="A591" s="5981" t="s">
        <v>11004</v>
      </c>
      <c r="B591" s="1538" t="s">
        <v>8976</v>
      </c>
      <c r="C591" s="1509">
        <v>0</v>
      </c>
      <c r="D591" s="1510">
        <v>43508</v>
      </c>
      <c r="E591" s="3053" t="s">
        <v>6386</v>
      </c>
      <c r="F591" s="1511" t="s">
        <v>5757</v>
      </c>
      <c r="G591" s="2663">
        <v>1.0247219999999999</v>
      </c>
      <c r="H591" s="1513" t="s">
        <v>7862</v>
      </c>
      <c r="I591" s="1514" t="s">
        <v>1433</v>
      </c>
      <c r="J591" s="1515" t="s">
        <v>1434</v>
      </c>
      <c r="K591" s="1516">
        <v>45700</v>
      </c>
      <c r="L591" s="1514" t="s">
        <v>6369</v>
      </c>
      <c r="M591" s="1515" t="s">
        <v>2323</v>
      </c>
      <c r="N591" s="1514" t="s">
        <v>6370</v>
      </c>
      <c r="O591" s="1513" t="s">
        <v>6371</v>
      </c>
      <c r="P591" s="2215" t="s">
        <v>7744</v>
      </c>
      <c r="Q591" s="1515" t="s">
        <v>6373</v>
      </c>
      <c r="R591" s="1515" t="s">
        <v>3892</v>
      </c>
      <c r="S591" s="1518"/>
      <c r="T591" s="1519">
        <v>6886</v>
      </c>
      <c r="U591" s="1504">
        <v>0</v>
      </c>
      <c r="V591" s="1520">
        <f>T591-U591</f>
        <v>6886</v>
      </c>
      <c r="W591" s="1519">
        <v>8608</v>
      </c>
      <c r="X591" s="1504">
        <v>0</v>
      </c>
      <c r="Y591" s="1520">
        <f>W591-X591</f>
        <v>8608</v>
      </c>
      <c r="Z591" s="1519">
        <v>1721</v>
      </c>
      <c r="AA591" s="1504">
        <v>0</v>
      </c>
      <c r="AB591" s="1520">
        <f>Z591-AA591</f>
        <v>1721</v>
      </c>
      <c r="AC591" s="1519"/>
      <c r="AD591" s="1504"/>
      <c r="AE591" s="1520"/>
      <c r="AF591" s="1519"/>
      <c r="AG591" s="1504"/>
      <c r="AH591" s="1520"/>
      <c r="AI591" s="1503">
        <f>T591+W591+Z591+AC591+AF591</f>
        <v>17215</v>
      </c>
      <c r="AJ591" s="1504">
        <f>U591+X591+AA591+AD591+AG591</f>
        <v>0</v>
      </c>
      <c r="AK591" s="3919">
        <v>0</v>
      </c>
      <c r="AL591" s="1505">
        <f t="shared" si="182"/>
        <v>17215</v>
      </c>
      <c r="AM591" s="5271" t="s">
        <v>8984</v>
      </c>
      <c r="AN591" s="3401">
        <v>44377</v>
      </c>
      <c r="AO591" s="3402" t="s">
        <v>8987</v>
      </c>
      <c r="AP591" s="3251" t="s">
        <v>6894</v>
      </c>
      <c r="AQ591" s="3248">
        <v>1.047839</v>
      </c>
      <c r="AR591" s="1506">
        <v>0</v>
      </c>
      <c r="AS591" s="1507">
        <v>0</v>
      </c>
      <c r="AT591" s="1507">
        <v>0</v>
      </c>
      <c r="AU591" s="1507">
        <v>0</v>
      </c>
      <c r="AV591" s="1507">
        <v>0</v>
      </c>
      <c r="AW591" s="3247">
        <f t="shared" si="183"/>
        <v>17603</v>
      </c>
      <c r="AX591" s="3146"/>
      <c r="BA591" s="267"/>
      <c r="BB591" s="267"/>
      <c r="BC591" s="4117">
        <f t="shared" si="175"/>
        <v>0</v>
      </c>
      <c r="BD591" s="4117">
        <f t="shared" si="180"/>
        <v>0</v>
      </c>
      <c r="BE591" s="267"/>
    </row>
    <row r="592" spans="1:61" ht="90" thickBot="1">
      <c r="A592" s="6063" t="s">
        <v>11022</v>
      </c>
      <c r="B592" s="5145" t="s">
        <v>8986</v>
      </c>
      <c r="C592" s="5272">
        <v>0</v>
      </c>
      <c r="D592" s="5273" t="s">
        <v>8877</v>
      </c>
      <c r="E592" s="5274" t="s">
        <v>7972</v>
      </c>
      <c r="F592" s="5275" t="s">
        <v>7957</v>
      </c>
      <c r="G592" s="5276">
        <v>1.0795220000000001</v>
      </c>
      <c r="H592" s="5277" t="s">
        <v>7979</v>
      </c>
      <c r="I592" s="5152" t="s">
        <v>7966</v>
      </c>
      <c r="J592" s="5278" t="s">
        <v>4306</v>
      </c>
      <c r="K592" s="5279">
        <v>44765</v>
      </c>
      <c r="L592" s="5152" t="s">
        <v>7967</v>
      </c>
      <c r="M592" s="5278" t="s">
        <v>7968</v>
      </c>
      <c r="N592" s="5152" t="s">
        <v>7969</v>
      </c>
      <c r="O592" s="5277" t="s">
        <v>7970</v>
      </c>
      <c r="P592" s="5156" t="s">
        <v>8985</v>
      </c>
      <c r="Q592" s="6112" t="s">
        <v>5708</v>
      </c>
      <c r="R592" s="5278" t="s">
        <v>5350</v>
      </c>
      <c r="S592" s="5280"/>
      <c r="T592" s="5158"/>
      <c r="U592" s="5281"/>
      <c r="V592" s="5282"/>
      <c r="W592" s="5158"/>
      <c r="X592" s="5281"/>
      <c r="Y592" s="5282"/>
      <c r="Z592" s="5158"/>
      <c r="AA592" s="5281"/>
      <c r="AB592" s="5282"/>
      <c r="AC592" s="5158"/>
      <c r="AD592" s="5281"/>
      <c r="AE592" s="5282"/>
      <c r="AF592" s="5158"/>
      <c r="AG592" s="5281"/>
      <c r="AH592" s="5282"/>
      <c r="AI592" s="5161">
        <v>6438</v>
      </c>
      <c r="AJ592" s="5281">
        <v>0</v>
      </c>
      <c r="AK592" s="5283">
        <v>0</v>
      </c>
      <c r="AL592" s="5284">
        <f t="shared" si="182"/>
        <v>6438</v>
      </c>
      <c r="AM592" s="5164" t="s">
        <v>1061</v>
      </c>
      <c r="AN592" s="5285">
        <v>44377</v>
      </c>
      <c r="AO592" s="5286" t="s">
        <v>8988</v>
      </c>
      <c r="AP592" s="4718" t="s">
        <v>7957</v>
      </c>
      <c r="AQ592" s="4719">
        <v>1.0795220000000001</v>
      </c>
      <c r="AR592" s="5167"/>
      <c r="AS592" s="5287"/>
      <c r="AT592" s="5287"/>
      <c r="AU592" s="5287"/>
      <c r="AV592" s="5287"/>
      <c r="AW592" s="5288">
        <f t="shared" si="183"/>
        <v>6438</v>
      </c>
      <c r="AX592" s="5170"/>
      <c r="AY592" s="4029" t="s">
        <v>8876</v>
      </c>
      <c r="AZ592" s="3888">
        <f>SUM(AW558:AW592)</f>
        <v>322755</v>
      </c>
      <c r="BA592" s="4028">
        <f>AZ592</f>
        <v>322755</v>
      </c>
      <c r="BB592" s="307"/>
      <c r="BC592" s="4118">
        <f t="shared" si="175"/>
        <v>0</v>
      </c>
      <c r="BD592" s="4118">
        <f t="shared" si="180"/>
        <v>0</v>
      </c>
      <c r="BE592" s="4955"/>
      <c r="BF592" s="4722">
        <f>SUM(BA471:BA592)</f>
        <v>2264199</v>
      </c>
      <c r="BG592" s="4673">
        <f>SUM(BC471:BC592)</f>
        <v>73661</v>
      </c>
      <c r="BH592" s="4673">
        <f>SUM(BD471:BD592)</f>
        <v>99376</v>
      </c>
      <c r="BI592" s="4674">
        <f>SUM(BE471:BE592)</f>
        <v>-55544</v>
      </c>
    </row>
    <row r="593" spans="1:57" ht="102">
      <c r="A593" s="2418" t="s">
        <v>11004</v>
      </c>
      <c r="B593" s="338" t="s">
        <v>11200</v>
      </c>
      <c r="C593" s="321">
        <v>0</v>
      </c>
      <c r="D593" s="323" t="s">
        <v>11198</v>
      </c>
      <c r="E593" s="3051" t="s">
        <v>6386</v>
      </c>
      <c r="F593" s="324" t="s">
        <v>11199</v>
      </c>
      <c r="G593" s="2669">
        <v>1.047839</v>
      </c>
      <c r="H593" s="332" t="s">
        <v>6281</v>
      </c>
      <c r="I593" s="339" t="s">
        <v>6284</v>
      </c>
      <c r="J593" s="322" t="s">
        <v>4306</v>
      </c>
      <c r="K593" s="340">
        <v>44238</v>
      </c>
      <c r="L593" s="339" t="s">
        <v>6285</v>
      </c>
      <c r="M593" s="322" t="s">
        <v>6286</v>
      </c>
      <c r="N593" s="339" t="s">
        <v>6287</v>
      </c>
      <c r="O593" s="332" t="s">
        <v>6286</v>
      </c>
      <c r="P593" s="345" t="s">
        <v>8860</v>
      </c>
      <c r="Q593" s="6094" t="s">
        <v>5708</v>
      </c>
      <c r="R593" s="322" t="s">
        <v>5350</v>
      </c>
      <c r="S593" s="346"/>
      <c r="T593" s="347">
        <v>2444</v>
      </c>
      <c r="U593" s="326">
        <v>0</v>
      </c>
      <c r="V593" s="348">
        <f>T593-U593</f>
        <v>2444</v>
      </c>
      <c r="W593" s="347">
        <v>3056</v>
      </c>
      <c r="X593" s="326">
        <v>0</v>
      </c>
      <c r="Y593" s="348">
        <f>W593-X593</f>
        <v>3056</v>
      </c>
      <c r="Z593" s="347">
        <v>0</v>
      </c>
      <c r="AA593" s="326">
        <v>0</v>
      </c>
      <c r="AB593" s="348">
        <f>Z593-AA593</f>
        <v>0</v>
      </c>
      <c r="AC593" s="347"/>
      <c r="AD593" s="326"/>
      <c r="AE593" s="348"/>
      <c r="AF593" s="347"/>
      <c r="AG593" s="326"/>
      <c r="AH593" s="348"/>
      <c r="AI593" s="482">
        <v>1406</v>
      </c>
      <c r="AJ593" s="326">
        <f>U593+X593+AA593+AD593+AG593</f>
        <v>0</v>
      </c>
      <c r="AK593" s="3917">
        <v>0</v>
      </c>
      <c r="AL593" s="349">
        <f t="shared" si="182"/>
        <v>1406</v>
      </c>
      <c r="AM593" s="2002" t="s">
        <v>909</v>
      </c>
      <c r="AN593" s="3357">
        <v>44379</v>
      </c>
      <c r="AO593" s="695" t="s">
        <v>9001</v>
      </c>
      <c r="AP593" s="3222" t="s">
        <v>6894</v>
      </c>
      <c r="AQ593" s="3223">
        <v>1.047839</v>
      </c>
      <c r="AR593" s="333">
        <v>0</v>
      </c>
      <c r="AS593" s="330">
        <v>0</v>
      </c>
      <c r="AT593" s="330">
        <v>0</v>
      </c>
      <c r="AU593" s="330">
        <v>0</v>
      </c>
      <c r="AV593" s="330">
        <v>0</v>
      </c>
      <c r="AW593" s="3156">
        <f t="shared" si="183"/>
        <v>1406</v>
      </c>
      <c r="AX593" s="3140"/>
      <c r="BA593" s="267"/>
      <c r="BB593" s="267"/>
      <c r="BC593" s="4117">
        <f t="shared" si="175"/>
        <v>0</v>
      </c>
      <c r="BD593" s="4117">
        <f t="shared" si="180"/>
        <v>0</v>
      </c>
      <c r="BE593" s="267"/>
    </row>
    <row r="594" spans="1:57" ht="76.5">
      <c r="A594" s="2418" t="s">
        <v>11022</v>
      </c>
      <c r="B594" s="338" t="s">
        <v>11201</v>
      </c>
      <c r="C594" s="321">
        <v>0</v>
      </c>
      <c r="D594" s="323">
        <v>44348</v>
      </c>
      <c r="E594" s="3058" t="s">
        <v>8170</v>
      </c>
      <c r="F594" s="324" t="s">
        <v>7957</v>
      </c>
      <c r="G594" s="2621">
        <v>1.0795220000000001</v>
      </c>
      <c r="H594" s="332" t="s">
        <v>8867</v>
      </c>
      <c r="I594" s="339" t="s">
        <v>8866</v>
      </c>
      <c r="J594" s="2399" t="s">
        <v>4306</v>
      </c>
      <c r="K594" s="340">
        <v>45078</v>
      </c>
      <c r="L594" s="339" t="s">
        <v>8868</v>
      </c>
      <c r="M594" s="322" t="s">
        <v>8869</v>
      </c>
      <c r="N594" s="339" t="s">
        <v>8870</v>
      </c>
      <c r="O594" s="322" t="s">
        <v>8869</v>
      </c>
      <c r="P594" s="667" t="s">
        <v>8943</v>
      </c>
      <c r="Q594" s="6094" t="s">
        <v>5708</v>
      </c>
      <c r="R594" s="322" t="s">
        <v>5350</v>
      </c>
      <c r="S594" s="346"/>
      <c r="T594" s="347"/>
      <c r="U594" s="326"/>
      <c r="V594" s="348"/>
      <c r="W594" s="347"/>
      <c r="X594" s="326"/>
      <c r="Y594" s="348"/>
      <c r="Z594" s="347"/>
      <c r="AA594" s="326"/>
      <c r="AB594" s="348"/>
      <c r="AC594" s="347"/>
      <c r="AD594" s="326"/>
      <c r="AE594" s="348"/>
      <c r="AF594" s="347"/>
      <c r="AG594" s="326"/>
      <c r="AH594" s="348"/>
      <c r="AI594" s="482">
        <v>1361</v>
      </c>
      <c r="AJ594" s="326">
        <v>0</v>
      </c>
      <c r="AK594" s="3917">
        <v>0</v>
      </c>
      <c r="AL594" s="349">
        <f t="shared" si="182"/>
        <v>1361</v>
      </c>
      <c r="AM594" s="2002" t="s">
        <v>909</v>
      </c>
      <c r="AN594" s="3357">
        <v>44379</v>
      </c>
      <c r="AO594" s="695" t="s">
        <v>9002</v>
      </c>
      <c r="AP594" s="3696" t="s">
        <v>7957</v>
      </c>
      <c r="AQ594" s="3697">
        <v>1.0795220000000001</v>
      </c>
      <c r="AR594" s="333"/>
      <c r="AS594" s="330"/>
      <c r="AT594" s="330"/>
      <c r="AU594" s="330"/>
      <c r="AV594" s="330"/>
      <c r="AW594" s="3156">
        <f t="shared" si="183"/>
        <v>1361</v>
      </c>
      <c r="AX594" s="3140"/>
      <c r="BA594" s="267"/>
      <c r="BB594" s="267"/>
      <c r="BC594" s="4117">
        <f t="shared" si="175"/>
        <v>0</v>
      </c>
      <c r="BD594" s="4117">
        <f t="shared" si="180"/>
        <v>0</v>
      </c>
      <c r="BE594" s="267"/>
    </row>
    <row r="595" spans="1:57" ht="92.25">
      <c r="A595" s="5966" t="s">
        <v>11004</v>
      </c>
      <c r="B595" s="827" t="s">
        <v>8999</v>
      </c>
      <c r="C595" s="828">
        <v>0</v>
      </c>
      <c r="D595" s="829">
        <v>43475</v>
      </c>
      <c r="E595" s="829" t="s">
        <v>6386</v>
      </c>
      <c r="F595" s="830" t="s">
        <v>5757</v>
      </c>
      <c r="G595" s="2620">
        <v>1.0247219999999999</v>
      </c>
      <c r="H595" s="832" t="s">
        <v>6490</v>
      </c>
      <c r="I595" s="833" t="s">
        <v>6109</v>
      </c>
      <c r="J595" s="834" t="s">
        <v>4306</v>
      </c>
      <c r="K595" s="835">
        <v>44206</v>
      </c>
      <c r="L595" s="833" t="s">
        <v>6110</v>
      </c>
      <c r="M595" s="834" t="s">
        <v>6111</v>
      </c>
      <c r="N595" s="833" t="s">
        <v>6112</v>
      </c>
      <c r="O595" s="832" t="s">
        <v>6113</v>
      </c>
      <c r="P595" s="4174" t="s">
        <v>7744</v>
      </c>
      <c r="Q595" s="6096" t="s">
        <v>6114</v>
      </c>
      <c r="R595" s="834" t="s">
        <v>5350</v>
      </c>
      <c r="S595" s="837"/>
      <c r="T595" s="838">
        <v>2444</v>
      </c>
      <c r="U595" s="839">
        <v>0</v>
      </c>
      <c r="V595" s="840">
        <f>T595-U595</f>
        <v>2444</v>
      </c>
      <c r="W595" s="838">
        <v>3056</v>
      </c>
      <c r="X595" s="839">
        <v>0</v>
      </c>
      <c r="Y595" s="840">
        <f>W595-X595</f>
        <v>3056</v>
      </c>
      <c r="Z595" s="838">
        <v>611</v>
      </c>
      <c r="AA595" s="839">
        <v>0</v>
      </c>
      <c r="AB595" s="840">
        <f>Z595-AA595</f>
        <v>611</v>
      </c>
      <c r="AC595" s="838"/>
      <c r="AD595" s="839"/>
      <c r="AE595" s="840"/>
      <c r="AF595" s="838"/>
      <c r="AG595" s="839"/>
      <c r="AH595" s="840"/>
      <c r="AI595" s="841">
        <f>T595+W595+Z595+AC595+AF595</f>
        <v>6111</v>
      </c>
      <c r="AJ595" s="839">
        <f>U595+X595+AA595+AD595+AG595</f>
        <v>0</v>
      </c>
      <c r="AK595" s="3906">
        <v>0</v>
      </c>
      <c r="AL595" s="869">
        <f t="shared" si="182"/>
        <v>6111</v>
      </c>
      <c r="AM595" s="2002" t="s">
        <v>909</v>
      </c>
      <c r="AN595" s="3357">
        <v>44379</v>
      </c>
      <c r="AO595" s="3361" t="s">
        <v>9000</v>
      </c>
      <c r="AP595" s="3696" t="s">
        <v>7957</v>
      </c>
      <c r="AQ595" s="3697">
        <v>1.0795220000000001</v>
      </c>
      <c r="AR595" s="846">
        <v>0</v>
      </c>
      <c r="AS595" s="847">
        <v>0</v>
      </c>
      <c r="AT595" s="847">
        <v>0</v>
      </c>
      <c r="AU595" s="847">
        <v>0</v>
      </c>
      <c r="AV595" s="847">
        <v>0</v>
      </c>
      <c r="AW595" s="2872">
        <f t="shared" si="183"/>
        <v>6438</v>
      </c>
      <c r="AX595" s="2891"/>
      <c r="BB595" s="267"/>
      <c r="BC595" s="4117">
        <f t="shared" si="175"/>
        <v>0</v>
      </c>
      <c r="BD595" s="4117">
        <f t="shared" si="180"/>
        <v>0</v>
      </c>
      <c r="BE595" s="267"/>
    </row>
    <row r="596" spans="1:57" ht="51">
      <c r="A596" s="2418" t="s">
        <v>11004</v>
      </c>
      <c r="B596" s="338" t="s">
        <v>4528</v>
      </c>
      <c r="C596" s="321">
        <v>0</v>
      </c>
      <c r="D596" s="323">
        <v>43117</v>
      </c>
      <c r="E596" s="3051" t="s">
        <v>6385</v>
      </c>
      <c r="F596" s="324" t="s">
        <v>5915</v>
      </c>
      <c r="G596" s="2621">
        <v>1.0119899999999999</v>
      </c>
      <c r="H596" s="332" t="s">
        <v>5226</v>
      </c>
      <c r="I596" s="339" t="s">
        <v>1436</v>
      </c>
      <c r="J596" s="322" t="s">
        <v>1437</v>
      </c>
      <c r="K596" s="340">
        <v>44880</v>
      </c>
      <c r="L596" s="339" t="s">
        <v>5227</v>
      </c>
      <c r="M596" s="322" t="s">
        <v>2912</v>
      </c>
      <c r="N596" s="339" t="s">
        <v>5228</v>
      </c>
      <c r="O596" s="332" t="s">
        <v>6314</v>
      </c>
      <c r="P596" s="345"/>
      <c r="Q596" s="322" t="s">
        <v>5229</v>
      </c>
      <c r="R596" s="322" t="s">
        <v>5230</v>
      </c>
      <c r="S596" s="346"/>
      <c r="T596" s="347">
        <v>6800</v>
      </c>
      <c r="U596" s="326">
        <v>0</v>
      </c>
      <c r="V596" s="348">
        <f>T596-U596</f>
        <v>6800</v>
      </c>
      <c r="W596" s="347">
        <v>8501</v>
      </c>
      <c r="X596" s="326">
        <v>0</v>
      </c>
      <c r="Y596" s="348">
        <f>W596-X596</f>
        <v>8501</v>
      </c>
      <c r="Z596" s="347">
        <v>1700</v>
      </c>
      <c r="AA596" s="326">
        <v>0</v>
      </c>
      <c r="AB596" s="348">
        <f>Z596-AA596</f>
        <v>1700</v>
      </c>
      <c r="AC596" s="347"/>
      <c r="AD596" s="326"/>
      <c r="AE596" s="348"/>
      <c r="AF596" s="347"/>
      <c r="AG596" s="326"/>
      <c r="AH596" s="348"/>
      <c r="AI596" s="482">
        <f>T596+W596+Z596+AC596+AF596</f>
        <v>17001</v>
      </c>
      <c r="AJ596" s="326">
        <f>U596+X596+AA596+AD596+AG596</f>
        <v>0</v>
      </c>
      <c r="AK596" s="3917">
        <v>0</v>
      </c>
      <c r="AL596" s="349">
        <f t="shared" si="182"/>
        <v>17001</v>
      </c>
      <c r="AM596" s="2002" t="s">
        <v>9006</v>
      </c>
      <c r="AN596" s="3357">
        <v>44382</v>
      </c>
      <c r="AO596" s="695" t="s">
        <v>9007</v>
      </c>
      <c r="AP596" s="3222" t="s">
        <v>5915</v>
      </c>
      <c r="AQ596" s="3314">
        <v>1.0119899999999999</v>
      </c>
      <c r="AR596" s="333">
        <v>0</v>
      </c>
      <c r="AS596" s="330">
        <v>0</v>
      </c>
      <c r="AT596" s="330">
        <v>0</v>
      </c>
      <c r="AU596" s="330">
        <v>0</v>
      </c>
      <c r="AV596" s="5354">
        <v>0</v>
      </c>
      <c r="AW596" s="5355">
        <f t="shared" si="183"/>
        <v>17001</v>
      </c>
      <c r="AX596" s="3140"/>
      <c r="BB596" s="267"/>
      <c r="BC596" s="4117">
        <f t="shared" si="175"/>
        <v>0</v>
      </c>
      <c r="BD596" s="4117">
        <f t="shared" si="180"/>
        <v>0</v>
      </c>
      <c r="BE596" s="267"/>
    </row>
    <row r="597" spans="1:57" ht="76.5">
      <c r="A597" s="2418" t="s">
        <v>11022</v>
      </c>
      <c r="B597" s="338" t="s">
        <v>8289</v>
      </c>
      <c r="C597" s="321">
        <v>0</v>
      </c>
      <c r="D597" s="323">
        <v>44341</v>
      </c>
      <c r="E597" s="3058" t="s">
        <v>8170</v>
      </c>
      <c r="F597" s="324" t="s">
        <v>7957</v>
      </c>
      <c r="G597" s="2621">
        <v>1.0795220000000001</v>
      </c>
      <c r="H597" s="332" t="s">
        <v>8850</v>
      </c>
      <c r="I597" s="339" t="s">
        <v>1433</v>
      </c>
      <c r="J597" s="322" t="s">
        <v>1434</v>
      </c>
      <c r="K597" s="340">
        <v>46531</v>
      </c>
      <c r="L597" s="339" t="s">
        <v>8851</v>
      </c>
      <c r="M597" s="322" t="s">
        <v>8852</v>
      </c>
      <c r="N597" s="339" t="s">
        <v>8854</v>
      </c>
      <c r="O597" s="332" t="s">
        <v>8853</v>
      </c>
      <c r="P597" s="345"/>
      <c r="Q597" s="322" t="s">
        <v>8856</v>
      </c>
      <c r="R597" s="322" t="s">
        <v>8855</v>
      </c>
      <c r="S597" s="346"/>
      <c r="T597" s="347"/>
      <c r="U597" s="326"/>
      <c r="V597" s="348"/>
      <c r="W597" s="347"/>
      <c r="X597" s="326"/>
      <c r="Y597" s="348"/>
      <c r="Z597" s="347"/>
      <c r="AA597" s="326"/>
      <c r="AB597" s="348"/>
      <c r="AC597" s="347"/>
      <c r="AD597" s="326"/>
      <c r="AE597" s="348"/>
      <c r="AF597" s="347"/>
      <c r="AG597" s="326"/>
      <c r="AH597" s="348"/>
      <c r="AI597" s="482">
        <v>3456</v>
      </c>
      <c r="AJ597" s="326">
        <v>0</v>
      </c>
      <c r="AK597" s="3917">
        <v>0</v>
      </c>
      <c r="AL597" s="349">
        <f t="shared" si="182"/>
        <v>3456</v>
      </c>
      <c r="AM597" s="2002" t="s">
        <v>2977</v>
      </c>
      <c r="AN597" s="3357">
        <v>44383</v>
      </c>
      <c r="AO597" s="695" t="s">
        <v>9008</v>
      </c>
      <c r="AP597" s="3362" t="s">
        <v>9004</v>
      </c>
      <c r="AQ597" s="3555">
        <v>1.0956269999999999</v>
      </c>
      <c r="AR597" s="333"/>
      <c r="AS597" s="330"/>
      <c r="AT597" s="330"/>
      <c r="AU597" s="330"/>
      <c r="AV597" s="330"/>
      <c r="AW597" s="3156">
        <f t="shared" si="183"/>
        <v>3508</v>
      </c>
      <c r="AX597" s="3140"/>
      <c r="BA597" s="267"/>
      <c r="BB597" s="267"/>
      <c r="BC597" s="4117">
        <f t="shared" si="175"/>
        <v>0</v>
      </c>
      <c r="BD597" s="4117">
        <f t="shared" si="180"/>
        <v>0</v>
      </c>
      <c r="BE597" s="267"/>
    </row>
    <row r="598" spans="1:57" ht="57.75">
      <c r="A598" s="2418" t="s">
        <v>11004</v>
      </c>
      <c r="B598" s="338" t="s">
        <v>11207</v>
      </c>
      <c r="C598" s="321">
        <v>0</v>
      </c>
      <c r="D598" s="323">
        <v>43117</v>
      </c>
      <c r="E598" s="3051" t="s">
        <v>6385</v>
      </c>
      <c r="F598" s="324" t="s">
        <v>5915</v>
      </c>
      <c r="G598" s="2621">
        <v>1.0119899999999999</v>
      </c>
      <c r="H598" s="332" t="s">
        <v>5226</v>
      </c>
      <c r="I598" s="339" t="s">
        <v>1436</v>
      </c>
      <c r="J598" s="322" t="s">
        <v>1437</v>
      </c>
      <c r="K598" s="340">
        <v>44880</v>
      </c>
      <c r="L598" s="339" t="s">
        <v>5227</v>
      </c>
      <c r="M598" s="322" t="s">
        <v>2912</v>
      </c>
      <c r="N598" s="339" t="s">
        <v>5228</v>
      </c>
      <c r="O598" s="332" t="s">
        <v>6314</v>
      </c>
      <c r="P598" s="345"/>
      <c r="Q598" s="322" t="s">
        <v>5229</v>
      </c>
      <c r="R598" s="322" t="s">
        <v>5230</v>
      </c>
      <c r="S598" s="346"/>
      <c r="T598" s="347">
        <v>6800</v>
      </c>
      <c r="U598" s="326">
        <v>0</v>
      </c>
      <c r="V598" s="348">
        <f>T598-U598</f>
        <v>6800</v>
      </c>
      <c r="W598" s="347">
        <v>8501</v>
      </c>
      <c r="X598" s="326">
        <v>0</v>
      </c>
      <c r="Y598" s="348">
        <f>W598-X598</f>
        <v>8501</v>
      </c>
      <c r="Z598" s="347">
        <v>1700</v>
      </c>
      <c r="AA598" s="326">
        <v>0</v>
      </c>
      <c r="AB598" s="348">
        <f>Z598-AA598</f>
        <v>1700</v>
      </c>
      <c r="AC598" s="347"/>
      <c r="AD598" s="326"/>
      <c r="AE598" s="348"/>
      <c r="AF598" s="347"/>
      <c r="AG598" s="326"/>
      <c r="AH598" s="348"/>
      <c r="AI598" s="482">
        <v>1405</v>
      </c>
      <c r="AJ598" s="326">
        <f>U598+X598+AA598+AD598+AG598</f>
        <v>0</v>
      </c>
      <c r="AK598" s="3917">
        <v>0</v>
      </c>
      <c r="AL598" s="349">
        <f t="shared" si="182"/>
        <v>1405</v>
      </c>
      <c r="AM598" s="4737" t="s">
        <v>9010</v>
      </c>
      <c r="AN598" s="3357">
        <v>44383</v>
      </c>
      <c r="AO598" s="695" t="s">
        <v>9009</v>
      </c>
      <c r="AP598" s="2722" t="s">
        <v>9004</v>
      </c>
      <c r="AQ598" s="2723">
        <v>1.0956269999999999</v>
      </c>
      <c r="AR598" s="333">
        <v>0</v>
      </c>
      <c r="AS598" s="330">
        <v>0</v>
      </c>
      <c r="AT598" s="330">
        <v>0</v>
      </c>
      <c r="AU598" s="330">
        <v>0</v>
      </c>
      <c r="AV598" s="330">
        <v>0</v>
      </c>
      <c r="AW598" s="3156">
        <v>1405</v>
      </c>
      <c r="AX598" s="3140"/>
      <c r="BB598" s="267"/>
      <c r="BC598" s="4117">
        <f t="shared" si="175"/>
        <v>0</v>
      </c>
      <c r="BD598" s="4117">
        <f t="shared" si="180"/>
        <v>0</v>
      </c>
      <c r="BE598" s="267"/>
    </row>
    <row r="599" spans="1:57" ht="38.25">
      <c r="A599" s="2418" t="s">
        <v>11004</v>
      </c>
      <c r="B599" s="338" t="s">
        <v>6966</v>
      </c>
      <c r="C599" s="321">
        <v>0</v>
      </c>
      <c r="D599" s="323">
        <v>43823</v>
      </c>
      <c r="E599" s="3058" t="s">
        <v>7151</v>
      </c>
      <c r="F599" s="324" t="s">
        <v>6893</v>
      </c>
      <c r="G599" s="2621">
        <v>1.047839</v>
      </c>
      <c r="H599" s="332" t="s">
        <v>7511</v>
      </c>
      <c r="I599" s="339" t="s">
        <v>1433</v>
      </c>
      <c r="J599" s="322" t="s">
        <v>1434</v>
      </c>
      <c r="K599" s="340">
        <v>45647</v>
      </c>
      <c r="L599" s="339" t="s">
        <v>7512</v>
      </c>
      <c r="M599" s="322" t="s">
        <v>1957</v>
      </c>
      <c r="N599" s="339" t="s">
        <v>7513</v>
      </c>
      <c r="O599" s="332" t="s">
        <v>7514</v>
      </c>
      <c r="P599" s="345"/>
      <c r="Q599" s="322" t="s">
        <v>7515</v>
      </c>
      <c r="R599" s="322" t="s">
        <v>4477</v>
      </c>
      <c r="S599" s="346"/>
      <c r="T599" s="347"/>
      <c r="U599" s="326"/>
      <c r="V599" s="348"/>
      <c r="W599" s="347"/>
      <c r="X599" s="326"/>
      <c r="Y599" s="348"/>
      <c r="Z599" s="347"/>
      <c r="AA599" s="326"/>
      <c r="AB599" s="348"/>
      <c r="AC599" s="347"/>
      <c r="AD599" s="326"/>
      <c r="AE599" s="348"/>
      <c r="AF599" s="347"/>
      <c r="AG599" s="326"/>
      <c r="AH599" s="348"/>
      <c r="AI599" s="482">
        <v>17603</v>
      </c>
      <c r="AJ599" s="326">
        <v>0</v>
      </c>
      <c r="AK599" s="3917">
        <v>0</v>
      </c>
      <c r="AL599" s="349">
        <f t="shared" si="182"/>
        <v>17603</v>
      </c>
      <c r="AM599" s="2002" t="s">
        <v>909</v>
      </c>
      <c r="AN599" s="3357">
        <v>44384</v>
      </c>
      <c r="AO599" s="695" t="s">
        <v>9011</v>
      </c>
      <c r="AP599" s="3362" t="s">
        <v>9004</v>
      </c>
      <c r="AQ599" s="3555">
        <v>1.0956269999999999</v>
      </c>
      <c r="AR599" s="333"/>
      <c r="AS599" s="330"/>
      <c r="AT599" s="330"/>
      <c r="AU599" s="849"/>
      <c r="AV599" s="849"/>
      <c r="AW599" s="3156">
        <f>ROUND(AL599*AQ599/G599,0)</f>
        <v>18406</v>
      </c>
      <c r="AX599" s="3140"/>
      <c r="BA599" s="267"/>
      <c r="BB599" s="267"/>
      <c r="BC599" s="4117">
        <f t="shared" ref="BC599:BC662" si="184">ROUND($AJ599*$AQ599/$G599,0)</f>
        <v>0</v>
      </c>
      <c r="BD599" s="4117">
        <f t="shared" si="180"/>
        <v>0</v>
      </c>
      <c r="BE599" s="267"/>
    </row>
    <row r="600" spans="1:57" ht="51">
      <c r="A600" s="2418" t="s">
        <v>11022</v>
      </c>
      <c r="B600" s="338" t="s">
        <v>6968</v>
      </c>
      <c r="C600" s="321">
        <v>0</v>
      </c>
      <c r="D600" s="323">
        <v>43864</v>
      </c>
      <c r="E600" s="3058" t="s">
        <v>7151</v>
      </c>
      <c r="F600" s="324" t="s">
        <v>6893</v>
      </c>
      <c r="G600" s="2621">
        <v>1.047839</v>
      </c>
      <c r="H600" s="332" t="s">
        <v>7604</v>
      </c>
      <c r="I600" s="339" t="s">
        <v>1433</v>
      </c>
      <c r="J600" s="322" t="s">
        <v>1434</v>
      </c>
      <c r="K600" s="340">
        <v>46055</v>
      </c>
      <c r="L600" s="339" t="s">
        <v>7600</v>
      </c>
      <c r="M600" s="322" t="s">
        <v>1957</v>
      </c>
      <c r="N600" s="339" t="s">
        <v>7601</v>
      </c>
      <c r="O600" s="332" t="s">
        <v>7602</v>
      </c>
      <c r="P600" s="345"/>
      <c r="Q600" s="322" t="s">
        <v>7603</v>
      </c>
      <c r="R600" s="322" t="s">
        <v>2058</v>
      </c>
      <c r="S600" s="346"/>
      <c r="T600" s="347"/>
      <c r="U600" s="326"/>
      <c r="V600" s="348"/>
      <c r="W600" s="347"/>
      <c r="X600" s="326"/>
      <c r="Y600" s="348"/>
      <c r="Z600" s="347"/>
      <c r="AA600" s="326"/>
      <c r="AB600" s="348"/>
      <c r="AC600" s="347"/>
      <c r="AD600" s="326"/>
      <c r="AE600" s="348"/>
      <c r="AF600" s="347"/>
      <c r="AG600" s="326"/>
      <c r="AH600" s="348"/>
      <c r="AI600" s="482">
        <v>52811</v>
      </c>
      <c r="AJ600" s="326">
        <v>0</v>
      </c>
      <c r="AK600" s="3917">
        <v>0</v>
      </c>
      <c r="AL600" s="349">
        <f t="shared" si="182"/>
        <v>52811</v>
      </c>
      <c r="AM600" s="2002" t="s">
        <v>909</v>
      </c>
      <c r="AN600" s="3357">
        <v>44384</v>
      </c>
      <c r="AO600" s="695" t="s">
        <v>9011</v>
      </c>
      <c r="AP600" s="3362" t="s">
        <v>9004</v>
      </c>
      <c r="AQ600" s="3555">
        <v>1.0956269999999999</v>
      </c>
      <c r="AR600" s="333"/>
      <c r="AS600" s="330"/>
      <c r="AT600" s="330"/>
      <c r="AU600" s="849"/>
      <c r="AV600" s="849"/>
      <c r="AW600" s="3156">
        <f>ROUND(AL600*AQ600/G600,0)</f>
        <v>55220</v>
      </c>
      <c r="AX600" s="3140"/>
      <c r="BA600" s="267"/>
      <c r="BB600" s="267"/>
      <c r="BC600" s="4117">
        <f t="shared" si="184"/>
        <v>0</v>
      </c>
      <c r="BD600" s="4117">
        <f t="shared" si="180"/>
        <v>0</v>
      </c>
      <c r="BE600" s="267"/>
    </row>
    <row r="601" spans="1:57" ht="76.5">
      <c r="A601" s="2418" t="s">
        <v>11022</v>
      </c>
      <c r="B601" s="338" t="s">
        <v>8292</v>
      </c>
      <c r="C601" s="321">
        <v>0</v>
      </c>
      <c r="D601" s="323">
        <v>44372</v>
      </c>
      <c r="E601" s="3058" t="s">
        <v>8170</v>
      </c>
      <c r="F601" s="324" t="s">
        <v>7957</v>
      </c>
      <c r="G601" s="2621">
        <v>1.0795220000000001</v>
      </c>
      <c r="H601" s="332" t="s">
        <v>8971</v>
      </c>
      <c r="I601" s="339" t="s">
        <v>5753</v>
      </c>
      <c r="J601" s="322" t="s">
        <v>2712</v>
      </c>
      <c r="K601" s="340">
        <v>45830</v>
      </c>
      <c r="L601" s="339" t="s">
        <v>8948</v>
      </c>
      <c r="M601" s="322" t="s">
        <v>3046</v>
      </c>
      <c r="N601" s="339" t="s">
        <v>8950</v>
      </c>
      <c r="O601" s="332" t="s">
        <v>8949</v>
      </c>
      <c r="P601" s="345"/>
      <c r="Q601" s="322" t="s">
        <v>4127</v>
      </c>
      <c r="R601" s="322" t="s">
        <v>8778</v>
      </c>
      <c r="S601" s="346"/>
      <c r="T601" s="347"/>
      <c r="U601" s="326"/>
      <c r="V601" s="348"/>
      <c r="W601" s="347"/>
      <c r="X601" s="326"/>
      <c r="Y601" s="348"/>
      <c r="Z601" s="347"/>
      <c r="AA601" s="326"/>
      <c r="AB601" s="348"/>
      <c r="AC601" s="347"/>
      <c r="AD601" s="326"/>
      <c r="AE601" s="348"/>
      <c r="AF601" s="347"/>
      <c r="AG601" s="326"/>
      <c r="AH601" s="348"/>
      <c r="AI601" s="482">
        <v>18136</v>
      </c>
      <c r="AJ601" s="326">
        <v>0</v>
      </c>
      <c r="AK601" s="3917">
        <v>0</v>
      </c>
      <c r="AL601" s="349">
        <f t="shared" si="182"/>
        <v>18136</v>
      </c>
      <c r="AM601" s="2002" t="s">
        <v>1061</v>
      </c>
      <c r="AN601" s="3357">
        <v>44384</v>
      </c>
      <c r="AO601" s="695" t="s">
        <v>9012</v>
      </c>
      <c r="AP601" s="3362" t="s">
        <v>9004</v>
      </c>
      <c r="AQ601" s="3555">
        <v>1.0956269999999999</v>
      </c>
      <c r="AR601" s="333"/>
      <c r="AS601" s="330"/>
      <c r="AT601" s="330"/>
      <c r="AU601" s="330"/>
      <c r="AV601" s="330"/>
      <c r="AW601" s="3156">
        <f>ROUND(AL601*AQ601/G601,0)</f>
        <v>18407</v>
      </c>
      <c r="AX601" s="3140"/>
      <c r="BB601" s="267"/>
      <c r="BC601" s="4117">
        <f t="shared" si="184"/>
        <v>0</v>
      </c>
      <c r="BD601" s="4117">
        <f t="shared" si="180"/>
        <v>0</v>
      </c>
      <c r="BE601" s="267"/>
    </row>
    <row r="602" spans="1:57" ht="76.5">
      <c r="A602" s="2418" t="s">
        <v>11004</v>
      </c>
      <c r="B602" s="338" t="s">
        <v>9013</v>
      </c>
      <c r="C602" s="321">
        <v>0</v>
      </c>
      <c r="D602" s="323">
        <v>43592</v>
      </c>
      <c r="E602" s="3051" t="s">
        <v>6386</v>
      </c>
      <c r="F602" s="324" t="s">
        <v>5757</v>
      </c>
      <c r="G602" s="2621">
        <v>1.0247219999999999</v>
      </c>
      <c r="H602" s="332" t="s">
        <v>6665</v>
      </c>
      <c r="I602" s="339" t="s">
        <v>6667</v>
      </c>
      <c r="J602" s="322" t="s">
        <v>4306</v>
      </c>
      <c r="K602" s="340">
        <v>44323</v>
      </c>
      <c r="L602" s="339" t="s">
        <v>6671</v>
      </c>
      <c r="M602" s="322" t="s">
        <v>6672</v>
      </c>
      <c r="N602" s="339" t="s">
        <v>6673</v>
      </c>
      <c r="O602" s="332" t="s">
        <v>6672</v>
      </c>
      <c r="P602" s="667" t="s">
        <v>7744</v>
      </c>
      <c r="Q602" s="6094" t="s">
        <v>5708</v>
      </c>
      <c r="R602" s="322" t="s">
        <v>5350</v>
      </c>
      <c r="S602" s="346"/>
      <c r="T602" s="347">
        <v>2444</v>
      </c>
      <c r="U602" s="326">
        <v>0</v>
      </c>
      <c r="V602" s="348">
        <f>T602-U602</f>
        <v>2444</v>
      </c>
      <c r="W602" s="347">
        <v>3056</v>
      </c>
      <c r="X602" s="326">
        <v>0</v>
      </c>
      <c r="Y602" s="348">
        <f>W602-X602</f>
        <v>3056</v>
      </c>
      <c r="Z602" s="347">
        <v>611</v>
      </c>
      <c r="AA602" s="326">
        <v>0</v>
      </c>
      <c r="AB602" s="348">
        <f>Z602-AA602</f>
        <v>611</v>
      </c>
      <c r="AC602" s="347"/>
      <c r="AD602" s="326"/>
      <c r="AE602" s="348"/>
      <c r="AF602" s="347"/>
      <c r="AG602" s="326"/>
      <c r="AH602" s="348"/>
      <c r="AI602" s="482">
        <f>T602+W602+Z602+AC602+AF602</f>
        <v>6111</v>
      </c>
      <c r="AJ602" s="326">
        <f>U602+X602+AA602+AD602+AG602</f>
        <v>0</v>
      </c>
      <c r="AK602" s="3917">
        <v>0</v>
      </c>
      <c r="AL602" s="349">
        <f t="shared" si="182"/>
        <v>6111</v>
      </c>
      <c r="AM602" s="1298" t="s">
        <v>9015</v>
      </c>
      <c r="AN602" s="3529">
        <v>44385</v>
      </c>
      <c r="AO602" s="1204" t="s">
        <v>9021</v>
      </c>
      <c r="AP602" s="3222" t="s">
        <v>9014</v>
      </c>
      <c r="AQ602" s="3223">
        <v>1.0795220000000001</v>
      </c>
      <c r="AR602" s="333">
        <v>0</v>
      </c>
      <c r="AS602" s="330">
        <v>0</v>
      </c>
      <c r="AT602" s="330">
        <v>0</v>
      </c>
      <c r="AU602" s="330">
        <v>0</v>
      </c>
      <c r="AV602" s="330">
        <v>0</v>
      </c>
      <c r="AW602" s="3156">
        <v>7223</v>
      </c>
      <c r="AX602" s="3140"/>
      <c r="BA602" s="267"/>
      <c r="BB602" s="267"/>
      <c r="BC602" s="4117">
        <f t="shared" si="184"/>
        <v>0</v>
      </c>
      <c r="BD602" s="4117">
        <f t="shared" si="180"/>
        <v>0</v>
      </c>
      <c r="BE602" s="267"/>
    </row>
    <row r="603" spans="1:57" ht="89.25">
      <c r="A603" s="5964" t="s">
        <v>11021</v>
      </c>
      <c r="B603" s="338" t="s">
        <v>9017</v>
      </c>
      <c r="C603" s="321">
        <v>0</v>
      </c>
      <c r="D603" s="323">
        <v>43228</v>
      </c>
      <c r="E603" s="3051" t="s">
        <v>6385</v>
      </c>
      <c r="F603" s="1203" t="s">
        <v>6558</v>
      </c>
      <c r="G603" s="2669">
        <v>114</v>
      </c>
      <c r="H603" s="332" t="s">
        <v>5486</v>
      </c>
      <c r="I603" s="339" t="s">
        <v>5487</v>
      </c>
      <c r="J603" s="322" t="s">
        <v>4306</v>
      </c>
      <c r="K603" s="340">
        <v>43959</v>
      </c>
      <c r="L603" s="339" t="s">
        <v>5488</v>
      </c>
      <c r="M603" s="322" t="s">
        <v>5489</v>
      </c>
      <c r="N603" s="339" t="s">
        <v>5490</v>
      </c>
      <c r="O603" s="322" t="s">
        <v>5489</v>
      </c>
      <c r="P603" s="345" t="s">
        <v>9020</v>
      </c>
      <c r="Q603" s="6094" t="s">
        <v>5349</v>
      </c>
      <c r="R603" s="322" t="s">
        <v>5350</v>
      </c>
      <c r="S603" s="346"/>
      <c r="T603" s="347">
        <v>473</v>
      </c>
      <c r="U603" s="326">
        <v>0</v>
      </c>
      <c r="V603" s="348">
        <f>T603-U603</f>
        <v>473</v>
      </c>
      <c r="W603" s="347">
        <v>591</v>
      </c>
      <c r="X603" s="326">
        <v>0</v>
      </c>
      <c r="Y603" s="348">
        <f>W603-X603</f>
        <v>591</v>
      </c>
      <c r="Z603" s="347">
        <v>168</v>
      </c>
      <c r="AA603" s="326">
        <v>0</v>
      </c>
      <c r="AB603" s="348">
        <f>Z603-AA603</f>
        <v>168</v>
      </c>
      <c r="AC603" s="347"/>
      <c r="AD603" s="326"/>
      <c r="AE603" s="348"/>
      <c r="AF603" s="347"/>
      <c r="AG603" s="326"/>
      <c r="AH603" s="348"/>
      <c r="AI603" s="482">
        <f>1274+1257</f>
        <v>2531</v>
      </c>
      <c r="AJ603" s="326">
        <f>U603+X603+AA603+AD603+AG603</f>
        <v>0</v>
      </c>
      <c r="AK603" s="3917">
        <v>0</v>
      </c>
      <c r="AL603" s="349">
        <f t="shared" si="182"/>
        <v>2531</v>
      </c>
      <c r="AM603" s="1298" t="s">
        <v>9015</v>
      </c>
      <c r="AN603" s="3529">
        <v>44385</v>
      </c>
      <c r="AO603" s="1204" t="s">
        <v>9021</v>
      </c>
      <c r="AP603" s="3222" t="s">
        <v>9016</v>
      </c>
      <c r="AQ603" s="3223">
        <v>116.3</v>
      </c>
      <c r="AR603" s="333">
        <v>0</v>
      </c>
      <c r="AS603" s="330">
        <v>0</v>
      </c>
      <c r="AT603" s="330">
        <v>0</v>
      </c>
      <c r="AU603" s="330">
        <v>0</v>
      </c>
      <c r="AV603" s="330">
        <v>0</v>
      </c>
      <c r="AW603" s="3156">
        <v>3251</v>
      </c>
      <c r="AX603" s="3140"/>
      <c r="BA603" s="267"/>
      <c r="BB603" s="267"/>
      <c r="BC603" s="4117">
        <f t="shared" si="184"/>
        <v>0</v>
      </c>
      <c r="BD603" s="4117">
        <f t="shared" si="180"/>
        <v>0</v>
      </c>
      <c r="BE603" s="267"/>
    </row>
    <row r="604" spans="1:57" ht="89.25">
      <c r="A604" s="5964" t="s">
        <v>11154</v>
      </c>
      <c r="B604" s="338" t="s">
        <v>9018</v>
      </c>
      <c r="C604" s="321">
        <v>0</v>
      </c>
      <c r="D604" s="323">
        <v>42823</v>
      </c>
      <c r="E604" s="3051" t="s">
        <v>6385</v>
      </c>
      <c r="F604" s="1203" t="s">
        <v>6634</v>
      </c>
      <c r="G604" s="2669">
        <v>114.1</v>
      </c>
      <c r="H604" s="332" t="s">
        <v>4478</v>
      </c>
      <c r="I604" s="339" t="s">
        <v>4479</v>
      </c>
      <c r="J604" s="322" t="s">
        <v>4306</v>
      </c>
      <c r="K604" s="340">
        <v>43553</v>
      </c>
      <c r="L604" s="339" t="s">
        <v>4480</v>
      </c>
      <c r="M604" s="322" t="s">
        <v>4481</v>
      </c>
      <c r="N604" s="339" t="s">
        <v>4482</v>
      </c>
      <c r="O604" s="332" t="s">
        <v>6227</v>
      </c>
      <c r="P604" s="345" t="s">
        <v>7761</v>
      </c>
      <c r="Q604" s="6094" t="s">
        <v>4332</v>
      </c>
      <c r="R604" s="322" t="s">
        <v>1046</v>
      </c>
      <c r="S604" s="346"/>
      <c r="T604" s="347">
        <v>580</v>
      </c>
      <c r="U604" s="326">
        <v>0</v>
      </c>
      <c r="V604" s="348">
        <f>T604-U604</f>
        <v>580</v>
      </c>
      <c r="W604" s="347">
        <v>725</v>
      </c>
      <c r="X604" s="326">
        <v>0</v>
      </c>
      <c r="Y604" s="348">
        <f>W604-X604</f>
        <v>725</v>
      </c>
      <c r="Z604" s="347">
        <v>207</v>
      </c>
      <c r="AA604" s="326">
        <v>0</v>
      </c>
      <c r="AB604" s="348">
        <f>Z604-AA604</f>
        <v>207</v>
      </c>
      <c r="AC604" s="347"/>
      <c r="AD604" s="326"/>
      <c r="AE604" s="348"/>
      <c r="AF604" s="347"/>
      <c r="AG604" s="326"/>
      <c r="AH604" s="348"/>
      <c r="AI604" s="482">
        <f>T604+W604+Z604+AC604+AF604</f>
        <v>1512</v>
      </c>
      <c r="AJ604" s="326">
        <f>U604+X604+AA604+AD604+AG604</f>
        <v>0</v>
      </c>
      <c r="AK604" s="3917">
        <v>0</v>
      </c>
      <c r="AL604" s="349">
        <f>1541+1541</f>
        <v>3082</v>
      </c>
      <c r="AM604" s="1298" t="s">
        <v>9015</v>
      </c>
      <c r="AN604" s="3529">
        <v>44385</v>
      </c>
      <c r="AO604" s="1204" t="s">
        <v>9021</v>
      </c>
      <c r="AP604" s="3222" t="s">
        <v>9019</v>
      </c>
      <c r="AQ604" s="3223">
        <v>116.3</v>
      </c>
      <c r="AR604" s="333">
        <v>0</v>
      </c>
      <c r="AS604" s="330">
        <v>0</v>
      </c>
      <c r="AT604" s="330">
        <v>0</v>
      </c>
      <c r="AU604" s="330">
        <v>0</v>
      </c>
      <c r="AV604" s="330">
        <v>0</v>
      </c>
      <c r="AW604" s="3156">
        <v>3769</v>
      </c>
      <c r="AX604" s="3140"/>
      <c r="BB604" s="267"/>
      <c r="BC604" s="4117">
        <f t="shared" si="184"/>
        <v>0</v>
      </c>
      <c r="BD604" s="4117">
        <f t="shared" si="180"/>
        <v>0</v>
      </c>
      <c r="BE604" s="267"/>
    </row>
    <row r="605" spans="1:57" ht="76.5">
      <c r="A605" s="2418" t="s">
        <v>11168</v>
      </c>
      <c r="B605" s="338" t="s">
        <v>9028</v>
      </c>
      <c r="C605" s="321">
        <v>0</v>
      </c>
      <c r="D605" s="323">
        <v>44242</v>
      </c>
      <c r="E605" s="3058" t="s">
        <v>8170</v>
      </c>
      <c r="F605" s="324" t="s">
        <v>7957</v>
      </c>
      <c r="G605" s="2621">
        <v>1.0795220000000001</v>
      </c>
      <c r="H605" s="332" t="s">
        <v>8547</v>
      </c>
      <c r="I605" s="339" t="s">
        <v>1433</v>
      </c>
      <c r="J605" s="322" t="s">
        <v>1434</v>
      </c>
      <c r="K605" s="340" t="s">
        <v>7886</v>
      </c>
      <c r="L605" s="339" t="s">
        <v>8546</v>
      </c>
      <c r="M605" s="322" t="s">
        <v>8102</v>
      </c>
      <c r="N605" s="339" t="s">
        <v>8549</v>
      </c>
      <c r="O605" s="332" t="s">
        <v>8548</v>
      </c>
      <c r="P605" s="345"/>
      <c r="Q605" s="322" t="s">
        <v>8550</v>
      </c>
      <c r="R605" s="322" t="s">
        <v>8105</v>
      </c>
      <c r="S605" s="346"/>
      <c r="T605" s="347"/>
      <c r="U605" s="326"/>
      <c r="V605" s="348"/>
      <c r="W605" s="347"/>
      <c r="X605" s="326"/>
      <c r="Y605" s="348"/>
      <c r="Z605" s="347"/>
      <c r="AA605" s="326"/>
      <c r="AB605" s="348"/>
      <c r="AC605" s="347"/>
      <c r="AD605" s="326"/>
      <c r="AE605" s="348"/>
      <c r="AF605" s="347"/>
      <c r="AG605" s="326"/>
      <c r="AH605" s="348"/>
      <c r="AI605" s="482">
        <v>4341</v>
      </c>
      <c r="AJ605" s="326">
        <v>0</v>
      </c>
      <c r="AK605" s="3917">
        <v>0</v>
      </c>
      <c r="AL605" s="349">
        <f t="shared" ref="AL605:AL636" si="185">AI605-AJ605-AK605</f>
        <v>4341</v>
      </c>
      <c r="AM605" s="2002" t="s">
        <v>1061</v>
      </c>
      <c r="AN605" s="3357">
        <v>44390</v>
      </c>
      <c r="AO605" s="695" t="s">
        <v>9029</v>
      </c>
      <c r="AP605" s="3362" t="s">
        <v>9004</v>
      </c>
      <c r="AQ605" s="3555">
        <v>1.0956269999999999</v>
      </c>
      <c r="AR605" s="333"/>
      <c r="AS605" s="330"/>
      <c r="AT605" s="330"/>
      <c r="AU605" s="330"/>
      <c r="AV605" s="330"/>
      <c r="AW605" s="3156">
        <f>ROUND(AL605*AQ605/G605,0)</f>
        <v>4406</v>
      </c>
      <c r="AX605" s="3140"/>
      <c r="BA605" s="267"/>
      <c r="BB605" s="267"/>
      <c r="BC605" s="4117">
        <f t="shared" si="184"/>
        <v>0</v>
      </c>
      <c r="BD605" s="4117">
        <f t="shared" si="180"/>
        <v>0</v>
      </c>
      <c r="BE605" s="267"/>
    </row>
    <row r="606" spans="1:57" ht="89.25">
      <c r="A606" s="2418" t="s">
        <v>11004</v>
      </c>
      <c r="B606" s="338" t="s">
        <v>9041</v>
      </c>
      <c r="C606" s="321">
        <v>1</v>
      </c>
      <c r="D606" s="323">
        <v>43425</v>
      </c>
      <c r="E606" s="3051" t="s">
        <v>6386</v>
      </c>
      <c r="F606" s="324" t="s">
        <v>5757</v>
      </c>
      <c r="G606" s="2621">
        <v>1.0247219999999999</v>
      </c>
      <c r="H606" s="332" t="s">
        <v>6027</v>
      </c>
      <c r="I606" s="339" t="s">
        <v>1433</v>
      </c>
      <c r="J606" s="322" t="s">
        <v>1434</v>
      </c>
      <c r="K606" s="340">
        <v>45617</v>
      </c>
      <c r="L606" s="339" t="s">
        <v>6028</v>
      </c>
      <c r="M606" s="322" t="s">
        <v>5165</v>
      </c>
      <c r="N606" s="339" t="s">
        <v>6029</v>
      </c>
      <c r="O606" s="332" t="s">
        <v>6260</v>
      </c>
      <c r="P606" s="345"/>
      <c r="Q606" s="322" t="s">
        <v>6372</v>
      </c>
      <c r="R606" s="322" t="s">
        <v>6030</v>
      </c>
      <c r="S606" s="346"/>
      <c r="T606" s="347">
        <v>14756</v>
      </c>
      <c r="U606" s="326">
        <v>0</v>
      </c>
      <c r="V606" s="348">
        <f>T606-U606</f>
        <v>14756</v>
      </c>
      <c r="W606" s="347">
        <v>18445</v>
      </c>
      <c r="X606" s="326">
        <v>0</v>
      </c>
      <c r="Y606" s="348">
        <f>W606-X606</f>
        <v>18445</v>
      </c>
      <c r="Z606" s="347">
        <v>3689</v>
      </c>
      <c r="AA606" s="326">
        <v>0</v>
      </c>
      <c r="AB606" s="348">
        <f>Z606-AA606</f>
        <v>3689</v>
      </c>
      <c r="AC606" s="347"/>
      <c r="AD606" s="326"/>
      <c r="AE606" s="348"/>
      <c r="AF606" s="347"/>
      <c r="AG606" s="326"/>
      <c r="AH606" s="348"/>
      <c r="AI606" s="482">
        <f>T606+W606+Z606+AC606+AF606</f>
        <v>36890</v>
      </c>
      <c r="AJ606" s="326">
        <f>U606+X606+AA606+AD606+AG606</f>
        <v>0</v>
      </c>
      <c r="AK606" s="3917">
        <v>0</v>
      </c>
      <c r="AL606" s="349">
        <f t="shared" si="185"/>
        <v>36890</v>
      </c>
      <c r="AM606" s="2002" t="s">
        <v>1061</v>
      </c>
      <c r="AN606" s="3357">
        <v>44392</v>
      </c>
      <c r="AO606" s="695" t="s">
        <v>9040</v>
      </c>
      <c r="AP606" s="2722" t="s">
        <v>9004</v>
      </c>
      <c r="AQ606" s="2723">
        <v>1.0956269999999999</v>
      </c>
      <c r="AR606" s="333">
        <v>0</v>
      </c>
      <c r="AS606" s="330">
        <v>0</v>
      </c>
      <c r="AT606" s="330">
        <v>0</v>
      </c>
      <c r="AU606" s="330">
        <v>0</v>
      </c>
      <c r="AV606" s="330">
        <v>0</v>
      </c>
      <c r="AW606" s="3156">
        <f>ROUND(AL606*AQ606/G606,0)</f>
        <v>39443</v>
      </c>
      <c r="AX606" s="3140"/>
      <c r="BB606" s="267"/>
      <c r="BC606" s="4117">
        <f t="shared" si="184"/>
        <v>0</v>
      </c>
      <c r="BD606" s="4117">
        <f t="shared" si="180"/>
        <v>0</v>
      </c>
      <c r="BE606" s="267"/>
    </row>
    <row r="607" spans="1:57" ht="89.25">
      <c r="A607" s="2418" t="s">
        <v>11022</v>
      </c>
      <c r="B607" s="338" t="s">
        <v>11202</v>
      </c>
      <c r="C607" s="321">
        <v>0</v>
      </c>
      <c r="D607" s="323">
        <v>44075</v>
      </c>
      <c r="E607" s="3058" t="s">
        <v>7972</v>
      </c>
      <c r="F607" s="324" t="s">
        <v>7957</v>
      </c>
      <c r="G607" s="2621">
        <v>1.0795220000000001</v>
      </c>
      <c r="H607" s="332" t="s">
        <v>8265</v>
      </c>
      <c r="I607" s="339" t="s">
        <v>8018</v>
      </c>
      <c r="J607" s="2399" t="s">
        <v>4306</v>
      </c>
      <c r="K607" s="340">
        <v>44805</v>
      </c>
      <c r="L607" s="339" t="s">
        <v>8019</v>
      </c>
      <c r="M607" s="322" t="s">
        <v>8020</v>
      </c>
      <c r="N607" s="339" t="s">
        <v>8021</v>
      </c>
      <c r="O607" s="322" t="s">
        <v>8020</v>
      </c>
      <c r="P607" s="345" t="s">
        <v>8008</v>
      </c>
      <c r="Q607" s="6094" t="s">
        <v>5708</v>
      </c>
      <c r="R607" s="322" t="s">
        <v>5350</v>
      </c>
      <c r="S607" s="346"/>
      <c r="T607" s="347"/>
      <c r="U607" s="326"/>
      <c r="V607" s="348"/>
      <c r="W607" s="347"/>
      <c r="X607" s="326"/>
      <c r="Y607" s="348"/>
      <c r="Z607" s="347"/>
      <c r="AA607" s="326"/>
      <c r="AB607" s="348"/>
      <c r="AC607" s="347"/>
      <c r="AD607" s="326"/>
      <c r="AE607" s="348"/>
      <c r="AF607" s="347"/>
      <c r="AG607" s="326"/>
      <c r="AH607" s="348"/>
      <c r="AI607" s="482">
        <v>5485</v>
      </c>
      <c r="AJ607" s="326">
        <v>0</v>
      </c>
      <c r="AK607" s="3917">
        <v>0</v>
      </c>
      <c r="AL607" s="349">
        <f t="shared" si="185"/>
        <v>5485</v>
      </c>
      <c r="AM607" s="2002" t="s">
        <v>1061</v>
      </c>
      <c r="AN607" s="3357">
        <v>44396</v>
      </c>
      <c r="AO607" s="695" t="s">
        <v>9049</v>
      </c>
      <c r="AP607" s="3362" t="s">
        <v>9004</v>
      </c>
      <c r="AQ607" s="3555">
        <v>1.0956269999999999</v>
      </c>
      <c r="AR607" s="333"/>
      <c r="AS607" s="330"/>
      <c r="AT607" s="330"/>
      <c r="AU607" s="330"/>
      <c r="AV607" s="330"/>
      <c r="AW607" s="3156">
        <f>ROUND(AL607*AQ607/G607,0)</f>
        <v>5567</v>
      </c>
      <c r="AX607" s="3140"/>
      <c r="BB607" s="267"/>
      <c r="BC607" s="4117">
        <f t="shared" si="184"/>
        <v>0</v>
      </c>
      <c r="BD607" s="4117">
        <f t="shared" si="180"/>
        <v>0</v>
      </c>
      <c r="BE607" s="267"/>
    </row>
    <row r="608" spans="1:57" ht="117">
      <c r="A608" s="2418" t="s">
        <v>11022</v>
      </c>
      <c r="B608" s="338" t="s">
        <v>11203</v>
      </c>
      <c r="C608" s="321">
        <v>0</v>
      </c>
      <c r="D608" s="323">
        <v>44356</v>
      </c>
      <c r="E608" s="3058" t="s">
        <v>8170</v>
      </c>
      <c r="F608" s="324" t="s">
        <v>7957</v>
      </c>
      <c r="G608" s="2621">
        <v>1.0795220000000001</v>
      </c>
      <c r="H608" s="332" t="s">
        <v>8878</v>
      </c>
      <c r="I608" s="339" t="s">
        <v>8879</v>
      </c>
      <c r="J608" s="2399" t="s">
        <v>4306</v>
      </c>
      <c r="K608" s="340">
        <v>45086</v>
      </c>
      <c r="L608" s="339" t="s">
        <v>8881</v>
      </c>
      <c r="M608" s="322" t="s">
        <v>8883</v>
      </c>
      <c r="N608" s="339" t="s">
        <v>8885</v>
      </c>
      <c r="O608" s="322" t="s">
        <v>8883</v>
      </c>
      <c r="P608" s="345" t="s">
        <v>9053</v>
      </c>
      <c r="Q608" s="6094" t="s">
        <v>5708</v>
      </c>
      <c r="R608" s="322" t="s">
        <v>5350</v>
      </c>
      <c r="S608" s="346"/>
      <c r="T608" s="347"/>
      <c r="U608" s="326"/>
      <c r="V608" s="348"/>
      <c r="W608" s="347"/>
      <c r="X608" s="326"/>
      <c r="Y608" s="348"/>
      <c r="Z608" s="347"/>
      <c r="AA608" s="326"/>
      <c r="AB608" s="348"/>
      <c r="AC608" s="347"/>
      <c r="AD608" s="326"/>
      <c r="AE608" s="348"/>
      <c r="AF608" s="347"/>
      <c r="AG608" s="326"/>
      <c r="AH608" s="348"/>
      <c r="AI608" s="482">
        <v>0</v>
      </c>
      <c r="AJ608" s="326">
        <v>0</v>
      </c>
      <c r="AK608" s="3917">
        <v>0</v>
      </c>
      <c r="AL608" s="349">
        <f t="shared" si="185"/>
        <v>0</v>
      </c>
      <c r="AM608" s="2002" t="s">
        <v>9054</v>
      </c>
      <c r="AN608" s="3357">
        <v>44398</v>
      </c>
      <c r="AO608" s="695" t="s">
        <v>9055</v>
      </c>
      <c r="AP608" s="3696" t="s">
        <v>7957</v>
      </c>
      <c r="AQ608" s="3697">
        <v>1.0795220000000001</v>
      </c>
      <c r="AR608" s="333"/>
      <c r="AS608" s="330"/>
      <c r="AT608" s="330"/>
      <c r="AU608" s="330"/>
      <c r="AV608" s="330"/>
      <c r="AW608" s="3156">
        <v>1800</v>
      </c>
      <c r="AX608" s="3140"/>
      <c r="BB608" s="267"/>
      <c r="BC608" s="4117">
        <f t="shared" si="184"/>
        <v>0</v>
      </c>
      <c r="BD608" s="4117">
        <f t="shared" si="180"/>
        <v>0</v>
      </c>
      <c r="BE608" s="267"/>
    </row>
    <row r="609" spans="1:57" ht="114.75">
      <c r="A609" s="5964" t="s">
        <v>11035</v>
      </c>
      <c r="B609" s="338" t="s">
        <v>9058</v>
      </c>
      <c r="C609" s="695">
        <v>2</v>
      </c>
      <c r="D609" s="323" t="s">
        <v>6863</v>
      </c>
      <c r="E609" s="3051" t="s">
        <v>6385</v>
      </c>
      <c r="F609" s="324" t="s">
        <v>6864</v>
      </c>
      <c r="G609" s="2621">
        <v>1.0247219999999999</v>
      </c>
      <c r="H609" s="332" t="s">
        <v>5709</v>
      </c>
      <c r="I609" s="339" t="s">
        <v>1433</v>
      </c>
      <c r="J609" s="322" t="s">
        <v>1434</v>
      </c>
      <c r="K609" s="340">
        <v>45465</v>
      </c>
      <c r="L609" s="339" t="s">
        <v>7912</v>
      </c>
      <c r="M609" s="322" t="s">
        <v>5702</v>
      </c>
      <c r="N609" s="339" t="s">
        <v>5703</v>
      </c>
      <c r="O609" s="332" t="s">
        <v>6266</v>
      </c>
      <c r="P609" s="345" t="s">
        <v>7178</v>
      </c>
      <c r="Q609" s="322" t="s">
        <v>7913</v>
      </c>
      <c r="R609" s="322" t="s">
        <v>5350</v>
      </c>
      <c r="S609" s="346"/>
      <c r="T609" s="347">
        <v>31341</v>
      </c>
      <c r="U609" s="326">
        <v>0</v>
      </c>
      <c r="V609" s="348">
        <f>T609-U609</f>
        <v>31341</v>
      </c>
      <c r="W609" s="347">
        <v>39176</v>
      </c>
      <c r="X609" s="326">
        <v>0</v>
      </c>
      <c r="Y609" s="348">
        <f>W609-X609</f>
        <v>39176</v>
      </c>
      <c r="Z609" s="347">
        <v>11193</v>
      </c>
      <c r="AA609" s="326">
        <v>0</v>
      </c>
      <c r="AB609" s="348">
        <f>Z609-AA609</f>
        <v>11193</v>
      </c>
      <c r="AC609" s="347"/>
      <c r="AD609" s="326"/>
      <c r="AE609" s="348"/>
      <c r="AF609" s="347"/>
      <c r="AG609" s="326"/>
      <c r="AH609" s="348"/>
      <c r="AI609" s="482">
        <f>T609+W609+Z609+AC609+AF609</f>
        <v>81710</v>
      </c>
      <c r="AJ609" s="326">
        <f>U609+X609+AA609+AD609+AG609</f>
        <v>0</v>
      </c>
      <c r="AK609" s="3917">
        <v>0</v>
      </c>
      <c r="AL609" s="349">
        <f t="shared" si="185"/>
        <v>81710</v>
      </c>
      <c r="AM609" s="2002" t="s">
        <v>1061</v>
      </c>
      <c r="AN609" s="3357">
        <v>44400</v>
      </c>
      <c r="AO609" s="695" t="s">
        <v>9057</v>
      </c>
      <c r="AP609" s="2722" t="s">
        <v>9004</v>
      </c>
      <c r="AQ609" s="2723">
        <v>1.0956269999999999</v>
      </c>
      <c r="AR609" s="333">
        <v>0</v>
      </c>
      <c r="AS609" s="330">
        <v>0</v>
      </c>
      <c r="AT609" s="330">
        <v>0</v>
      </c>
      <c r="AU609" s="330">
        <v>0</v>
      </c>
      <c r="AV609" s="330">
        <v>0</v>
      </c>
      <c r="AW609" s="3156">
        <f>ROUND(AL609*AQ609/G609,0)</f>
        <v>87364</v>
      </c>
      <c r="AX609" s="3140"/>
      <c r="BA609" s="267"/>
      <c r="BB609" s="267"/>
      <c r="BC609" s="4117">
        <f t="shared" si="184"/>
        <v>0</v>
      </c>
      <c r="BD609" s="4117">
        <f t="shared" si="180"/>
        <v>0</v>
      </c>
      <c r="BE609" s="267"/>
    </row>
    <row r="610" spans="1:57" ht="50.1" customHeight="1">
      <c r="A610" s="6064" t="s">
        <v>11004</v>
      </c>
      <c r="B610" s="4086" t="s">
        <v>2957</v>
      </c>
      <c r="C610" s="4302">
        <v>0</v>
      </c>
      <c r="D610" s="4303">
        <v>42584</v>
      </c>
      <c r="E610" s="4303" t="s">
        <v>6387</v>
      </c>
      <c r="F610" s="4304" t="s">
        <v>4932</v>
      </c>
      <c r="G610" s="4305">
        <v>1</v>
      </c>
      <c r="H610" s="4306" t="s">
        <v>3938</v>
      </c>
      <c r="I610" s="3864" t="s">
        <v>1436</v>
      </c>
      <c r="J610" s="4307" t="s">
        <v>1437</v>
      </c>
      <c r="K610" s="4317" t="s">
        <v>8120</v>
      </c>
      <c r="L610" s="3864" t="s">
        <v>3940</v>
      </c>
      <c r="M610" s="4307" t="s">
        <v>3941</v>
      </c>
      <c r="N610" s="3864" t="s">
        <v>3942</v>
      </c>
      <c r="O610" s="4306" t="s">
        <v>6212</v>
      </c>
      <c r="P610" s="3867"/>
      <c r="Q610" s="4307" t="s">
        <v>3883</v>
      </c>
      <c r="R610" s="4307" t="s">
        <v>3884</v>
      </c>
      <c r="S610" s="4308"/>
      <c r="T610" s="3869">
        <v>6720</v>
      </c>
      <c r="U610" s="4309">
        <v>0</v>
      </c>
      <c r="V610" s="4310">
        <f>T610-U610</f>
        <v>6720</v>
      </c>
      <c r="W610" s="3869">
        <v>8400</v>
      </c>
      <c r="X610" s="4309">
        <v>0</v>
      </c>
      <c r="Y610" s="4310">
        <f>W610-X610</f>
        <v>8400</v>
      </c>
      <c r="Z610" s="3869">
        <v>1680</v>
      </c>
      <c r="AA610" s="4309">
        <v>0</v>
      </c>
      <c r="AB610" s="4310">
        <f>Z610-AA610</f>
        <v>1680</v>
      </c>
      <c r="AC610" s="3869"/>
      <c r="AD610" s="4309"/>
      <c r="AE610" s="4310"/>
      <c r="AF610" s="3869"/>
      <c r="AG610" s="4309"/>
      <c r="AH610" s="4310"/>
      <c r="AI610" s="3872">
        <f>T610+W610+Z610+AC610+AF610</f>
        <v>16800</v>
      </c>
      <c r="AJ610" s="4309">
        <f>U610+X610+AA610</f>
        <v>0</v>
      </c>
      <c r="AK610" s="4311">
        <v>0</v>
      </c>
      <c r="AL610" s="4312">
        <f t="shared" si="185"/>
        <v>16800</v>
      </c>
      <c r="AM610" s="3874" t="s">
        <v>1061</v>
      </c>
      <c r="AN610" s="4313">
        <v>44400</v>
      </c>
      <c r="AO610" s="5361" t="s">
        <v>9059</v>
      </c>
      <c r="AP610" s="4318" t="s">
        <v>9004</v>
      </c>
      <c r="AQ610" s="4319">
        <v>1.0956269999999999</v>
      </c>
      <c r="AR610" s="3879">
        <v>0</v>
      </c>
      <c r="AS610" s="4314">
        <v>0</v>
      </c>
      <c r="AT610" s="4314">
        <v>0</v>
      </c>
      <c r="AU610" s="4314">
        <v>0</v>
      </c>
      <c r="AV610" s="4314">
        <v>0</v>
      </c>
      <c r="AW610" s="4315">
        <f>ROUND(AL610*AQ610/G610,0)</f>
        <v>18407</v>
      </c>
      <c r="AX610" s="4316"/>
      <c r="BA610" s="267"/>
      <c r="BB610" s="267"/>
      <c r="BC610" s="4117">
        <f t="shared" si="184"/>
        <v>0</v>
      </c>
      <c r="BD610" s="4117">
        <f t="shared" si="180"/>
        <v>0</v>
      </c>
      <c r="BE610" s="267"/>
    </row>
    <row r="611" spans="1:57" ht="114.75">
      <c r="A611" s="2418" t="s">
        <v>11004</v>
      </c>
      <c r="B611" s="2419" t="s">
        <v>11206</v>
      </c>
      <c r="C611" s="321">
        <v>0</v>
      </c>
      <c r="D611" s="5357" t="s">
        <v>11205</v>
      </c>
      <c r="E611" s="3051" t="s">
        <v>6386</v>
      </c>
      <c r="F611" s="324" t="s">
        <v>11204</v>
      </c>
      <c r="G611" s="3207">
        <v>1.047839</v>
      </c>
      <c r="H611" s="332" t="s">
        <v>7038</v>
      </c>
      <c r="I611" s="339" t="s">
        <v>6039</v>
      </c>
      <c r="J611" s="322" t="s">
        <v>4306</v>
      </c>
      <c r="K611" s="340">
        <v>44161</v>
      </c>
      <c r="L611" s="339" t="s">
        <v>6040</v>
      </c>
      <c r="M611" s="322" t="s">
        <v>6041</v>
      </c>
      <c r="N611" s="339" t="s">
        <v>6042</v>
      </c>
      <c r="O611" s="332" t="s">
        <v>6257</v>
      </c>
      <c r="P611" s="345" t="s">
        <v>7746</v>
      </c>
      <c r="Q611" s="6094" t="s">
        <v>5708</v>
      </c>
      <c r="R611" s="322" t="s">
        <v>5350</v>
      </c>
      <c r="S611" s="346"/>
      <c r="T611" s="347">
        <v>2444</v>
      </c>
      <c r="U611" s="326">
        <v>0</v>
      </c>
      <c r="V611" s="348">
        <f>T611-U611</f>
        <v>2444</v>
      </c>
      <c r="W611" s="347">
        <v>3056</v>
      </c>
      <c r="X611" s="326">
        <v>0</v>
      </c>
      <c r="Y611" s="348">
        <f>W611-X611</f>
        <v>3056</v>
      </c>
      <c r="Z611" s="347">
        <v>611</v>
      </c>
      <c r="AA611" s="326">
        <v>0</v>
      </c>
      <c r="AB611" s="348">
        <f>Z611-AA611</f>
        <v>611</v>
      </c>
      <c r="AC611" s="347"/>
      <c r="AD611" s="326"/>
      <c r="AE611" s="348"/>
      <c r="AF611" s="347"/>
      <c r="AG611" s="326"/>
      <c r="AH611" s="348"/>
      <c r="AI611" s="482">
        <v>0</v>
      </c>
      <c r="AJ611" s="326">
        <f>U611+X611+AA611+AD611+AG611</f>
        <v>0</v>
      </c>
      <c r="AK611" s="3917">
        <v>0</v>
      </c>
      <c r="AL611" s="349">
        <f t="shared" si="185"/>
        <v>0</v>
      </c>
      <c r="AM611" s="5358" t="s">
        <v>4488</v>
      </c>
      <c r="AN611" s="3357">
        <v>44406</v>
      </c>
      <c r="AO611" s="695" t="s">
        <v>9066</v>
      </c>
      <c r="AP611" s="3222" t="s">
        <v>6894</v>
      </c>
      <c r="AQ611" s="3223">
        <v>1.047839</v>
      </c>
      <c r="AR611" s="333">
        <v>0</v>
      </c>
      <c r="AS611" s="330">
        <v>0</v>
      </c>
      <c r="AT611" s="330">
        <v>0</v>
      </c>
      <c r="AU611" s="330">
        <v>0</v>
      </c>
      <c r="AV611" s="330">
        <v>0</v>
      </c>
      <c r="AW611" s="3156">
        <v>500</v>
      </c>
      <c r="AX611" s="3140"/>
      <c r="BA611" s="267"/>
      <c r="BB611" s="267"/>
      <c r="BC611" s="4117">
        <f t="shared" si="184"/>
        <v>0</v>
      </c>
      <c r="BD611" s="4117">
        <f t="shared" si="180"/>
        <v>0</v>
      </c>
      <c r="BE611" s="267"/>
    </row>
    <row r="612" spans="1:57" ht="77.25" thickBot="1">
      <c r="A612" s="6065" t="s">
        <v>11022</v>
      </c>
      <c r="B612" s="5084" t="s">
        <v>8293</v>
      </c>
      <c r="C612" s="5365">
        <v>0</v>
      </c>
      <c r="D612" s="5366">
        <v>44396</v>
      </c>
      <c r="E612" s="5367" t="s">
        <v>8170</v>
      </c>
      <c r="F612" s="3793" t="s">
        <v>9005</v>
      </c>
      <c r="G612" s="5368">
        <v>1.0956269999999999</v>
      </c>
      <c r="H612" s="5369" t="s">
        <v>9048</v>
      </c>
      <c r="I612" s="5090" t="s">
        <v>9042</v>
      </c>
      <c r="J612" s="5370" t="s">
        <v>4306</v>
      </c>
      <c r="K612" s="5371">
        <v>44389</v>
      </c>
      <c r="L612" s="5090" t="s">
        <v>9043</v>
      </c>
      <c r="M612" s="5370" t="s">
        <v>9044</v>
      </c>
      <c r="N612" s="5090" t="s">
        <v>9046</v>
      </c>
      <c r="O612" s="5369" t="s">
        <v>9045</v>
      </c>
      <c r="P612" s="5372"/>
      <c r="Q612" s="6113" t="s">
        <v>8556</v>
      </c>
      <c r="R612" s="5370" t="s">
        <v>5350</v>
      </c>
      <c r="S612" s="5373"/>
      <c r="T612" s="5095"/>
      <c r="U612" s="5374"/>
      <c r="V612" s="5375"/>
      <c r="W612" s="5095"/>
      <c r="X612" s="5374"/>
      <c r="Y612" s="5375"/>
      <c r="Z612" s="5095"/>
      <c r="AA612" s="5374"/>
      <c r="AB612" s="5375"/>
      <c r="AC612" s="5376"/>
      <c r="AD612" s="5377"/>
      <c r="AE612" s="5378"/>
      <c r="AF612" s="5376"/>
      <c r="AG612" s="5377"/>
      <c r="AH612" s="5378"/>
      <c r="AI612" s="5098">
        <v>5566</v>
      </c>
      <c r="AJ612" s="5374">
        <v>0</v>
      </c>
      <c r="AK612" s="5379">
        <v>0</v>
      </c>
      <c r="AL612" s="5380">
        <f t="shared" si="185"/>
        <v>5566</v>
      </c>
      <c r="AM612" s="5209" t="s">
        <v>1061</v>
      </c>
      <c r="AN612" s="5381">
        <v>44406</v>
      </c>
      <c r="AO612" s="5382" t="s">
        <v>9062</v>
      </c>
      <c r="AP612" s="3387" t="s">
        <v>9004</v>
      </c>
      <c r="AQ612" s="4753">
        <v>1.0956269999999999</v>
      </c>
      <c r="AR612" s="5106"/>
      <c r="AS612" s="5383"/>
      <c r="AT612" s="5383"/>
      <c r="AU612" s="5384"/>
      <c r="AV612" s="5384"/>
      <c r="AW612" s="5385">
        <f>ROUND(AL612*AQ612/G612,0)</f>
        <v>5566</v>
      </c>
      <c r="AX612" s="5386"/>
      <c r="AY612" s="4031" t="s">
        <v>9003</v>
      </c>
      <c r="AZ612" s="3857">
        <f>SUM(AW593:AW612)</f>
        <v>300448</v>
      </c>
      <c r="BA612" s="4028">
        <f>AZ612</f>
        <v>300448</v>
      </c>
      <c r="BB612" s="267"/>
      <c r="BC612" s="4117">
        <f t="shared" si="184"/>
        <v>0</v>
      </c>
      <c r="BD612" s="4117">
        <f t="shared" si="180"/>
        <v>0</v>
      </c>
      <c r="BE612" s="267"/>
    </row>
    <row r="613" spans="1:57" ht="102">
      <c r="A613" s="5981" t="s">
        <v>11004</v>
      </c>
      <c r="B613" s="1538" t="s">
        <v>7694</v>
      </c>
      <c r="C613" s="3402">
        <v>3</v>
      </c>
      <c r="D613" s="1510" t="s">
        <v>6475</v>
      </c>
      <c r="E613" s="3053" t="s">
        <v>6396</v>
      </c>
      <c r="F613" s="1511" t="s">
        <v>7693</v>
      </c>
      <c r="G613" s="5259">
        <v>1.0247219999999999</v>
      </c>
      <c r="H613" s="1513" t="s">
        <v>6477</v>
      </c>
      <c r="I613" s="1514" t="s">
        <v>1433</v>
      </c>
      <c r="J613" s="1515" t="s">
        <v>1434</v>
      </c>
      <c r="K613" s="5139">
        <v>44607</v>
      </c>
      <c r="L613" s="1514" t="s">
        <v>1119</v>
      </c>
      <c r="M613" s="1515" t="s">
        <v>3301</v>
      </c>
      <c r="N613" s="1514" t="s">
        <v>4057</v>
      </c>
      <c r="O613" s="1513" t="s">
        <v>5302</v>
      </c>
      <c r="P613" s="1517" t="s">
        <v>5303</v>
      </c>
      <c r="Q613" s="1515" t="s">
        <v>6479</v>
      </c>
      <c r="R613" s="1515" t="s">
        <v>5305</v>
      </c>
      <c r="S613" s="1518"/>
      <c r="T613" s="1519">
        <v>188877</v>
      </c>
      <c r="U613" s="1504">
        <v>0</v>
      </c>
      <c r="V613" s="1520">
        <f>T613-U613</f>
        <v>188877</v>
      </c>
      <c r="W613" s="1519">
        <v>236096</v>
      </c>
      <c r="X613" s="1504">
        <v>0</v>
      </c>
      <c r="Y613" s="1520">
        <f>W613-X613</f>
        <v>236096</v>
      </c>
      <c r="Z613" s="1519">
        <v>47219</v>
      </c>
      <c r="AA613" s="1504">
        <v>0</v>
      </c>
      <c r="AB613" s="1520">
        <f>Z613-AA613</f>
        <v>47219</v>
      </c>
      <c r="AC613" s="1519"/>
      <c r="AD613" s="1504"/>
      <c r="AE613" s="1520"/>
      <c r="AF613" s="1519"/>
      <c r="AG613" s="1504"/>
      <c r="AH613" s="1520"/>
      <c r="AI613" s="1503">
        <f>T613+W613+Z613+AC613+AF613</f>
        <v>472192</v>
      </c>
      <c r="AJ613" s="1504">
        <f>U613+X613+AA613+AD613+AG613</f>
        <v>0</v>
      </c>
      <c r="AK613" s="3919">
        <v>0</v>
      </c>
      <c r="AL613" s="1505">
        <f t="shared" si="185"/>
        <v>472192</v>
      </c>
      <c r="AM613" s="1508" t="s">
        <v>1061</v>
      </c>
      <c r="AN613" s="3401">
        <v>44411</v>
      </c>
      <c r="AO613" s="3402" t="s">
        <v>9072</v>
      </c>
      <c r="AP613" s="2664" t="s">
        <v>9004</v>
      </c>
      <c r="AQ613" s="2806">
        <v>1.0956269999999999</v>
      </c>
      <c r="AR613" s="1506">
        <v>0</v>
      </c>
      <c r="AS613" s="1507">
        <v>0</v>
      </c>
      <c r="AT613" s="1507">
        <v>0</v>
      </c>
      <c r="AU613" s="1507">
        <v>0</v>
      </c>
      <c r="AV613" s="1507">
        <v>0</v>
      </c>
      <c r="AW613" s="3247">
        <f>ROUND(AL613*AQ613/G613,0)</f>
        <v>504865</v>
      </c>
      <c r="AX613" s="3146"/>
      <c r="BB613" s="267"/>
      <c r="BC613" s="4117">
        <f t="shared" si="184"/>
        <v>0</v>
      </c>
      <c r="BD613" s="4117">
        <f t="shared" si="180"/>
        <v>0</v>
      </c>
      <c r="BE613" s="267"/>
    </row>
    <row r="614" spans="1:57" ht="89.25">
      <c r="A614" s="5981" t="s">
        <v>11003</v>
      </c>
      <c r="B614" s="1538" t="s">
        <v>11256</v>
      </c>
      <c r="C614" s="1509">
        <v>0</v>
      </c>
      <c r="D614" s="1510">
        <v>44078</v>
      </c>
      <c r="E614" s="4344" t="s">
        <v>7972</v>
      </c>
      <c r="F614" s="1511" t="s">
        <v>7957</v>
      </c>
      <c r="G614" s="2663">
        <v>1.0795220000000001</v>
      </c>
      <c r="H614" s="1513" t="s">
        <v>8037</v>
      </c>
      <c r="I614" s="1514" t="s">
        <v>1433</v>
      </c>
      <c r="J614" s="1515" t="s">
        <v>1434</v>
      </c>
      <c r="K614" s="1516">
        <v>46233</v>
      </c>
      <c r="L614" s="1514" t="s">
        <v>8031</v>
      </c>
      <c r="M614" s="1515" t="s">
        <v>8032</v>
      </c>
      <c r="N614" s="1514" t="s">
        <v>8034</v>
      </c>
      <c r="O614" s="1513" t="s">
        <v>8035</v>
      </c>
      <c r="P614" s="2215" t="s">
        <v>9082</v>
      </c>
      <c r="Q614" s="6094" t="s">
        <v>5708</v>
      </c>
      <c r="R614" s="1515" t="s">
        <v>5350</v>
      </c>
      <c r="S614" s="1518"/>
      <c r="T614" s="1519"/>
      <c r="U614" s="1504"/>
      <c r="V614" s="1520"/>
      <c r="W614" s="1519"/>
      <c r="X614" s="1504"/>
      <c r="Y614" s="1520"/>
      <c r="Z614" s="1519"/>
      <c r="AA614" s="1504"/>
      <c r="AB614" s="1520"/>
      <c r="AC614" s="1519"/>
      <c r="AD614" s="1504"/>
      <c r="AE614" s="1520"/>
      <c r="AF614" s="1519"/>
      <c r="AG614" s="1504"/>
      <c r="AH614" s="1520"/>
      <c r="AI614" s="1503">
        <v>0</v>
      </c>
      <c r="AJ614" s="1504">
        <v>0</v>
      </c>
      <c r="AK614" s="3919">
        <v>0</v>
      </c>
      <c r="AL614" s="1505">
        <f t="shared" si="185"/>
        <v>0</v>
      </c>
      <c r="AM614" s="1508" t="s">
        <v>9099</v>
      </c>
      <c r="AN614" s="3401">
        <v>44425</v>
      </c>
      <c r="AO614" s="3402" t="s">
        <v>9100</v>
      </c>
      <c r="AP614" s="3539" t="s">
        <v>9004</v>
      </c>
      <c r="AQ614" s="4189">
        <v>1.0956269999999999</v>
      </c>
      <c r="AR614" s="1506"/>
      <c r="AS614" s="1507"/>
      <c r="AT614" s="1507"/>
      <c r="AU614" s="1507"/>
      <c r="AV614" s="1507"/>
      <c r="AW614" s="3247">
        <v>1462</v>
      </c>
      <c r="AX614" s="3146"/>
      <c r="BA614" s="267"/>
      <c r="BB614" s="267"/>
      <c r="BC614" s="4117">
        <f t="shared" si="184"/>
        <v>0</v>
      </c>
      <c r="BD614" s="4117">
        <f t="shared" si="180"/>
        <v>0</v>
      </c>
      <c r="BE614" s="267"/>
    </row>
    <row r="615" spans="1:57" ht="89.25">
      <c r="A615" s="5981" t="s">
        <v>11003</v>
      </c>
      <c r="B615" s="1538" t="s">
        <v>8295</v>
      </c>
      <c r="C615" s="1509">
        <v>0</v>
      </c>
      <c r="D615" s="1510">
        <v>44420</v>
      </c>
      <c r="E615" s="4344" t="s">
        <v>8170</v>
      </c>
      <c r="F615" s="2497" t="s">
        <v>9005</v>
      </c>
      <c r="G615" s="5387">
        <v>1.0956269999999999</v>
      </c>
      <c r="H615" s="1513" t="s">
        <v>9103</v>
      </c>
      <c r="I615" s="1514" t="s">
        <v>9093</v>
      </c>
      <c r="J615" s="4345" t="s">
        <v>4306</v>
      </c>
      <c r="K615" s="1516">
        <v>45150</v>
      </c>
      <c r="L615" s="1514" t="s">
        <v>9094</v>
      </c>
      <c r="M615" s="1515" t="s">
        <v>9095</v>
      </c>
      <c r="N615" s="1514" t="s">
        <v>9096</v>
      </c>
      <c r="O615" s="1513" t="s">
        <v>9097</v>
      </c>
      <c r="P615" s="1517"/>
      <c r="Q615" s="6094" t="s">
        <v>9047</v>
      </c>
      <c r="R615" s="1515" t="s">
        <v>5350</v>
      </c>
      <c r="S615" s="1518"/>
      <c r="T615" s="1519"/>
      <c r="U615" s="1504"/>
      <c r="V615" s="1520"/>
      <c r="W615" s="1519"/>
      <c r="X615" s="1504"/>
      <c r="Y615" s="1520"/>
      <c r="Z615" s="1519"/>
      <c r="AA615" s="1504"/>
      <c r="AB615" s="1520"/>
      <c r="AC615" s="1519"/>
      <c r="AD615" s="1504"/>
      <c r="AE615" s="1520"/>
      <c r="AF615" s="1519"/>
      <c r="AG615" s="1504"/>
      <c r="AH615" s="1520"/>
      <c r="AI615" s="1503">
        <v>6533</v>
      </c>
      <c r="AJ615" s="1504">
        <v>0</v>
      </c>
      <c r="AK615" s="3919">
        <v>0</v>
      </c>
      <c r="AL615" s="1505">
        <f t="shared" si="185"/>
        <v>6533</v>
      </c>
      <c r="AM615" s="1508" t="s">
        <v>1061</v>
      </c>
      <c r="AN615" s="3401">
        <v>44431</v>
      </c>
      <c r="AO615" s="3402" t="s">
        <v>9132</v>
      </c>
      <c r="AP615" s="2905" t="s">
        <v>9004</v>
      </c>
      <c r="AQ615" s="2906">
        <v>1.0956269999999999</v>
      </c>
      <c r="AR615" s="1506"/>
      <c r="AS615" s="1507"/>
      <c r="AT615" s="1507"/>
      <c r="AU615" s="1507"/>
      <c r="AV615" s="1507"/>
      <c r="AW615" s="3247">
        <f t="shared" ref="AW615:AW620" si="186">ROUND(AL615*AQ615/G615,0)</f>
        <v>6533</v>
      </c>
      <c r="AX615" s="3146"/>
      <c r="BA615" s="267"/>
      <c r="BB615" s="267"/>
      <c r="BC615" s="4117">
        <f t="shared" si="184"/>
        <v>0</v>
      </c>
      <c r="BD615" s="4117">
        <f t="shared" si="180"/>
        <v>0</v>
      </c>
      <c r="BE615" s="267"/>
    </row>
    <row r="616" spans="1:57" ht="51">
      <c r="A616" s="6066" t="s">
        <v>11003</v>
      </c>
      <c r="B616" s="5404" t="s">
        <v>9185</v>
      </c>
      <c r="C616" s="5405">
        <v>1</v>
      </c>
      <c r="D616" s="5406" t="s">
        <v>8254</v>
      </c>
      <c r="E616" s="5407" t="s">
        <v>8255</v>
      </c>
      <c r="F616" s="5408" t="s">
        <v>8256</v>
      </c>
      <c r="G616" s="5409">
        <v>1.0795220000000001</v>
      </c>
      <c r="H616" s="5410" t="s">
        <v>8257</v>
      </c>
      <c r="I616" s="5411" t="s">
        <v>1433</v>
      </c>
      <c r="J616" s="5412" t="s">
        <v>1434</v>
      </c>
      <c r="K616" s="5413">
        <v>45883</v>
      </c>
      <c r="L616" s="5411" t="s">
        <v>7034</v>
      </c>
      <c r="M616" s="5412" t="s">
        <v>6628</v>
      </c>
      <c r="N616" s="5411" t="s">
        <v>7035</v>
      </c>
      <c r="O616" s="5410" t="s">
        <v>7036</v>
      </c>
      <c r="P616" s="5414"/>
      <c r="Q616" s="5412" t="s">
        <v>8258</v>
      </c>
      <c r="R616" s="5412" t="s">
        <v>3892</v>
      </c>
      <c r="S616" s="5415"/>
      <c r="T616" s="5416"/>
      <c r="U616" s="5417"/>
      <c r="V616" s="5418"/>
      <c r="W616" s="5416"/>
      <c r="X616" s="5417"/>
      <c r="Y616" s="5418"/>
      <c r="Z616" s="5416"/>
      <c r="AA616" s="5417"/>
      <c r="AB616" s="5418"/>
      <c r="AC616" s="5416"/>
      <c r="AD616" s="5417"/>
      <c r="AE616" s="5418"/>
      <c r="AF616" s="5416"/>
      <c r="AG616" s="5417"/>
      <c r="AH616" s="5418"/>
      <c r="AI616" s="5419">
        <v>42500</v>
      </c>
      <c r="AJ616" s="5417">
        <v>0</v>
      </c>
      <c r="AK616" s="5420">
        <v>0</v>
      </c>
      <c r="AL616" s="5421">
        <f t="shared" si="185"/>
        <v>42500</v>
      </c>
      <c r="AM616" s="5422" t="s">
        <v>1061</v>
      </c>
      <c r="AN616" s="5423">
        <v>44438</v>
      </c>
      <c r="AO616" s="5424" t="s">
        <v>9186</v>
      </c>
      <c r="AP616" s="3544" t="s">
        <v>9004</v>
      </c>
      <c r="AQ616" s="5425">
        <v>1.0956269999999999</v>
      </c>
      <c r="AR616" s="5426"/>
      <c r="AS616" s="5427"/>
      <c r="AT616" s="5427"/>
      <c r="AU616" s="5427"/>
      <c r="AV616" s="5427"/>
      <c r="AW616" s="5428">
        <f t="shared" si="186"/>
        <v>43134</v>
      </c>
      <c r="AX616" s="5429"/>
      <c r="BA616" s="267"/>
      <c r="BB616" s="267"/>
      <c r="BC616" s="4117">
        <f t="shared" si="184"/>
        <v>0</v>
      </c>
      <c r="BD616" s="4117">
        <f t="shared" si="180"/>
        <v>0</v>
      </c>
      <c r="BE616" s="267"/>
    </row>
    <row r="617" spans="1:57" ht="90" thickBot="1">
      <c r="A617" s="6067" t="s">
        <v>11003</v>
      </c>
      <c r="B617" s="5145" t="s">
        <v>9187</v>
      </c>
      <c r="C617" s="5389">
        <v>0</v>
      </c>
      <c r="D617" s="5390">
        <v>44420</v>
      </c>
      <c r="E617" s="5430" t="s">
        <v>8170</v>
      </c>
      <c r="F617" s="5431" t="s">
        <v>9005</v>
      </c>
      <c r="G617" s="5432">
        <v>1.0956269999999999</v>
      </c>
      <c r="H617" s="5391" t="s">
        <v>9105</v>
      </c>
      <c r="I617" s="5152" t="s">
        <v>9083</v>
      </c>
      <c r="J617" s="5392" t="s">
        <v>4306</v>
      </c>
      <c r="K617" s="5393">
        <v>45150</v>
      </c>
      <c r="L617" s="5152" t="s">
        <v>9084</v>
      </c>
      <c r="M617" s="5392" t="s">
        <v>8711</v>
      </c>
      <c r="N617" s="5152" t="s">
        <v>9089</v>
      </c>
      <c r="O617" s="5391" t="s">
        <v>9085</v>
      </c>
      <c r="P617" s="5156"/>
      <c r="Q617" s="6113" t="s">
        <v>9047</v>
      </c>
      <c r="R617" s="5392" t="s">
        <v>5350</v>
      </c>
      <c r="S617" s="5394"/>
      <c r="T617" s="5158"/>
      <c r="U617" s="5395"/>
      <c r="V617" s="5396"/>
      <c r="W617" s="5158"/>
      <c r="X617" s="5395"/>
      <c r="Y617" s="5396"/>
      <c r="Z617" s="5158"/>
      <c r="AA617" s="5395"/>
      <c r="AB617" s="5396"/>
      <c r="AC617" s="5158"/>
      <c r="AD617" s="5395"/>
      <c r="AE617" s="5396"/>
      <c r="AF617" s="5158"/>
      <c r="AG617" s="5395"/>
      <c r="AH617" s="5396"/>
      <c r="AI617" s="5161">
        <v>6533</v>
      </c>
      <c r="AJ617" s="5395">
        <v>0</v>
      </c>
      <c r="AK617" s="5397">
        <v>0</v>
      </c>
      <c r="AL617" s="5398">
        <f t="shared" si="185"/>
        <v>6533</v>
      </c>
      <c r="AM617" s="5164" t="s">
        <v>909</v>
      </c>
      <c r="AN617" s="5399" t="s">
        <v>9189</v>
      </c>
      <c r="AO617" s="5400" t="s">
        <v>9188</v>
      </c>
      <c r="AP617" s="5433" t="s">
        <v>9004</v>
      </c>
      <c r="AQ617" s="5434">
        <v>1.0956269999999999</v>
      </c>
      <c r="AR617" s="5167"/>
      <c r="AS617" s="5401"/>
      <c r="AT617" s="5401"/>
      <c r="AU617" s="5401"/>
      <c r="AV617" s="5401"/>
      <c r="AW617" s="5402">
        <f t="shared" si="186"/>
        <v>6533</v>
      </c>
      <c r="AX617" s="5403"/>
      <c r="AY617" s="4029" t="s">
        <v>9184</v>
      </c>
      <c r="AZ617" s="3888">
        <f>SUM(AW613:AW617)</f>
        <v>562527</v>
      </c>
      <c r="BA617" s="4028">
        <f>AZ617</f>
        <v>562527</v>
      </c>
      <c r="BB617" s="267"/>
      <c r="BC617" s="4117">
        <f t="shared" si="184"/>
        <v>0</v>
      </c>
      <c r="BD617" s="4117">
        <f t="shared" si="180"/>
        <v>0</v>
      </c>
      <c r="BE617" s="267"/>
    </row>
    <row r="618" spans="1:57" ht="76.5">
      <c r="A618" s="2418" t="s">
        <v>11004</v>
      </c>
      <c r="B618" s="338" t="s">
        <v>9197</v>
      </c>
      <c r="C618" s="321">
        <v>0</v>
      </c>
      <c r="D618" s="323">
        <v>43787</v>
      </c>
      <c r="E618" s="3058" t="s">
        <v>7151</v>
      </c>
      <c r="F618" s="324" t="s">
        <v>6893</v>
      </c>
      <c r="G618" s="2621">
        <v>1.047839</v>
      </c>
      <c r="H618" s="332" t="s">
        <v>7357</v>
      </c>
      <c r="I618" s="2398" t="s">
        <v>7358</v>
      </c>
      <c r="J618" s="2399" t="s">
        <v>4306</v>
      </c>
      <c r="K618" s="340">
        <v>44518</v>
      </c>
      <c r="L618" s="339" t="s">
        <v>4829</v>
      </c>
      <c r="M618" s="322" t="s">
        <v>7359</v>
      </c>
      <c r="N618" s="339" t="s">
        <v>7360</v>
      </c>
      <c r="O618" s="332" t="s">
        <v>7361</v>
      </c>
      <c r="P618" s="345"/>
      <c r="Q618" s="6094" t="s">
        <v>5708</v>
      </c>
      <c r="R618" s="322" t="s">
        <v>5350</v>
      </c>
      <c r="S618" s="346"/>
      <c r="T618" s="347"/>
      <c r="U618" s="326"/>
      <c r="V618" s="348"/>
      <c r="W618" s="347"/>
      <c r="X618" s="326"/>
      <c r="Y618" s="348"/>
      <c r="Z618" s="347"/>
      <c r="AA618" s="326"/>
      <c r="AB618" s="348"/>
      <c r="AC618" s="347"/>
      <c r="AD618" s="326"/>
      <c r="AE618" s="348"/>
      <c r="AF618" s="347"/>
      <c r="AG618" s="326"/>
      <c r="AH618" s="348"/>
      <c r="AI618" s="482">
        <v>6249</v>
      </c>
      <c r="AJ618" s="326">
        <v>0</v>
      </c>
      <c r="AK618" s="3917">
        <v>0</v>
      </c>
      <c r="AL618" s="349">
        <f t="shared" si="185"/>
        <v>6249</v>
      </c>
      <c r="AM618" s="2002" t="s">
        <v>1061</v>
      </c>
      <c r="AN618" s="3357">
        <v>44446</v>
      </c>
      <c r="AO618" s="695" t="s">
        <v>9194</v>
      </c>
      <c r="AP618" s="3362" t="s">
        <v>9004</v>
      </c>
      <c r="AQ618" s="3555">
        <v>1.0956269999999999</v>
      </c>
      <c r="AR618" s="333"/>
      <c r="AS618" s="330"/>
      <c r="AT618" s="330"/>
      <c r="AU618" s="330"/>
      <c r="AV618" s="330"/>
      <c r="AW618" s="3156">
        <f t="shared" si="186"/>
        <v>6534</v>
      </c>
      <c r="AX618" s="3140"/>
      <c r="BB618" s="267"/>
      <c r="BC618" s="4117">
        <f t="shared" si="184"/>
        <v>0</v>
      </c>
      <c r="BD618" s="4117">
        <f t="shared" si="180"/>
        <v>0</v>
      </c>
      <c r="BE618" s="267"/>
    </row>
    <row r="619" spans="1:57" ht="76.5">
      <c r="A619" s="2418" t="s">
        <v>11003</v>
      </c>
      <c r="B619" s="338" t="s">
        <v>9198</v>
      </c>
      <c r="C619" s="321">
        <v>0</v>
      </c>
      <c r="D619" s="323">
        <v>43958</v>
      </c>
      <c r="E619" s="3058" t="s">
        <v>7151</v>
      </c>
      <c r="F619" s="324" t="s">
        <v>6893</v>
      </c>
      <c r="G619" s="2621">
        <v>1.047839</v>
      </c>
      <c r="H619" s="332" t="s">
        <v>7849</v>
      </c>
      <c r="I619" s="339" t="s">
        <v>1433</v>
      </c>
      <c r="J619" s="322" t="s">
        <v>1434</v>
      </c>
      <c r="K619" s="340">
        <v>46148</v>
      </c>
      <c r="L619" s="339" t="s">
        <v>7850</v>
      </c>
      <c r="M619" s="322" t="s">
        <v>1957</v>
      </c>
      <c r="N619" s="339" t="s">
        <v>7852</v>
      </c>
      <c r="O619" s="332" t="s">
        <v>7851</v>
      </c>
      <c r="P619" s="345"/>
      <c r="Q619" s="322" t="s">
        <v>7853</v>
      </c>
      <c r="R619" s="322" t="s">
        <v>7854</v>
      </c>
      <c r="S619" s="346"/>
      <c r="T619" s="347"/>
      <c r="U619" s="326"/>
      <c r="V619" s="348"/>
      <c r="W619" s="347"/>
      <c r="X619" s="326"/>
      <c r="Y619" s="348"/>
      <c r="Z619" s="347"/>
      <c r="AA619" s="326"/>
      <c r="AB619" s="348"/>
      <c r="AC619" s="347"/>
      <c r="AD619" s="326"/>
      <c r="AE619" s="348"/>
      <c r="AF619" s="347"/>
      <c r="AG619" s="326"/>
      <c r="AH619" s="348"/>
      <c r="AI619" s="482">
        <v>868</v>
      </c>
      <c r="AJ619" s="326">
        <v>0</v>
      </c>
      <c r="AK619" s="3917">
        <v>0</v>
      </c>
      <c r="AL619" s="349">
        <f t="shared" si="185"/>
        <v>868</v>
      </c>
      <c r="AM619" s="2002" t="s">
        <v>1061</v>
      </c>
      <c r="AN619" s="3357">
        <v>44447</v>
      </c>
      <c r="AO619" s="695" t="s">
        <v>9215</v>
      </c>
      <c r="AP619" s="3362" t="s">
        <v>9004</v>
      </c>
      <c r="AQ619" s="3555">
        <v>1.0956269999999999</v>
      </c>
      <c r="AR619" s="333"/>
      <c r="AS619" s="330"/>
      <c r="AT619" s="330"/>
      <c r="AU619" s="330"/>
      <c r="AV619" s="330"/>
      <c r="AW619" s="3156">
        <f t="shared" si="186"/>
        <v>908</v>
      </c>
      <c r="AX619" s="3140"/>
      <c r="BC619" s="4117">
        <f t="shared" si="184"/>
        <v>0</v>
      </c>
      <c r="BD619" s="4117">
        <f t="shared" si="180"/>
        <v>0</v>
      </c>
      <c r="BE619" s="267"/>
    </row>
    <row r="620" spans="1:57" ht="76.5">
      <c r="A620" s="2418" t="s">
        <v>11003</v>
      </c>
      <c r="B620" s="338" t="s">
        <v>9219</v>
      </c>
      <c r="C620" s="321">
        <v>0</v>
      </c>
      <c r="D620" s="323">
        <v>44434</v>
      </c>
      <c r="E620" s="3058" t="s">
        <v>9156</v>
      </c>
      <c r="F620" s="830" t="s">
        <v>9005</v>
      </c>
      <c r="G620" s="5356">
        <v>1.0956269999999999</v>
      </c>
      <c r="H620" s="332" t="s">
        <v>9160</v>
      </c>
      <c r="I620" s="339" t="s">
        <v>1433</v>
      </c>
      <c r="J620" s="322" t="s">
        <v>1434</v>
      </c>
      <c r="K620" s="340">
        <v>46625</v>
      </c>
      <c r="L620" s="339" t="s">
        <v>9161</v>
      </c>
      <c r="M620" s="322" t="s">
        <v>5165</v>
      </c>
      <c r="N620" s="339" t="s">
        <v>9162</v>
      </c>
      <c r="O620" s="332" t="s">
        <v>9163</v>
      </c>
      <c r="P620" s="345"/>
      <c r="Q620" s="6094" t="s">
        <v>9047</v>
      </c>
      <c r="R620" s="322" t="s">
        <v>5350</v>
      </c>
      <c r="S620" s="346"/>
      <c r="T620" s="347"/>
      <c r="U620" s="326"/>
      <c r="V620" s="348"/>
      <c r="W620" s="347"/>
      <c r="X620" s="326"/>
      <c r="Y620" s="348"/>
      <c r="Z620" s="347"/>
      <c r="AA620" s="326"/>
      <c r="AB620" s="348"/>
      <c r="AC620" s="820"/>
      <c r="AD620" s="821"/>
      <c r="AE620" s="822"/>
      <c r="AF620" s="820"/>
      <c r="AG620" s="821"/>
      <c r="AH620" s="822"/>
      <c r="AI620" s="482">
        <v>5567</v>
      </c>
      <c r="AJ620" s="326">
        <v>0</v>
      </c>
      <c r="AK620" s="3917">
        <v>0</v>
      </c>
      <c r="AL620" s="349">
        <f t="shared" si="185"/>
        <v>5567</v>
      </c>
      <c r="AM620" s="2002" t="s">
        <v>1061</v>
      </c>
      <c r="AN620" s="3357">
        <v>44452</v>
      </c>
      <c r="AO620" s="695" t="s">
        <v>9224</v>
      </c>
      <c r="AP620" s="3362" t="s">
        <v>9004</v>
      </c>
      <c r="AQ620" s="3555">
        <v>1.0956269999999999</v>
      </c>
      <c r="AR620" s="333"/>
      <c r="AS620" s="330"/>
      <c r="AT620" s="330"/>
      <c r="AU620" s="849"/>
      <c r="AV620" s="849"/>
      <c r="AW620" s="3156">
        <f t="shared" si="186"/>
        <v>5567</v>
      </c>
      <c r="AX620" s="3140"/>
      <c r="BA620" s="267"/>
      <c r="BB620" s="267"/>
      <c r="BC620" s="4117">
        <f t="shared" si="184"/>
        <v>0</v>
      </c>
      <c r="BD620" s="4117">
        <f t="shared" si="180"/>
        <v>0</v>
      </c>
      <c r="BE620" s="267"/>
    </row>
    <row r="621" spans="1:57" ht="89.25">
      <c r="A621" s="5966" t="s">
        <v>11004</v>
      </c>
      <c r="B621" s="827" t="s">
        <v>9233</v>
      </c>
      <c r="C621" s="828">
        <v>0</v>
      </c>
      <c r="D621" s="829">
        <v>43262</v>
      </c>
      <c r="E621" s="829" t="s">
        <v>6385</v>
      </c>
      <c r="F621" s="830" t="s">
        <v>5915</v>
      </c>
      <c r="G621" s="2620">
        <v>1.0119899999999999</v>
      </c>
      <c r="H621" s="832" t="s">
        <v>5651</v>
      </c>
      <c r="I621" s="833" t="s">
        <v>1433</v>
      </c>
      <c r="J621" s="834" t="s">
        <v>1434</v>
      </c>
      <c r="K621" s="835">
        <v>45451</v>
      </c>
      <c r="L621" s="833" t="s">
        <v>5652</v>
      </c>
      <c r="M621" s="834" t="s">
        <v>5653</v>
      </c>
      <c r="N621" s="833" t="s">
        <v>5654</v>
      </c>
      <c r="O621" s="832" t="s">
        <v>6300</v>
      </c>
      <c r="P621" s="836" t="s">
        <v>9234</v>
      </c>
      <c r="Q621" s="834" t="s">
        <v>5655</v>
      </c>
      <c r="R621" s="834" t="s">
        <v>5656</v>
      </c>
      <c r="S621" s="837"/>
      <c r="T621" s="838">
        <v>8744</v>
      </c>
      <c r="U621" s="839">
        <v>0</v>
      </c>
      <c r="V621" s="840">
        <f>T621-U621</f>
        <v>8744</v>
      </c>
      <c r="W621" s="838">
        <v>10930</v>
      </c>
      <c r="X621" s="839">
        <v>0</v>
      </c>
      <c r="Y621" s="840">
        <f>W621-X621</f>
        <v>10930</v>
      </c>
      <c r="Z621" s="838">
        <v>2185</v>
      </c>
      <c r="AA621" s="839">
        <v>0</v>
      </c>
      <c r="AB621" s="840">
        <f>Z621-AA621</f>
        <v>2185</v>
      </c>
      <c r="AC621" s="838"/>
      <c r="AD621" s="839"/>
      <c r="AE621" s="840"/>
      <c r="AF621" s="838"/>
      <c r="AG621" s="839"/>
      <c r="AH621" s="840"/>
      <c r="AI621" s="841">
        <v>0</v>
      </c>
      <c r="AJ621" s="839">
        <f>U621+X621+AA621+AD621+AG621</f>
        <v>0</v>
      </c>
      <c r="AK621" s="3906">
        <v>0</v>
      </c>
      <c r="AL621" s="349">
        <f t="shared" si="185"/>
        <v>0</v>
      </c>
      <c r="AM621" s="3369" t="s">
        <v>9237</v>
      </c>
      <c r="AN621" s="3360">
        <v>44453</v>
      </c>
      <c r="AO621" s="3361" t="s">
        <v>9230</v>
      </c>
      <c r="AP621" s="3362" t="s">
        <v>9004</v>
      </c>
      <c r="AQ621" s="3555">
        <v>1.0956269999999999</v>
      </c>
      <c r="AR621" s="846">
        <v>0</v>
      </c>
      <c r="AS621" s="847">
        <v>0</v>
      </c>
      <c r="AT621" s="847">
        <v>0</v>
      </c>
      <c r="AU621" s="847">
        <v>0</v>
      </c>
      <c r="AV621" s="847">
        <v>0</v>
      </c>
      <c r="AW621" s="2872">
        <v>5260</v>
      </c>
      <c r="AX621" s="2891"/>
      <c r="BC621" s="4117">
        <f t="shared" si="184"/>
        <v>0</v>
      </c>
      <c r="BD621" s="4117">
        <f t="shared" si="180"/>
        <v>0</v>
      </c>
      <c r="BE621" s="267"/>
    </row>
    <row r="622" spans="1:57" ht="89.25">
      <c r="A622" s="5966" t="s">
        <v>11004</v>
      </c>
      <c r="B622" s="827" t="s">
        <v>9232</v>
      </c>
      <c r="C622" s="828">
        <v>0</v>
      </c>
      <c r="D622" s="829">
        <v>43262</v>
      </c>
      <c r="E622" s="829" t="s">
        <v>6385</v>
      </c>
      <c r="F622" s="830" t="s">
        <v>5915</v>
      </c>
      <c r="G622" s="2620">
        <v>1.0119899999999999</v>
      </c>
      <c r="H622" s="832" t="s">
        <v>5651</v>
      </c>
      <c r="I622" s="833" t="s">
        <v>1433</v>
      </c>
      <c r="J622" s="834" t="s">
        <v>1434</v>
      </c>
      <c r="K622" s="835">
        <v>45451</v>
      </c>
      <c r="L622" s="833" t="s">
        <v>5652</v>
      </c>
      <c r="M622" s="834" t="s">
        <v>5653</v>
      </c>
      <c r="N622" s="833" t="s">
        <v>5654</v>
      </c>
      <c r="O622" s="832" t="s">
        <v>6300</v>
      </c>
      <c r="P622" s="836" t="s">
        <v>9234</v>
      </c>
      <c r="Q622" s="834" t="s">
        <v>5655</v>
      </c>
      <c r="R622" s="834" t="s">
        <v>5656</v>
      </c>
      <c r="S622" s="837" t="s">
        <v>9235</v>
      </c>
      <c r="T622" s="838">
        <v>8744</v>
      </c>
      <c r="U622" s="839">
        <v>0</v>
      </c>
      <c r="V622" s="840">
        <f>T622-U622</f>
        <v>8744</v>
      </c>
      <c r="W622" s="838">
        <v>10930</v>
      </c>
      <c r="X622" s="839">
        <v>0</v>
      </c>
      <c r="Y622" s="840">
        <f>W622-X622</f>
        <v>10930</v>
      </c>
      <c r="Z622" s="838">
        <v>2185</v>
      </c>
      <c r="AA622" s="839">
        <v>0</v>
      </c>
      <c r="AB622" s="840">
        <f>Z622-AA622</f>
        <v>2185</v>
      </c>
      <c r="AC622" s="838"/>
      <c r="AD622" s="839"/>
      <c r="AE622" s="840"/>
      <c r="AF622" s="838"/>
      <c r="AG622" s="839"/>
      <c r="AH622" s="840"/>
      <c r="AI622" s="841">
        <f>T622+W622+Z622+AC622+AF622</f>
        <v>21859</v>
      </c>
      <c r="AJ622" s="839">
        <f>U622+X622+AA622+AD622+AG622</f>
        <v>0</v>
      </c>
      <c r="AK622" s="3906">
        <v>0</v>
      </c>
      <c r="AL622" s="349">
        <f t="shared" si="185"/>
        <v>21859</v>
      </c>
      <c r="AM622" s="3605" t="s">
        <v>9236</v>
      </c>
      <c r="AN622" s="3360">
        <v>44454</v>
      </c>
      <c r="AO622" s="3607" t="s">
        <v>9240</v>
      </c>
      <c r="AP622" s="3362" t="s">
        <v>9004</v>
      </c>
      <c r="AQ622" s="3555">
        <v>1.0956269999999999</v>
      </c>
      <c r="AR622" s="846">
        <v>0</v>
      </c>
      <c r="AS622" s="847">
        <v>0</v>
      </c>
      <c r="AT622" s="847">
        <v>0</v>
      </c>
      <c r="AU622" s="847">
        <v>0</v>
      </c>
      <c r="AV622" s="847">
        <v>0</v>
      </c>
      <c r="AW622" s="2872">
        <f>ROUND(AL622*AQ622/G622,0)-5260</f>
        <v>18406</v>
      </c>
      <c r="AX622" s="2891"/>
      <c r="BA622" s="267"/>
      <c r="BB622" s="267"/>
      <c r="BC622" s="4117">
        <f t="shared" si="184"/>
        <v>0</v>
      </c>
      <c r="BD622" s="4117">
        <f t="shared" si="180"/>
        <v>0</v>
      </c>
      <c r="BE622" s="267"/>
    </row>
    <row r="623" spans="1:57" ht="102">
      <c r="A623" s="2418" t="s">
        <v>11003</v>
      </c>
      <c r="B623" s="338" t="s">
        <v>9260</v>
      </c>
      <c r="C623" s="321">
        <v>0</v>
      </c>
      <c r="D623" s="323">
        <v>44078</v>
      </c>
      <c r="E623" s="3058" t="s">
        <v>7972</v>
      </c>
      <c r="F623" s="324" t="s">
        <v>7957</v>
      </c>
      <c r="G623" s="2621">
        <v>1.0795220000000001</v>
      </c>
      <c r="H623" s="332" t="s">
        <v>8037</v>
      </c>
      <c r="I623" s="339" t="s">
        <v>1433</v>
      </c>
      <c r="J623" s="322" t="s">
        <v>1434</v>
      </c>
      <c r="K623" s="340">
        <v>46233</v>
      </c>
      <c r="L623" s="339" t="s">
        <v>8031</v>
      </c>
      <c r="M623" s="322" t="s">
        <v>8032</v>
      </c>
      <c r="N623" s="339" t="s">
        <v>8034</v>
      </c>
      <c r="O623" s="332" t="s">
        <v>8035</v>
      </c>
      <c r="P623" s="667" t="s">
        <v>9082</v>
      </c>
      <c r="Q623" s="6094" t="s">
        <v>5708</v>
      </c>
      <c r="R623" s="322" t="s">
        <v>5350</v>
      </c>
      <c r="S623" s="346"/>
      <c r="T623" s="347"/>
      <c r="U623" s="326"/>
      <c r="V623" s="348"/>
      <c r="W623" s="347"/>
      <c r="X623" s="326"/>
      <c r="Y623" s="348"/>
      <c r="Z623" s="347"/>
      <c r="AA623" s="326"/>
      <c r="AB623" s="348"/>
      <c r="AC623" s="347"/>
      <c r="AD623" s="326"/>
      <c r="AE623" s="348"/>
      <c r="AF623" s="347"/>
      <c r="AG623" s="326"/>
      <c r="AH623" s="348"/>
      <c r="AI623" s="482">
        <v>0</v>
      </c>
      <c r="AJ623" s="326">
        <v>0</v>
      </c>
      <c r="AK623" s="3917">
        <v>0</v>
      </c>
      <c r="AL623" s="349">
        <f t="shared" si="185"/>
        <v>0</v>
      </c>
      <c r="AM623" s="2002" t="s">
        <v>4488</v>
      </c>
      <c r="AN623" s="3357">
        <v>44456</v>
      </c>
      <c r="AO623" s="695" t="s">
        <v>9262</v>
      </c>
      <c r="AP623" s="3696" t="s">
        <v>9004</v>
      </c>
      <c r="AQ623" s="3697">
        <v>1.0956269999999999</v>
      </c>
      <c r="AR623" s="333"/>
      <c r="AS623" s="330"/>
      <c r="AT623" s="330"/>
      <c r="AU623" s="330"/>
      <c r="AV623" s="330"/>
      <c r="AW623" s="3156">
        <v>548</v>
      </c>
      <c r="AX623" s="3140"/>
      <c r="BA623" s="267"/>
      <c r="BB623" s="267"/>
      <c r="BC623" s="4117">
        <f t="shared" si="184"/>
        <v>0</v>
      </c>
      <c r="BD623" s="4117">
        <f t="shared" si="180"/>
        <v>0</v>
      </c>
      <c r="BE623" s="267"/>
    </row>
    <row r="624" spans="1:57" ht="64.5" thickBot="1">
      <c r="A624" s="2418" t="s">
        <v>11004</v>
      </c>
      <c r="B624" s="338" t="s">
        <v>9261</v>
      </c>
      <c r="C624" s="321">
        <v>0</v>
      </c>
      <c r="D624" s="323">
        <v>43524</v>
      </c>
      <c r="E624" s="3051" t="s">
        <v>6386</v>
      </c>
      <c r="F624" s="324" t="s">
        <v>5757</v>
      </c>
      <c r="G624" s="2621">
        <v>1.0247219999999999</v>
      </c>
      <c r="H624" s="332" t="s">
        <v>9238</v>
      </c>
      <c r="I624" s="339" t="s">
        <v>1433</v>
      </c>
      <c r="J624" s="322" t="s">
        <v>1434</v>
      </c>
      <c r="K624" s="340">
        <v>45716</v>
      </c>
      <c r="L624" s="339" t="s">
        <v>3160</v>
      </c>
      <c r="M624" s="322" t="s">
        <v>3161</v>
      </c>
      <c r="N624" s="339" t="s">
        <v>9129</v>
      </c>
      <c r="O624" s="332" t="s">
        <v>9128</v>
      </c>
      <c r="P624" s="345"/>
      <c r="Q624" s="322" t="s">
        <v>6455</v>
      </c>
      <c r="R624" s="322" t="s">
        <v>6453</v>
      </c>
      <c r="S624" s="346"/>
      <c r="T624" s="347">
        <v>46235</v>
      </c>
      <c r="U624" s="326">
        <v>0</v>
      </c>
      <c r="V624" s="348">
        <f>T624-U624</f>
        <v>46235</v>
      </c>
      <c r="W624" s="347">
        <v>57794</v>
      </c>
      <c r="X624" s="326">
        <v>0</v>
      </c>
      <c r="Y624" s="348">
        <f>W624-X624</f>
        <v>57794</v>
      </c>
      <c r="Z624" s="347">
        <v>11559</v>
      </c>
      <c r="AA624" s="326">
        <v>0</v>
      </c>
      <c r="AB624" s="348">
        <f>Z624-AA624</f>
        <v>11559</v>
      </c>
      <c r="AC624" s="347"/>
      <c r="AD624" s="326"/>
      <c r="AE624" s="348"/>
      <c r="AF624" s="347"/>
      <c r="AG624" s="326"/>
      <c r="AH624" s="348"/>
      <c r="AI624" s="482">
        <f>T624+W624+Z624+AC624+AF624</f>
        <v>115588</v>
      </c>
      <c r="AJ624" s="326">
        <f>U624+X624+AA624+AD624+AG624</f>
        <v>0</v>
      </c>
      <c r="AK624" s="3917">
        <v>0</v>
      </c>
      <c r="AL624" s="349">
        <f t="shared" si="185"/>
        <v>115588</v>
      </c>
      <c r="AM624" s="2002" t="s">
        <v>1061</v>
      </c>
      <c r="AN624" s="3357">
        <v>44456</v>
      </c>
      <c r="AO624" s="695" t="s">
        <v>9263</v>
      </c>
      <c r="AP624" s="2722" t="s">
        <v>9004</v>
      </c>
      <c r="AQ624" s="2723">
        <v>1.0956269999999999</v>
      </c>
      <c r="AR624" s="333">
        <v>0</v>
      </c>
      <c r="AS624" s="330">
        <v>0</v>
      </c>
      <c r="AT624" s="330">
        <v>0</v>
      </c>
      <c r="AU624" s="330">
        <v>0</v>
      </c>
      <c r="AV624" s="330">
        <v>0</v>
      </c>
      <c r="AW624" s="3156">
        <f>ROUND(AL624*AQ624/G624,0)</f>
        <v>123586</v>
      </c>
      <c r="AX624" s="3140"/>
      <c r="AY624" s="5437"/>
      <c r="AZ624" s="5438"/>
      <c r="BA624" s="4028"/>
      <c r="BB624" s="267"/>
      <c r="BC624" s="4117">
        <f t="shared" si="184"/>
        <v>0</v>
      </c>
      <c r="BD624" s="4117">
        <f t="shared" si="180"/>
        <v>0</v>
      </c>
      <c r="BE624" s="267"/>
    </row>
    <row r="625" spans="1:57" ht="102">
      <c r="A625" s="2418" t="s">
        <v>11004</v>
      </c>
      <c r="B625" s="338" t="s">
        <v>9290</v>
      </c>
      <c r="C625" s="321">
        <v>0</v>
      </c>
      <c r="D625" s="323">
        <v>43425</v>
      </c>
      <c r="E625" s="3051" t="s">
        <v>6386</v>
      </c>
      <c r="F625" s="324" t="s">
        <v>9289</v>
      </c>
      <c r="G625" s="2669">
        <v>1.0956269999999999</v>
      </c>
      <c r="H625" s="332" t="s">
        <v>9153</v>
      </c>
      <c r="I625" s="339" t="s">
        <v>1433</v>
      </c>
      <c r="J625" s="322" t="s">
        <v>1434</v>
      </c>
      <c r="K625" s="340">
        <v>45617</v>
      </c>
      <c r="L625" s="339" t="s">
        <v>6034</v>
      </c>
      <c r="M625" s="322" t="s">
        <v>4394</v>
      </c>
      <c r="N625" s="339" t="s">
        <v>6035</v>
      </c>
      <c r="O625" s="332" t="s">
        <v>6259</v>
      </c>
      <c r="P625" s="345" t="s">
        <v>9293</v>
      </c>
      <c r="Q625" s="322" t="s">
        <v>9154</v>
      </c>
      <c r="R625" s="322" t="s">
        <v>9155</v>
      </c>
      <c r="S625" s="346"/>
      <c r="T625" s="347">
        <v>59816</v>
      </c>
      <c r="U625" s="326">
        <v>0</v>
      </c>
      <c r="V625" s="348">
        <f>T625-U625</f>
        <v>59816</v>
      </c>
      <c r="W625" s="347">
        <v>76560</v>
      </c>
      <c r="X625" s="326">
        <v>0</v>
      </c>
      <c r="Y625" s="348">
        <f>W625-X625</f>
        <v>76560</v>
      </c>
      <c r="Z625" s="347">
        <v>7683</v>
      </c>
      <c r="AA625" s="326">
        <v>0</v>
      </c>
      <c r="AB625" s="348">
        <f>Z625-AA625</f>
        <v>7683</v>
      </c>
      <c r="AC625" s="347"/>
      <c r="AD625" s="326"/>
      <c r="AE625" s="348"/>
      <c r="AF625" s="347"/>
      <c r="AG625" s="326"/>
      <c r="AH625" s="348"/>
      <c r="AI625" s="482">
        <v>1782</v>
      </c>
      <c r="AJ625" s="326">
        <f>U625+X625+AA625+AD625+AG625</f>
        <v>0</v>
      </c>
      <c r="AK625" s="3917">
        <v>0</v>
      </c>
      <c r="AL625" s="349">
        <f t="shared" si="185"/>
        <v>1782</v>
      </c>
      <c r="AM625" s="2002" t="s">
        <v>9292</v>
      </c>
      <c r="AN625" s="3357">
        <v>44468</v>
      </c>
      <c r="AO625" s="695" t="s">
        <v>9291</v>
      </c>
      <c r="AP625" s="3222" t="s">
        <v>9004</v>
      </c>
      <c r="AQ625" s="3223">
        <v>1.0956269999999999</v>
      </c>
      <c r="AR625" s="333">
        <v>0</v>
      </c>
      <c r="AS625" s="330">
        <v>0</v>
      </c>
      <c r="AT625" s="330">
        <v>0</v>
      </c>
      <c r="AU625" s="330">
        <v>0</v>
      </c>
      <c r="AV625" s="330">
        <v>0</v>
      </c>
      <c r="AW625" s="3156">
        <f>ROUND((AL625*AQ625/G625),0)</f>
        <v>1782</v>
      </c>
      <c r="AX625" s="3140"/>
      <c r="BA625" s="267"/>
      <c r="BB625" s="267"/>
      <c r="BC625" s="4117">
        <f t="shared" si="184"/>
        <v>0</v>
      </c>
      <c r="BD625" s="4117">
        <f t="shared" si="180"/>
        <v>0</v>
      </c>
      <c r="BE625" s="267"/>
    </row>
    <row r="626" spans="1:57" ht="90" thickBot="1">
      <c r="A626" s="6068" t="s">
        <v>4276</v>
      </c>
      <c r="B626" s="5084" t="s">
        <v>8793</v>
      </c>
      <c r="C626" s="5365">
        <v>0</v>
      </c>
      <c r="D626" s="5366">
        <v>44461</v>
      </c>
      <c r="E626" s="5367" t="s">
        <v>9156</v>
      </c>
      <c r="F626" s="3793" t="s">
        <v>9005</v>
      </c>
      <c r="G626" s="5368">
        <v>1.0956269999999999</v>
      </c>
      <c r="H626" s="5369" t="s">
        <v>9271</v>
      </c>
      <c r="I626" s="5090" t="s">
        <v>9272</v>
      </c>
      <c r="J626" s="5370" t="s">
        <v>4306</v>
      </c>
      <c r="K626" s="5371">
        <v>45191</v>
      </c>
      <c r="L626" s="5090" t="s">
        <v>9273</v>
      </c>
      <c r="M626" s="5370" t="s">
        <v>9274</v>
      </c>
      <c r="N626" s="5090" t="s">
        <v>9275</v>
      </c>
      <c r="O626" s="5369" t="s">
        <v>9276</v>
      </c>
      <c r="P626" s="5372"/>
      <c r="Q626" s="6113" t="s">
        <v>9047</v>
      </c>
      <c r="R626" s="5370" t="s">
        <v>129</v>
      </c>
      <c r="S626" s="5373"/>
      <c r="T626" s="5095"/>
      <c r="U626" s="5374"/>
      <c r="V626" s="5375"/>
      <c r="W626" s="5095"/>
      <c r="X626" s="5374"/>
      <c r="Y626" s="5375"/>
      <c r="Z626" s="5095"/>
      <c r="AA626" s="5374"/>
      <c r="AB626" s="5375"/>
      <c r="AC626" s="5376"/>
      <c r="AD626" s="5377"/>
      <c r="AE626" s="5378"/>
      <c r="AF626" s="5376"/>
      <c r="AG626" s="5377"/>
      <c r="AH626" s="5378"/>
      <c r="AI626" s="5098">
        <v>6534</v>
      </c>
      <c r="AJ626" s="5374">
        <v>0</v>
      </c>
      <c r="AK626" s="5379">
        <v>0</v>
      </c>
      <c r="AL626" s="5380">
        <f t="shared" si="185"/>
        <v>6534</v>
      </c>
      <c r="AM626" s="5209" t="s">
        <v>2977</v>
      </c>
      <c r="AN626" s="5381">
        <v>44469</v>
      </c>
      <c r="AO626" s="5382" t="s">
        <v>9284</v>
      </c>
      <c r="AP626" s="3387" t="s">
        <v>9004</v>
      </c>
      <c r="AQ626" s="4753">
        <v>1.0956269999999999</v>
      </c>
      <c r="AR626" s="5106"/>
      <c r="AS626" s="5383"/>
      <c r="AT626" s="5383"/>
      <c r="AU626" s="5384"/>
      <c r="AV626" s="5384"/>
      <c r="AW626" s="5439">
        <f>ROUND(AL626*AQ626/G626,0)</f>
        <v>6534</v>
      </c>
      <c r="AX626" s="5386"/>
      <c r="AY626" s="4031" t="s">
        <v>9195</v>
      </c>
      <c r="AZ626" s="3857">
        <f>SUM(AW618:AW626)</f>
        <v>169125</v>
      </c>
      <c r="BA626" s="4028">
        <f>AZ626</f>
        <v>169125</v>
      </c>
      <c r="BB626" s="267"/>
      <c r="BC626" s="4117">
        <f t="shared" si="184"/>
        <v>0</v>
      </c>
      <c r="BD626" s="4117">
        <f t="shared" si="180"/>
        <v>0</v>
      </c>
      <c r="BE626" s="267"/>
    </row>
    <row r="627" spans="1:57" ht="76.5">
      <c r="A627" s="6006" t="s">
        <v>11021</v>
      </c>
      <c r="B627" s="2298" t="s">
        <v>9285</v>
      </c>
      <c r="C627" s="2299">
        <v>0</v>
      </c>
      <c r="D627" s="2300">
        <v>43647</v>
      </c>
      <c r="E627" s="2300" t="s">
        <v>6386</v>
      </c>
      <c r="F627" s="2301" t="s">
        <v>6949</v>
      </c>
      <c r="G627" s="2645">
        <v>114.1</v>
      </c>
      <c r="H627" s="2306" t="s">
        <v>6948</v>
      </c>
      <c r="I627" s="2303" t="s">
        <v>1433</v>
      </c>
      <c r="J627" s="2304" t="s">
        <v>1434</v>
      </c>
      <c r="K627" s="2305">
        <v>44744</v>
      </c>
      <c r="L627" s="2303" t="s">
        <v>6950</v>
      </c>
      <c r="M627" s="2304" t="s">
        <v>6951</v>
      </c>
      <c r="N627" s="2303" t="s">
        <v>6952</v>
      </c>
      <c r="O627" s="2306" t="s">
        <v>6953</v>
      </c>
      <c r="P627" s="2321" t="s">
        <v>6954</v>
      </c>
      <c r="Q627" s="2304" t="s">
        <v>6958</v>
      </c>
      <c r="R627" s="2304" t="s">
        <v>6955</v>
      </c>
      <c r="S627" s="2307"/>
      <c r="T627" s="2308"/>
      <c r="U627" s="2309"/>
      <c r="V627" s="2310"/>
      <c r="W627" s="2308"/>
      <c r="X627" s="2309"/>
      <c r="Y627" s="2310"/>
      <c r="Z627" s="2308"/>
      <c r="AA627" s="2309"/>
      <c r="AB627" s="2310"/>
      <c r="AC627" s="2308"/>
      <c r="AD627" s="2309"/>
      <c r="AE627" s="2310"/>
      <c r="AF627" s="2308"/>
      <c r="AG627" s="2309"/>
      <c r="AH627" s="2310"/>
      <c r="AI627" s="2311">
        <v>116385</v>
      </c>
      <c r="AJ627" s="2309">
        <v>0</v>
      </c>
      <c r="AK627" s="3914">
        <v>0</v>
      </c>
      <c r="AL627" s="2312">
        <f t="shared" si="185"/>
        <v>116385</v>
      </c>
      <c r="AM627" s="3491" t="s">
        <v>1061</v>
      </c>
      <c r="AN627" s="3492">
        <v>44474</v>
      </c>
      <c r="AO627" s="2492" t="s">
        <v>9286</v>
      </c>
      <c r="AP627" s="3539" t="s">
        <v>9283</v>
      </c>
      <c r="AQ627" s="4189">
        <v>119.2</v>
      </c>
      <c r="AR627" s="2313"/>
      <c r="AS627" s="2314"/>
      <c r="AT627" s="2314"/>
      <c r="AU627" s="2314"/>
      <c r="AV627" s="2314"/>
      <c r="AW627" s="2883">
        <f>ROUND(AL627*AQ627/G627,0)</f>
        <v>121587</v>
      </c>
      <c r="AX627" s="2891"/>
      <c r="BB627" s="267"/>
      <c r="BC627" s="4117">
        <f t="shared" si="184"/>
        <v>0</v>
      </c>
      <c r="BD627" s="4117">
        <f t="shared" si="180"/>
        <v>0</v>
      </c>
      <c r="BE627" s="267"/>
    </row>
    <row r="628" spans="1:57" ht="63.75">
      <c r="A628" s="5981" t="s">
        <v>11004</v>
      </c>
      <c r="B628" s="1538" t="s">
        <v>9277</v>
      </c>
      <c r="C628" s="1509">
        <v>0</v>
      </c>
      <c r="D628" s="1510">
        <v>43361</v>
      </c>
      <c r="E628" s="3053" t="s">
        <v>6385</v>
      </c>
      <c r="F628" s="1511" t="s">
        <v>5757</v>
      </c>
      <c r="G628" s="2663">
        <v>1.0247219999999999</v>
      </c>
      <c r="H628" s="1513" t="s">
        <v>234</v>
      </c>
      <c r="I628" s="1514" t="s">
        <v>5896</v>
      </c>
      <c r="J628" s="1515" t="s">
        <v>2712</v>
      </c>
      <c r="K628" s="1516">
        <v>44822</v>
      </c>
      <c r="L628" s="1514" t="s">
        <v>5891</v>
      </c>
      <c r="M628" s="1515" t="s">
        <v>3046</v>
      </c>
      <c r="N628" s="1514" t="s">
        <v>5892</v>
      </c>
      <c r="O628" s="1513" t="s">
        <v>5893</v>
      </c>
      <c r="P628" s="1517"/>
      <c r="Q628" s="1515" t="s">
        <v>916</v>
      </c>
      <c r="R628" s="1515" t="s">
        <v>496</v>
      </c>
      <c r="S628" s="1518"/>
      <c r="T628" s="1519">
        <v>6886</v>
      </c>
      <c r="U628" s="1504">
        <v>0</v>
      </c>
      <c r="V628" s="1520">
        <f>T628-U628</f>
        <v>6886</v>
      </c>
      <c r="W628" s="1519">
        <v>8608</v>
      </c>
      <c r="X628" s="1504">
        <v>0</v>
      </c>
      <c r="Y628" s="1520">
        <f>W628-X628</f>
        <v>8608</v>
      </c>
      <c r="Z628" s="1519">
        <v>1721</v>
      </c>
      <c r="AA628" s="1504">
        <v>0</v>
      </c>
      <c r="AB628" s="1520">
        <f>Z628-AA628</f>
        <v>1721</v>
      </c>
      <c r="AC628" s="1519"/>
      <c r="AD628" s="1504"/>
      <c r="AE628" s="1520"/>
      <c r="AF628" s="1519"/>
      <c r="AG628" s="1504"/>
      <c r="AH628" s="1520"/>
      <c r="AI628" s="1503">
        <f>T628+W628+Z628+AC628+AF628</f>
        <v>17215</v>
      </c>
      <c r="AJ628" s="1504">
        <f>U628+X628+AA628+AD628+AG628</f>
        <v>0</v>
      </c>
      <c r="AK628" s="3919">
        <v>0</v>
      </c>
      <c r="AL628" s="1505">
        <f t="shared" si="185"/>
        <v>17215</v>
      </c>
      <c r="AM628" s="1508" t="s">
        <v>1061</v>
      </c>
      <c r="AN628" s="3401">
        <v>44480</v>
      </c>
      <c r="AO628" s="3402" t="s">
        <v>9301</v>
      </c>
      <c r="AP628" s="2664" t="s">
        <v>9004</v>
      </c>
      <c r="AQ628" s="2806">
        <v>1.0956269999999999</v>
      </c>
      <c r="AR628" s="1506">
        <v>0</v>
      </c>
      <c r="AS628" s="1507">
        <v>0</v>
      </c>
      <c r="AT628" s="1507">
        <v>0</v>
      </c>
      <c r="AU628" s="1507">
        <v>0</v>
      </c>
      <c r="AV628" s="1507">
        <v>0</v>
      </c>
      <c r="AW628" s="3247">
        <f>ROUND(AL628*AQ628/G628,0)</f>
        <v>18406</v>
      </c>
      <c r="AX628" s="3140"/>
      <c r="BB628" s="267"/>
      <c r="BC628" s="4117">
        <f t="shared" si="184"/>
        <v>0</v>
      </c>
      <c r="BD628" s="4117">
        <f t="shared" si="180"/>
        <v>0</v>
      </c>
      <c r="BE628" s="267"/>
    </row>
    <row r="629" spans="1:57" ht="102">
      <c r="A629" s="5981" t="s">
        <v>4276</v>
      </c>
      <c r="B629" s="1538" t="s">
        <v>9334</v>
      </c>
      <c r="C629" s="1509">
        <v>0</v>
      </c>
      <c r="D629" s="1510">
        <v>44477</v>
      </c>
      <c r="E629" s="4344" t="s">
        <v>9156</v>
      </c>
      <c r="F629" s="2497" t="s">
        <v>9005</v>
      </c>
      <c r="G629" s="5387">
        <v>1.0956269999999999</v>
      </c>
      <c r="H629" s="1513" t="s">
        <v>9294</v>
      </c>
      <c r="I629" s="1514" t="s">
        <v>9295</v>
      </c>
      <c r="J629" s="4345" t="s">
        <v>4306</v>
      </c>
      <c r="K629" s="1516">
        <v>45205</v>
      </c>
      <c r="L629" s="1514" t="s">
        <v>9299</v>
      </c>
      <c r="M629" s="1515" t="s">
        <v>9300</v>
      </c>
      <c r="N629" s="1514" t="s">
        <v>9296</v>
      </c>
      <c r="O629" s="1513" t="s">
        <v>9298</v>
      </c>
      <c r="P629" s="1517" t="s">
        <v>9297</v>
      </c>
      <c r="Q629" s="6094" t="s">
        <v>9047</v>
      </c>
      <c r="R629" s="1515" t="s">
        <v>1745</v>
      </c>
      <c r="S629" s="1518"/>
      <c r="T629" s="1519"/>
      <c r="U629" s="1504"/>
      <c r="V629" s="1520"/>
      <c r="W629" s="1519"/>
      <c r="X629" s="1504"/>
      <c r="Y629" s="1520"/>
      <c r="Z629" s="1519"/>
      <c r="AA629" s="1504"/>
      <c r="AB629" s="1520"/>
      <c r="AC629" s="1519"/>
      <c r="AD629" s="1504"/>
      <c r="AE629" s="1520"/>
      <c r="AF629" s="1519"/>
      <c r="AG629" s="1504"/>
      <c r="AH629" s="1520"/>
      <c r="AI629" s="1503">
        <v>6534</v>
      </c>
      <c r="AJ629" s="1504">
        <v>0</v>
      </c>
      <c r="AK629" s="3919">
        <v>0</v>
      </c>
      <c r="AL629" s="1505">
        <f t="shared" si="185"/>
        <v>6534</v>
      </c>
      <c r="AM629" s="1508" t="s">
        <v>1061</v>
      </c>
      <c r="AN629" s="3401">
        <v>44487</v>
      </c>
      <c r="AO629" s="3402" t="s">
        <v>9337</v>
      </c>
      <c r="AP629" s="2905" t="s">
        <v>9004</v>
      </c>
      <c r="AQ629" s="2906">
        <v>1.0956269999999999</v>
      </c>
      <c r="AR629" s="1506"/>
      <c r="AS629" s="1507"/>
      <c r="AT629" s="1507"/>
      <c r="AU629" s="1507"/>
      <c r="AV629" s="1507"/>
      <c r="AW629" s="3247">
        <f>ROUND(AL629*AQ629/G629,0)</f>
        <v>6534</v>
      </c>
      <c r="AX629" s="3140"/>
      <c r="BB629" s="267"/>
      <c r="BC629" s="4117">
        <f t="shared" si="184"/>
        <v>0</v>
      </c>
      <c r="BD629" s="4117">
        <f t="shared" si="180"/>
        <v>0</v>
      </c>
      <c r="BE629" s="267"/>
    </row>
    <row r="630" spans="1:57" ht="114.75">
      <c r="A630" s="5978" t="s">
        <v>11219</v>
      </c>
      <c r="B630" s="1538" t="s">
        <v>9338</v>
      </c>
      <c r="C630" s="1509">
        <v>0</v>
      </c>
      <c r="D630" s="1510">
        <v>42807</v>
      </c>
      <c r="E630" s="3053" t="s">
        <v>6385</v>
      </c>
      <c r="F630" s="2139" t="s">
        <v>6634</v>
      </c>
      <c r="G630" s="2805">
        <v>114.1</v>
      </c>
      <c r="H630" s="1513" t="s">
        <v>4411</v>
      </c>
      <c r="I630" s="1514" t="s">
        <v>4412</v>
      </c>
      <c r="J630" s="1515" t="s">
        <v>4306</v>
      </c>
      <c r="K630" s="1516">
        <v>43537</v>
      </c>
      <c r="L630" s="1514" t="s">
        <v>4415</v>
      </c>
      <c r="M630" s="1515" t="s">
        <v>4413</v>
      </c>
      <c r="N630" s="1514" t="s">
        <v>4414</v>
      </c>
      <c r="O630" s="1513" t="s">
        <v>6224</v>
      </c>
      <c r="P630" s="1517" t="s">
        <v>7762</v>
      </c>
      <c r="Q630" s="6094" t="s">
        <v>4332</v>
      </c>
      <c r="R630" s="1515" t="s">
        <v>1046</v>
      </c>
      <c r="S630" s="1518"/>
      <c r="T630" s="1519">
        <v>579</v>
      </c>
      <c r="U630" s="1504">
        <v>0</v>
      </c>
      <c r="V630" s="1520">
        <f>T630-U630</f>
        <v>579</v>
      </c>
      <c r="W630" s="1519">
        <v>752</v>
      </c>
      <c r="X630" s="1504">
        <v>0</v>
      </c>
      <c r="Y630" s="1520">
        <f>W630-X630</f>
        <v>752</v>
      </c>
      <c r="Z630" s="1519">
        <v>276</v>
      </c>
      <c r="AA630" s="1504">
        <v>0</v>
      </c>
      <c r="AB630" s="1520">
        <f>Z630-AA630</f>
        <v>276</v>
      </c>
      <c r="AC630" s="1519"/>
      <c r="AD630" s="1504"/>
      <c r="AE630" s="1520"/>
      <c r="AF630" s="1519"/>
      <c r="AG630" s="1504"/>
      <c r="AH630" s="1520"/>
      <c r="AI630" s="1503">
        <f>T630+W630+Z630+AC630+AF630</f>
        <v>1607</v>
      </c>
      <c r="AJ630" s="1504">
        <f>U630+X630+AA630+AD630+AG630</f>
        <v>0</v>
      </c>
      <c r="AK630" s="3919">
        <v>0</v>
      </c>
      <c r="AL630" s="1505">
        <f t="shared" si="185"/>
        <v>1607</v>
      </c>
      <c r="AM630" s="1508" t="s">
        <v>1061</v>
      </c>
      <c r="AN630" s="3401">
        <v>44487</v>
      </c>
      <c r="AO630" s="3402" t="s">
        <v>9344</v>
      </c>
      <c r="AP630" s="3251" t="s">
        <v>7742</v>
      </c>
      <c r="AQ630" s="3248">
        <v>116.3</v>
      </c>
      <c r="AR630" s="1506">
        <v>0</v>
      </c>
      <c r="AS630" s="1507">
        <v>0</v>
      </c>
      <c r="AT630" s="1507">
        <v>0</v>
      </c>
      <c r="AU630" s="1507">
        <v>0</v>
      </c>
      <c r="AV630" s="1507">
        <v>0</v>
      </c>
      <c r="AW630" s="3247">
        <f>ROUND(AL630*AQ630/G630,0)</f>
        <v>1638</v>
      </c>
      <c r="AX630" s="3140"/>
      <c r="BA630" s="267"/>
      <c r="BB630" s="267"/>
      <c r="BC630" s="4117">
        <f t="shared" si="184"/>
        <v>0</v>
      </c>
      <c r="BD630" s="4117">
        <f t="shared" si="180"/>
        <v>0</v>
      </c>
      <c r="BE630" s="267"/>
    </row>
    <row r="631" spans="1:57" ht="127.5">
      <c r="A631" s="5981" t="s">
        <v>11004</v>
      </c>
      <c r="B631" s="1538" t="s">
        <v>11217</v>
      </c>
      <c r="C631" s="1509">
        <v>0</v>
      </c>
      <c r="D631" s="5258" t="s">
        <v>11205</v>
      </c>
      <c r="E631" s="3053" t="s">
        <v>6386</v>
      </c>
      <c r="F631" s="1511" t="s">
        <v>11204</v>
      </c>
      <c r="G631" s="5259">
        <v>1.047839</v>
      </c>
      <c r="H631" s="1513" t="s">
        <v>7038</v>
      </c>
      <c r="I631" s="1514" t="s">
        <v>6039</v>
      </c>
      <c r="J631" s="1515" t="s">
        <v>4306</v>
      </c>
      <c r="K631" s="1516">
        <v>44161</v>
      </c>
      <c r="L631" s="1514" t="s">
        <v>6040</v>
      </c>
      <c r="M631" s="1515" t="s">
        <v>6041</v>
      </c>
      <c r="N631" s="1514" t="s">
        <v>6042</v>
      </c>
      <c r="O631" s="1513" t="s">
        <v>6257</v>
      </c>
      <c r="P631" s="1517" t="s">
        <v>7746</v>
      </c>
      <c r="Q631" s="6094" t="s">
        <v>5708</v>
      </c>
      <c r="R631" s="1515" t="s">
        <v>5350</v>
      </c>
      <c r="S631" s="1518"/>
      <c r="T631" s="1519">
        <v>2444</v>
      </c>
      <c r="U631" s="1504">
        <v>0</v>
      </c>
      <c r="V631" s="1520">
        <f>T631-U631</f>
        <v>2444</v>
      </c>
      <c r="W631" s="1519">
        <v>3056</v>
      </c>
      <c r="X631" s="1504">
        <v>0</v>
      </c>
      <c r="Y631" s="1520">
        <f>W631-X631</f>
        <v>3056</v>
      </c>
      <c r="Z631" s="1519">
        <v>611</v>
      </c>
      <c r="AA631" s="1504">
        <v>0</v>
      </c>
      <c r="AB631" s="1520">
        <f>Z631-AA631</f>
        <v>611</v>
      </c>
      <c r="AC631" s="1519"/>
      <c r="AD631" s="1504"/>
      <c r="AE631" s="1520"/>
      <c r="AF631" s="1519"/>
      <c r="AG631" s="1504"/>
      <c r="AH631" s="1520"/>
      <c r="AI631" s="1503">
        <v>0</v>
      </c>
      <c r="AJ631" s="1504">
        <f>U631+X631+AA631+AD631+AG631</f>
        <v>0</v>
      </c>
      <c r="AK631" s="3919">
        <v>0</v>
      </c>
      <c r="AL631" s="1505">
        <f t="shared" si="185"/>
        <v>0</v>
      </c>
      <c r="AM631" s="5442" t="s">
        <v>4488</v>
      </c>
      <c r="AN631" s="3401">
        <v>44487</v>
      </c>
      <c r="AO631" s="3402" t="s">
        <v>9350</v>
      </c>
      <c r="AP631" s="3251" t="s">
        <v>6894</v>
      </c>
      <c r="AQ631" s="3248">
        <v>1.047839</v>
      </c>
      <c r="AR631" s="1506">
        <v>0</v>
      </c>
      <c r="AS631" s="1507">
        <v>0</v>
      </c>
      <c r="AT631" s="1507">
        <v>0</v>
      </c>
      <c r="AU631" s="1507">
        <v>0</v>
      </c>
      <c r="AV631" s="1507">
        <v>0</v>
      </c>
      <c r="AW631" s="3247">
        <v>500</v>
      </c>
      <c r="AX631" s="3140"/>
      <c r="BB631" s="267"/>
      <c r="BC631" s="4117">
        <f t="shared" si="184"/>
        <v>0</v>
      </c>
      <c r="BD631" s="4117">
        <f t="shared" si="180"/>
        <v>0</v>
      </c>
      <c r="BE631" s="267"/>
    </row>
    <row r="632" spans="1:57" ht="89.25">
      <c r="A632" s="5981" t="s">
        <v>11004</v>
      </c>
      <c r="B632" s="1538" t="s">
        <v>11218</v>
      </c>
      <c r="C632" s="1509">
        <v>0</v>
      </c>
      <c r="D632" s="1510" t="s">
        <v>11186</v>
      </c>
      <c r="E632" s="3053" t="s">
        <v>6386</v>
      </c>
      <c r="F632" s="1511" t="s">
        <v>11158</v>
      </c>
      <c r="G632" s="3250">
        <v>1.047839</v>
      </c>
      <c r="H632" s="1513" t="s">
        <v>6689</v>
      </c>
      <c r="I632" s="1514" t="s">
        <v>6690</v>
      </c>
      <c r="J632" s="1515" t="s">
        <v>4306</v>
      </c>
      <c r="K632" s="1516">
        <v>44329</v>
      </c>
      <c r="L632" s="1514" t="s">
        <v>5532</v>
      </c>
      <c r="M632" s="1515" t="s">
        <v>5533</v>
      </c>
      <c r="N632" s="1514" t="s">
        <v>6691</v>
      </c>
      <c r="O632" s="1513" t="s">
        <v>6692</v>
      </c>
      <c r="P632" s="5262" t="s">
        <v>7739</v>
      </c>
      <c r="Q632" s="6094" t="s">
        <v>5708</v>
      </c>
      <c r="R632" s="1515" t="s">
        <v>5350</v>
      </c>
      <c r="S632" s="1518"/>
      <c r="T632" s="1519">
        <v>2444</v>
      </c>
      <c r="U632" s="1504">
        <v>0</v>
      </c>
      <c r="V632" s="1520">
        <f>T632-U632</f>
        <v>2444</v>
      </c>
      <c r="W632" s="1519">
        <v>3056</v>
      </c>
      <c r="X632" s="1504">
        <v>0</v>
      </c>
      <c r="Y632" s="1520">
        <f>W632-X632</f>
        <v>3056</v>
      </c>
      <c r="Z632" s="1519">
        <v>611</v>
      </c>
      <c r="AA632" s="1504">
        <v>0</v>
      </c>
      <c r="AB632" s="1520">
        <f>Z632-AA632</f>
        <v>611</v>
      </c>
      <c r="AC632" s="1519"/>
      <c r="AD632" s="1504"/>
      <c r="AE632" s="1520"/>
      <c r="AF632" s="1519"/>
      <c r="AG632" s="1504"/>
      <c r="AH632" s="1520"/>
      <c r="AI632" s="1503">
        <f>1562+3125</f>
        <v>4687</v>
      </c>
      <c r="AJ632" s="1504">
        <f>U632+X632+AA632+AD632+AG632</f>
        <v>0</v>
      </c>
      <c r="AK632" s="3919">
        <v>0</v>
      </c>
      <c r="AL632" s="1505">
        <f t="shared" si="185"/>
        <v>4687</v>
      </c>
      <c r="AM632" s="1508" t="s">
        <v>1061</v>
      </c>
      <c r="AN632" s="3401">
        <v>44491</v>
      </c>
      <c r="AO632" s="3402" t="s">
        <v>9351</v>
      </c>
      <c r="AP632" s="3251" t="s">
        <v>6894</v>
      </c>
      <c r="AQ632" s="3248">
        <v>1.047839</v>
      </c>
      <c r="AR632" s="1506">
        <v>0</v>
      </c>
      <c r="AS632" s="1507">
        <v>0</v>
      </c>
      <c r="AT632" s="1507">
        <v>0</v>
      </c>
      <c r="AU632" s="1507">
        <v>0</v>
      </c>
      <c r="AV632" s="1507">
        <v>0</v>
      </c>
      <c r="AW632" s="3247">
        <f>ROUND(AL632*AQ632/G632,0)</f>
        <v>4687</v>
      </c>
      <c r="AX632" s="3140"/>
      <c r="BB632" s="267"/>
      <c r="BC632" s="4117">
        <f t="shared" si="184"/>
        <v>0</v>
      </c>
      <c r="BD632" s="4117">
        <f t="shared" si="180"/>
        <v>0</v>
      </c>
      <c r="BE632" s="267"/>
    </row>
    <row r="633" spans="1:57" ht="51">
      <c r="A633" s="6017" t="s">
        <v>11004</v>
      </c>
      <c r="B633" s="1538" t="s">
        <v>9336</v>
      </c>
      <c r="C633" s="1509">
        <v>0</v>
      </c>
      <c r="D633" s="1510">
        <v>43699</v>
      </c>
      <c r="E633" s="2300" t="s">
        <v>6386</v>
      </c>
      <c r="F633" s="2497" t="s">
        <v>6893</v>
      </c>
      <c r="G633" s="3110">
        <v>1.047839</v>
      </c>
      <c r="H633" s="1513" t="s">
        <v>7051</v>
      </c>
      <c r="I633" s="1514" t="s">
        <v>1433</v>
      </c>
      <c r="J633" s="1515" t="s">
        <v>1434</v>
      </c>
      <c r="K633" s="1516">
        <v>45884</v>
      </c>
      <c r="L633" s="1514" t="s">
        <v>7052</v>
      </c>
      <c r="M633" s="1515" t="s">
        <v>1957</v>
      </c>
      <c r="N633" s="1514" t="s">
        <v>7053</v>
      </c>
      <c r="O633" s="1513" t="s">
        <v>7054</v>
      </c>
      <c r="P633" s="1517"/>
      <c r="Q633" s="1515" t="s">
        <v>7055</v>
      </c>
      <c r="R633" s="1515" t="s">
        <v>3252</v>
      </c>
      <c r="S633" s="1518"/>
      <c r="T633" s="1519"/>
      <c r="U633" s="1504"/>
      <c r="V633" s="1520"/>
      <c r="W633" s="1519"/>
      <c r="X633" s="1504"/>
      <c r="Y633" s="1520"/>
      <c r="Z633" s="1519"/>
      <c r="AA633" s="1504"/>
      <c r="AB633" s="1520"/>
      <c r="AC633" s="1519"/>
      <c r="AD633" s="1504"/>
      <c r="AE633" s="1520"/>
      <c r="AF633" s="1519"/>
      <c r="AG633" s="1504"/>
      <c r="AH633" s="1520"/>
      <c r="AI633" s="1503">
        <v>17603</v>
      </c>
      <c r="AJ633" s="1504">
        <v>0</v>
      </c>
      <c r="AK633" s="3919">
        <v>0</v>
      </c>
      <c r="AL633" s="1505">
        <f t="shared" si="185"/>
        <v>17603</v>
      </c>
      <c r="AM633" s="1508" t="s">
        <v>1061</v>
      </c>
      <c r="AN633" s="3401">
        <v>44494</v>
      </c>
      <c r="AO633" s="3402" t="s">
        <v>9352</v>
      </c>
      <c r="AP633" s="2905" t="s">
        <v>9004</v>
      </c>
      <c r="AQ633" s="2906">
        <v>1.0956269999999999</v>
      </c>
      <c r="AR633" s="1506"/>
      <c r="AS633" s="1507"/>
      <c r="AT633" s="1507"/>
      <c r="AU633" s="1507"/>
      <c r="AV633" s="1507"/>
      <c r="AW633" s="3247">
        <f>ROUND(AL633*AQ633/G633,0)</f>
        <v>18406</v>
      </c>
      <c r="AX633" s="3140"/>
      <c r="BB633" s="267"/>
      <c r="BC633" s="4117">
        <f t="shared" si="184"/>
        <v>0</v>
      </c>
      <c r="BD633" s="4117">
        <f t="shared" si="180"/>
        <v>0</v>
      </c>
      <c r="BE633" s="267"/>
    </row>
    <row r="634" spans="1:57" ht="51.75" thickBot="1">
      <c r="A634" s="6069" t="s">
        <v>11004</v>
      </c>
      <c r="B634" s="5145" t="s">
        <v>9360</v>
      </c>
      <c r="C634" s="5389">
        <v>0</v>
      </c>
      <c r="D634" s="5390">
        <v>42930</v>
      </c>
      <c r="E634" s="5390" t="s">
        <v>6385</v>
      </c>
      <c r="F634" s="5431" t="s">
        <v>4154</v>
      </c>
      <c r="G634" s="5443">
        <v>1.0111000000000001</v>
      </c>
      <c r="H634" s="5444" t="s">
        <v>4754</v>
      </c>
      <c r="I634" s="5152" t="s">
        <v>1433</v>
      </c>
      <c r="J634" s="5392" t="s">
        <v>1434</v>
      </c>
      <c r="K634" s="5445">
        <v>44391</v>
      </c>
      <c r="L634" s="5152" t="s">
        <v>4751</v>
      </c>
      <c r="M634" s="5392" t="s">
        <v>4752</v>
      </c>
      <c r="N634" s="5152" t="s">
        <v>4753</v>
      </c>
      <c r="O634" s="5444" t="s">
        <v>6237</v>
      </c>
      <c r="P634" s="5156"/>
      <c r="Q634" s="5392" t="s">
        <v>4755</v>
      </c>
      <c r="R634" s="5392"/>
      <c r="S634" s="5446"/>
      <c r="T634" s="5158">
        <v>6852</v>
      </c>
      <c r="U634" s="5395">
        <v>0</v>
      </c>
      <c r="V634" s="5447">
        <f>T634-U634</f>
        <v>6852</v>
      </c>
      <c r="W634" s="5158">
        <v>1209</v>
      </c>
      <c r="X634" s="5395">
        <v>0</v>
      </c>
      <c r="Y634" s="5447">
        <f>W634-X634</f>
        <v>1209</v>
      </c>
      <c r="Z634" s="5158">
        <v>0</v>
      </c>
      <c r="AA634" s="5395">
        <v>0</v>
      </c>
      <c r="AB634" s="5447">
        <f>Z634-AA634</f>
        <v>0</v>
      </c>
      <c r="AC634" s="5158"/>
      <c r="AD634" s="5395"/>
      <c r="AE634" s="5447"/>
      <c r="AF634" s="5158"/>
      <c r="AG634" s="5395"/>
      <c r="AH634" s="5447"/>
      <c r="AI634" s="5161">
        <f>T634+W634+Z634+AC634+AF634</f>
        <v>8061</v>
      </c>
      <c r="AJ634" s="5395">
        <f>U634+X634+AA634+AD634+AG634</f>
        <v>0</v>
      </c>
      <c r="AK634" s="5448">
        <v>0</v>
      </c>
      <c r="AL634" s="5449">
        <f t="shared" si="185"/>
        <v>8061</v>
      </c>
      <c r="AM634" s="5164" t="s">
        <v>1061</v>
      </c>
      <c r="AN634" s="5399">
        <v>44496</v>
      </c>
      <c r="AO634" s="5400" t="s">
        <v>9353</v>
      </c>
      <c r="AP634" s="3851" t="s">
        <v>9004</v>
      </c>
      <c r="AQ634" s="3852">
        <v>1.0956269999999999</v>
      </c>
      <c r="AR634" s="5167">
        <v>0</v>
      </c>
      <c r="AS634" s="5401">
        <v>0</v>
      </c>
      <c r="AT634" s="5401">
        <v>0</v>
      </c>
      <c r="AU634" s="5401">
        <v>0</v>
      </c>
      <c r="AV634" s="5401">
        <v>0</v>
      </c>
      <c r="AW634" s="5450">
        <f>ROUND(AL634*AQ634/G634,0)</f>
        <v>8735</v>
      </c>
      <c r="AX634" s="5386"/>
      <c r="AY634" s="4029" t="s">
        <v>9287</v>
      </c>
      <c r="AZ634" s="3888">
        <f>SUM(AW627:AW634)</f>
        <v>180493</v>
      </c>
      <c r="BA634" s="4028">
        <f>AZ634</f>
        <v>180493</v>
      </c>
      <c r="BB634" s="267"/>
      <c r="BC634" s="4117">
        <f t="shared" si="184"/>
        <v>0</v>
      </c>
      <c r="BD634" s="4117">
        <f t="shared" si="180"/>
        <v>0</v>
      </c>
      <c r="BE634" s="267"/>
    </row>
    <row r="635" spans="1:57" ht="102">
      <c r="A635" s="2418" t="s">
        <v>4276</v>
      </c>
      <c r="B635" s="338" t="s">
        <v>9364</v>
      </c>
      <c r="C635" s="321">
        <v>0</v>
      </c>
      <c r="D635" s="323">
        <v>44056</v>
      </c>
      <c r="E635" s="3058" t="s">
        <v>7972</v>
      </c>
      <c r="F635" s="324" t="s">
        <v>7957</v>
      </c>
      <c r="G635" s="2621">
        <v>1.0795220000000001</v>
      </c>
      <c r="H635" s="332" t="s">
        <v>8264</v>
      </c>
      <c r="I635" s="339" t="s">
        <v>7984</v>
      </c>
      <c r="J635" s="2399" t="s">
        <v>4306</v>
      </c>
      <c r="K635" s="340">
        <v>44786</v>
      </c>
      <c r="L635" s="339" t="s">
        <v>7985</v>
      </c>
      <c r="M635" s="322" t="s">
        <v>7986</v>
      </c>
      <c r="N635" s="339" t="s">
        <v>7987</v>
      </c>
      <c r="O635" s="322" t="s">
        <v>7986</v>
      </c>
      <c r="P635" s="345" t="s">
        <v>8008</v>
      </c>
      <c r="Q635" s="6094" t="s">
        <v>5708</v>
      </c>
      <c r="R635" s="322" t="s">
        <v>5350</v>
      </c>
      <c r="S635" s="346"/>
      <c r="T635" s="347"/>
      <c r="U635" s="326"/>
      <c r="V635" s="348"/>
      <c r="W635" s="347"/>
      <c r="X635" s="326"/>
      <c r="Y635" s="348"/>
      <c r="Z635" s="347"/>
      <c r="AA635" s="326"/>
      <c r="AB635" s="348"/>
      <c r="AC635" s="347"/>
      <c r="AD635" s="326"/>
      <c r="AE635" s="348"/>
      <c r="AF635" s="347"/>
      <c r="AG635" s="326"/>
      <c r="AH635" s="348"/>
      <c r="AI635" s="482">
        <v>5485</v>
      </c>
      <c r="AJ635" s="326">
        <v>0</v>
      </c>
      <c r="AK635" s="3917">
        <v>0</v>
      </c>
      <c r="AL635" s="349">
        <f t="shared" si="185"/>
        <v>5485</v>
      </c>
      <c r="AM635" s="2002" t="s">
        <v>1061</v>
      </c>
      <c r="AN635" s="3357">
        <v>44502</v>
      </c>
      <c r="AO635" s="695" t="s">
        <v>9362</v>
      </c>
      <c r="AP635" s="3362" t="s">
        <v>9004</v>
      </c>
      <c r="AQ635" s="3555">
        <v>1.0956269999999999</v>
      </c>
      <c r="AR635" s="333"/>
      <c r="AS635" s="330"/>
      <c r="AT635" s="330"/>
      <c r="AU635" s="330"/>
      <c r="AV635" s="330"/>
      <c r="AW635" s="3156">
        <f>ROUND(AL635*AQ635/G635,0)</f>
        <v>5567</v>
      </c>
      <c r="AX635" s="3140"/>
      <c r="BA635" s="267"/>
      <c r="BB635" s="267"/>
      <c r="BC635" s="4117">
        <f t="shared" si="184"/>
        <v>0</v>
      </c>
      <c r="BD635" s="4117">
        <f t="shared" si="180"/>
        <v>0</v>
      </c>
      <c r="BE635" s="267"/>
    </row>
    <row r="636" spans="1:57" ht="76.5">
      <c r="A636" s="2418" t="s">
        <v>11004</v>
      </c>
      <c r="B636" s="338" t="s">
        <v>11220</v>
      </c>
      <c r="C636" s="321">
        <v>0</v>
      </c>
      <c r="D636" s="323">
        <v>43606</v>
      </c>
      <c r="E636" s="3051" t="s">
        <v>6386</v>
      </c>
      <c r="F636" s="324" t="s">
        <v>5757</v>
      </c>
      <c r="G636" s="2621">
        <v>1.0247219999999999</v>
      </c>
      <c r="H636" s="332" t="s">
        <v>6723</v>
      </c>
      <c r="I636" s="339" t="s">
        <v>6724</v>
      </c>
      <c r="J636" s="322" t="s">
        <v>4306</v>
      </c>
      <c r="K636" s="340">
        <v>44329</v>
      </c>
      <c r="L636" s="339" t="s">
        <v>6725</v>
      </c>
      <c r="M636" s="322" t="s">
        <v>6726</v>
      </c>
      <c r="N636" s="339" t="s">
        <v>6727</v>
      </c>
      <c r="O636" s="332" t="s">
        <v>6726</v>
      </c>
      <c r="P636" s="345" t="s">
        <v>9335</v>
      </c>
      <c r="Q636" s="6094" t="s">
        <v>5708</v>
      </c>
      <c r="R636" s="322" t="s">
        <v>5350</v>
      </c>
      <c r="S636" s="346"/>
      <c r="T636" s="347">
        <v>2444</v>
      </c>
      <c r="U636" s="326">
        <v>0</v>
      </c>
      <c r="V636" s="348">
        <f>T636-U636</f>
        <v>2444</v>
      </c>
      <c r="W636" s="347">
        <v>3056</v>
      </c>
      <c r="X636" s="326">
        <v>0</v>
      </c>
      <c r="Y636" s="348">
        <f>W636-X636</f>
        <v>3056</v>
      </c>
      <c r="Z636" s="347">
        <v>0</v>
      </c>
      <c r="AA636" s="326">
        <v>0</v>
      </c>
      <c r="AB636" s="348">
        <f>Z636-AA636</f>
        <v>0</v>
      </c>
      <c r="AC636" s="347"/>
      <c r="AD636" s="326"/>
      <c r="AE636" s="348"/>
      <c r="AF636" s="347"/>
      <c r="AG636" s="326"/>
      <c r="AH636" s="348"/>
      <c r="AI636" s="482">
        <v>0</v>
      </c>
      <c r="AJ636" s="326">
        <f>U636+X636+AA636+AD636+AG636</f>
        <v>0</v>
      </c>
      <c r="AK636" s="3917">
        <v>0</v>
      </c>
      <c r="AL636" s="349">
        <f t="shared" si="185"/>
        <v>0</v>
      </c>
      <c r="AM636" s="2002" t="s">
        <v>9365</v>
      </c>
      <c r="AN636" s="3357">
        <v>44503</v>
      </c>
      <c r="AO636" s="695" t="s">
        <v>9366</v>
      </c>
      <c r="AP636" s="3222" t="s">
        <v>9004</v>
      </c>
      <c r="AQ636" s="3223">
        <v>1.0956269999999999</v>
      </c>
      <c r="AR636" s="333">
        <v>0</v>
      </c>
      <c r="AS636" s="330">
        <v>0</v>
      </c>
      <c r="AT636" s="330">
        <v>0</v>
      </c>
      <c r="AU636" s="330">
        <v>0</v>
      </c>
      <c r="AV636" s="330">
        <v>0</v>
      </c>
      <c r="AW636" s="3156">
        <v>1470</v>
      </c>
      <c r="AX636" s="3140"/>
      <c r="BB636" s="267"/>
      <c r="BC636" s="4117">
        <f t="shared" si="184"/>
        <v>0</v>
      </c>
      <c r="BD636" s="4117">
        <f t="shared" si="180"/>
        <v>0</v>
      </c>
      <c r="BE636" s="267"/>
    </row>
    <row r="637" spans="1:57" ht="102">
      <c r="A637" s="2418" t="s">
        <v>4276</v>
      </c>
      <c r="B637" s="338" t="s">
        <v>11221</v>
      </c>
      <c r="C637" s="321">
        <v>0</v>
      </c>
      <c r="D637" s="323">
        <v>43941</v>
      </c>
      <c r="E637" s="3058" t="s">
        <v>7151</v>
      </c>
      <c r="F637" s="324" t="s">
        <v>7957</v>
      </c>
      <c r="G637" s="2621">
        <v>1.0795220000000001</v>
      </c>
      <c r="H637" s="332" t="s">
        <v>7981</v>
      </c>
      <c r="I637" s="339" t="s">
        <v>7806</v>
      </c>
      <c r="J637" s="2399" t="s">
        <v>4306</v>
      </c>
      <c r="K637" s="340">
        <v>44671</v>
      </c>
      <c r="L637" s="339" t="s">
        <v>7807</v>
      </c>
      <c r="M637" s="322" t="s">
        <v>7808</v>
      </c>
      <c r="N637" s="339" t="s">
        <v>7809</v>
      </c>
      <c r="O637" s="322" t="s">
        <v>7808</v>
      </c>
      <c r="P637" s="5171" t="s">
        <v>8017</v>
      </c>
      <c r="Q637" s="6094" t="s">
        <v>5708</v>
      </c>
      <c r="R637" s="322" t="s">
        <v>5350</v>
      </c>
      <c r="S637" s="346"/>
      <c r="T637" s="347"/>
      <c r="U637" s="326"/>
      <c r="V637" s="348"/>
      <c r="W637" s="347"/>
      <c r="X637" s="326"/>
      <c r="Y637" s="348"/>
      <c r="Z637" s="347"/>
      <c r="AA637" s="326"/>
      <c r="AB637" s="348"/>
      <c r="AC637" s="347"/>
      <c r="AD637" s="326"/>
      <c r="AE637" s="348"/>
      <c r="AF637" s="347"/>
      <c r="AG637" s="326"/>
      <c r="AH637" s="348"/>
      <c r="AI637" s="482">
        <v>1610</v>
      </c>
      <c r="AJ637" s="326">
        <v>0</v>
      </c>
      <c r="AK637" s="3917">
        <v>0</v>
      </c>
      <c r="AL637" s="349">
        <f t="shared" ref="AL637:AL666" si="187">AI637-AJ637-AK637</f>
        <v>1610</v>
      </c>
      <c r="AM637" s="2002" t="s">
        <v>1061</v>
      </c>
      <c r="AN637" s="3357">
        <v>44508</v>
      </c>
      <c r="AO637" s="695" t="s">
        <v>9374</v>
      </c>
      <c r="AP637" s="3696" t="s">
        <v>7957</v>
      </c>
      <c r="AQ637" s="3697">
        <v>1.0795220000000001</v>
      </c>
      <c r="AR637" s="333"/>
      <c r="AS637" s="330"/>
      <c r="AT637" s="330"/>
      <c r="AU637" s="330"/>
      <c r="AV637" s="330"/>
      <c r="AW637" s="3156">
        <f>ROUND(AL637*AQ637/G637,0)</f>
        <v>1610</v>
      </c>
      <c r="AX637" s="3140"/>
      <c r="BB637" s="267"/>
      <c r="BC637" s="4117">
        <f t="shared" si="184"/>
        <v>0</v>
      </c>
      <c r="BD637" s="4117">
        <f t="shared" si="180"/>
        <v>0</v>
      </c>
      <c r="BE637" s="267"/>
    </row>
    <row r="638" spans="1:57" ht="76.5">
      <c r="A638" s="2418" t="s">
        <v>4276</v>
      </c>
      <c r="B638" s="338" t="s">
        <v>7615</v>
      </c>
      <c r="C638" s="321">
        <v>0</v>
      </c>
      <c r="D638" s="323">
        <v>44153</v>
      </c>
      <c r="E638" s="3058" t="s">
        <v>8170</v>
      </c>
      <c r="F638" s="324" t="s">
        <v>7957</v>
      </c>
      <c r="G638" s="2621">
        <v>1.0795220000000001</v>
      </c>
      <c r="H638" s="332" t="s">
        <v>8307</v>
      </c>
      <c r="I638" s="339" t="s">
        <v>1433</v>
      </c>
      <c r="J638" s="322" t="s">
        <v>1434</v>
      </c>
      <c r="K638" s="340">
        <v>46338</v>
      </c>
      <c r="L638" s="339" t="s">
        <v>8308</v>
      </c>
      <c r="M638" s="322" t="s">
        <v>8309</v>
      </c>
      <c r="N638" s="339" t="s">
        <v>8311</v>
      </c>
      <c r="O638" s="332" t="s">
        <v>8310</v>
      </c>
      <c r="P638" s="345" t="s">
        <v>9371</v>
      </c>
      <c r="Q638" s="322" t="s">
        <v>8312</v>
      </c>
      <c r="R638" s="322" t="s">
        <v>4075</v>
      </c>
      <c r="S638" s="346" t="s">
        <v>8313</v>
      </c>
      <c r="T638" s="347"/>
      <c r="U638" s="326"/>
      <c r="V638" s="348"/>
      <c r="W638" s="347"/>
      <c r="X638" s="326"/>
      <c r="Y638" s="348"/>
      <c r="Z638" s="347"/>
      <c r="AA638" s="326"/>
      <c r="AB638" s="348"/>
      <c r="AC638" s="347"/>
      <c r="AD638" s="326"/>
      <c r="AE638" s="348"/>
      <c r="AF638" s="347"/>
      <c r="AG638" s="326"/>
      <c r="AH638" s="348"/>
      <c r="AI638" s="482">
        <v>59589</v>
      </c>
      <c r="AJ638" s="326">
        <v>0</v>
      </c>
      <c r="AK638" s="3917">
        <v>7704</v>
      </c>
      <c r="AL638" s="349">
        <f t="shared" si="187"/>
        <v>51885</v>
      </c>
      <c r="AM638" s="2002" t="s">
        <v>1061</v>
      </c>
      <c r="AN638" s="3357">
        <v>44509</v>
      </c>
      <c r="AO638" s="695" t="s">
        <v>9375</v>
      </c>
      <c r="AP638" s="3362" t="s">
        <v>9004</v>
      </c>
      <c r="AQ638" s="3555">
        <v>1.0956269999999999</v>
      </c>
      <c r="AR638" s="333"/>
      <c r="AS638" s="330"/>
      <c r="AT638" s="330"/>
      <c r="AU638" s="330"/>
      <c r="AV638" s="330"/>
      <c r="AW638" s="3156">
        <f>ROUND(AL638*AQ638/G638,0)</f>
        <v>52659</v>
      </c>
      <c r="AX638" s="3140"/>
      <c r="BB638" s="267"/>
      <c r="BC638" s="4117">
        <f t="shared" si="184"/>
        <v>0</v>
      </c>
      <c r="BD638" s="4117">
        <f t="shared" si="180"/>
        <v>7819</v>
      </c>
      <c r="BE638" s="267"/>
    </row>
    <row r="639" spans="1:57" ht="76.5">
      <c r="A639" s="2418" t="s">
        <v>4276</v>
      </c>
      <c r="B639" s="338" t="s">
        <v>9376</v>
      </c>
      <c r="C639" s="321">
        <v>0</v>
      </c>
      <c r="D639" s="323">
        <v>43941</v>
      </c>
      <c r="E639" s="3058" t="s">
        <v>7151</v>
      </c>
      <c r="F639" s="324" t="s">
        <v>6893</v>
      </c>
      <c r="G639" s="2621">
        <v>1.047839</v>
      </c>
      <c r="H639" s="332" t="s">
        <v>7802</v>
      </c>
      <c r="I639" s="339" t="s">
        <v>5753</v>
      </c>
      <c r="J639" s="322" t="s">
        <v>2712</v>
      </c>
      <c r="K639" s="340">
        <v>45396</v>
      </c>
      <c r="L639" s="339" t="s">
        <v>7803</v>
      </c>
      <c r="M639" s="322" t="s">
        <v>2323</v>
      </c>
      <c r="N639" s="339" t="s">
        <v>7805</v>
      </c>
      <c r="O639" s="332" t="s">
        <v>7804</v>
      </c>
      <c r="P639" s="345" t="s">
        <v>7390</v>
      </c>
      <c r="Q639" s="322" t="s">
        <v>7800</v>
      </c>
      <c r="R639" s="322" t="s">
        <v>7801</v>
      </c>
      <c r="S639" s="346"/>
      <c r="T639" s="347"/>
      <c r="U639" s="326"/>
      <c r="V639" s="348"/>
      <c r="W639" s="347"/>
      <c r="X639" s="326"/>
      <c r="Y639" s="348"/>
      <c r="Z639" s="347"/>
      <c r="AA639" s="326"/>
      <c r="AB639" s="348"/>
      <c r="AC639" s="347"/>
      <c r="AD639" s="326"/>
      <c r="AE639" s="348"/>
      <c r="AF639" s="347"/>
      <c r="AG639" s="326"/>
      <c r="AH639" s="348"/>
      <c r="AI639" s="482">
        <v>15843</v>
      </c>
      <c r="AJ639" s="326">
        <v>0</v>
      </c>
      <c r="AK639" s="3917">
        <v>0</v>
      </c>
      <c r="AL639" s="349">
        <f t="shared" si="187"/>
        <v>15843</v>
      </c>
      <c r="AM639" s="2002" t="s">
        <v>1061</v>
      </c>
      <c r="AN639" s="3357">
        <v>44512</v>
      </c>
      <c r="AO639" s="695" t="s">
        <v>9400</v>
      </c>
      <c r="AP639" s="3362" t="s">
        <v>9004</v>
      </c>
      <c r="AQ639" s="3555">
        <v>1.0956269999999999</v>
      </c>
      <c r="AR639" s="333"/>
      <c r="AS639" s="330"/>
      <c r="AT639" s="330"/>
      <c r="AU639" s="330"/>
      <c r="AV639" s="330"/>
      <c r="AW639" s="3156">
        <f>ROUND(AL639*AQ639/G639,0)</f>
        <v>16566</v>
      </c>
      <c r="AX639" s="3140"/>
      <c r="BA639" s="267"/>
      <c r="BB639" s="267"/>
      <c r="BC639" s="4117">
        <f t="shared" si="184"/>
        <v>0</v>
      </c>
      <c r="BD639" s="4117">
        <f t="shared" si="180"/>
        <v>0</v>
      </c>
      <c r="BE639" s="267"/>
    </row>
    <row r="640" spans="1:57" ht="76.5">
      <c r="A640" s="2418" t="s">
        <v>11004</v>
      </c>
      <c r="B640" s="338" t="s">
        <v>11222</v>
      </c>
      <c r="C640" s="321">
        <v>0</v>
      </c>
      <c r="D640" s="323">
        <v>43767</v>
      </c>
      <c r="E640" s="829" t="s">
        <v>7151</v>
      </c>
      <c r="F640" s="830" t="s">
        <v>11223</v>
      </c>
      <c r="G640" s="2671">
        <v>1.0795220000000001</v>
      </c>
      <c r="H640" s="332" t="s">
        <v>7277</v>
      </c>
      <c r="I640" s="339" t="s">
        <v>1433</v>
      </c>
      <c r="J640" s="322" t="s">
        <v>1434</v>
      </c>
      <c r="K640" s="341" t="s">
        <v>7278</v>
      </c>
      <c r="L640" s="339" t="s">
        <v>7279</v>
      </c>
      <c r="M640" s="322" t="s">
        <v>3046</v>
      </c>
      <c r="N640" s="339" t="s">
        <v>7280</v>
      </c>
      <c r="O640" s="332" t="s">
        <v>7281</v>
      </c>
      <c r="P640" s="345" t="s">
        <v>8485</v>
      </c>
      <c r="Q640" s="6094" t="s">
        <v>8816</v>
      </c>
      <c r="R640" s="322" t="s">
        <v>7282</v>
      </c>
      <c r="S640" s="346"/>
      <c r="T640" s="347"/>
      <c r="U640" s="326"/>
      <c r="V640" s="348"/>
      <c r="W640" s="347"/>
      <c r="X640" s="326"/>
      <c r="Y640" s="348"/>
      <c r="Z640" s="347"/>
      <c r="AA640" s="326"/>
      <c r="AB640" s="348"/>
      <c r="AC640" s="347"/>
      <c r="AD640" s="326"/>
      <c r="AE640" s="348"/>
      <c r="AF640" s="347"/>
      <c r="AG640" s="326"/>
      <c r="AH640" s="348"/>
      <c r="AI640" s="482">
        <v>4363</v>
      </c>
      <c r="AJ640" s="326">
        <v>0</v>
      </c>
      <c r="AK640" s="3917">
        <v>0</v>
      </c>
      <c r="AL640" s="349">
        <f t="shared" si="187"/>
        <v>4363</v>
      </c>
      <c r="AM640" s="2002" t="s">
        <v>9399</v>
      </c>
      <c r="AN640" s="3357">
        <v>44512</v>
      </c>
      <c r="AO640" s="695" t="s">
        <v>9401</v>
      </c>
      <c r="AP640" s="3696" t="s">
        <v>7957</v>
      </c>
      <c r="AQ640" s="3697">
        <v>1.0795220000000001</v>
      </c>
      <c r="AR640" s="333"/>
      <c r="AS640" s="330"/>
      <c r="AT640" s="330"/>
      <c r="AU640" s="330"/>
      <c r="AV640" s="330"/>
      <c r="AW640" s="3156">
        <f>ROUND(AL640*AQ640/G640,0)+20</f>
        <v>4383</v>
      </c>
      <c r="AX640" s="3140"/>
      <c r="BA640" s="267"/>
      <c r="BB640" s="267"/>
      <c r="BC640" s="4117">
        <f t="shared" si="184"/>
        <v>0</v>
      </c>
      <c r="BD640" s="4117">
        <f t="shared" si="180"/>
        <v>0</v>
      </c>
      <c r="BE640" s="267"/>
    </row>
    <row r="641" spans="1:57" ht="89.25">
      <c r="A641" s="2418" t="s">
        <v>11003</v>
      </c>
      <c r="B641" s="338" t="s">
        <v>11255</v>
      </c>
      <c r="C641" s="321">
        <v>0</v>
      </c>
      <c r="D641" s="323">
        <v>44078</v>
      </c>
      <c r="E641" s="3058" t="s">
        <v>7972</v>
      </c>
      <c r="F641" s="324" t="s">
        <v>7957</v>
      </c>
      <c r="G641" s="2621">
        <v>1.0795220000000001</v>
      </c>
      <c r="H641" s="332" t="s">
        <v>8037</v>
      </c>
      <c r="I641" s="339" t="s">
        <v>1433</v>
      </c>
      <c r="J641" s="322" t="s">
        <v>1434</v>
      </c>
      <c r="K641" s="340">
        <v>46233</v>
      </c>
      <c r="L641" s="339" t="s">
        <v>8031</v>
      </c>
      <c r="M641" s="322" t="s">
        <v>8032</v>
      </c>
      <c r="N641" s="339" t="s">
        <v>8034</v>
      </c>
      <c r="O641" s="332" t="s">
        <v>8035</v>
      </c>
      <c r="P641" s="667" t="s">
        <v>9082</v>
      </c>
      <c r="Q641" s="6094" t="s">
        <v>5708</v>
      </c>
      <c r="R641" s="322" t="s">
        <v>5350</v>
      </c>
      <c r="S641" s="346"/>
      <c r="T641" s="347"/>
      <c r="U641" s="326"/>
      <c r="V641" s="348"/>
      <c r="W641" s="347"/>
      <c r="X641" s="326"/>
      <c r="Y641" s="348"/>
      <c r="Z641" s="347"/>
      <c r="AA641" s="326"/>
      <c r="AB641" s="348"/>
      <c r="AC641" s="347"/>
      <c r="AD641" s="326"/>
      <c r="AE641" s="348"/>
      <c r="AF641" s="347"/>
      <c r="AG641" s="326"/>
      <c r="AH641" s="348"/>
      <c r="AI641" s="482">
        <v>0</v>
      </c>
      <c r="AJ641" s="326">
        <v>0</v>
      </c>
      <c r="AK641" s="3917">
        <v>0</v>
      </c>
      <c r="AL641" s="349">
        <f t="shared" si="187"/>
        <v>0</v>
      </c>
      <c r="AM641" s="5358" t="s">
        <v>9407</v>
      </c>
      <c r="AN641" s="3357">
        <v>44515</v>
      </c>
      <c r="AO641" s="695" t="s">
        <v>9408</v>
      </c>
      <c r="AP641" s="3696" t="s">
        <v>9004</v>
      </c>
      <c r="AQ641" s="3697">
        <v>1.0956269999999999</v>
      </c>
      <c r="AR641" s="333"/>
      <c r="AS641" s="330"/>
      <c r="AT641" s="330"/>
      <c r="AU641" s="330"/>
      <c r="AV641" s="330"/>
      <c r="AW641" s="3156">
        <v>548</v>
      </c>
      <c r="AX641" s="3140"/>
      <c r="BA641" s="267"/>
      <c r="BB641" s="267"/>
      <c r="BC641" s="4117">
        <f t="shared" si="184"/>
        <v>0</v>
      </c>
      <c r="BD641" s="4117">
        <f t="shared" si="180"/>
        <v>0</v>
      </c>
      <c r="BE641" s="267"/>
    </row>
    <row r="642" spans="1:57" ht="89.25">
      <c r="A642" s="2418" t="s">
        <v>11003</v>
      </c>
      <c r="B642" s="338" t="s">
        <v>9175</v>
      </c>
      <c r="C642" s="695">
        <v>1</v>
      </c>
      <c r="D642" s="323">
        <v>44063</v>
      </c>
      <c r="E642" s="3058" t="s">
        <v>7972</v>
      </c>
      <c r="F642" s="324" t="s">
        <v>7957</v>
      </c>
      <c r="G642" s="2621">
        <v>1.0795220000000001</v>
      </c>
      <c r="H642" s="332" t="s">
        <v>8030</v>
      </c>
      <c r="I642" s="339" t="s">
        <v>1433</v>
      </c>
      <c r="J642" s="322" t="s">
        <v>1434</v>
      </c>
      <c r="K642" s="340">
        <v>46184</v>
      </c>
      <c r="L642" s="339" t="s">
        <v>7998</v>
      </c>
      <c r="M642" s="322" t="s">
        <v>1957</v>
      </c>
      <c r="N642" s="339" t="s">
        <v>7999</v>
      </c>
      <c r="O642" s="332" t="s">
        <v>8000</v>
      </c>
      <c r="P642" s="930" t="s">
        <v>9176</v>
      </c>
      <c r="Q642" s="322" t="s">
        <v>8001</v>
      </c>
      <c r="R642" s="322" t="s">
        <v>8002</v>
      </c>
      <c r="S642" s="346"/>
      <c r="T642" s="347"/>
      <c r="U642" s="326"/>
      <c r="V642" s="348"/>
      <c r="W642" s="347"/>
      <c r="X642" s="326"/>
      <c r="Y642" s="348"/>
      <c r="Z642" s="347"/>
      <c r="AA642" s="326"/>
      <c r="AB642" s="348"/>
      <c r="AC642" s="347"/>
      <c r="AD642" s="326"/>
      <c r="AE642" s="348"/>
      <c r="AF642" s="347"/>
      <c r="AG642" s="326"/>
      <c r="AH642" s="348"/>
      <c r="AI642" s="482">
        <v>52518</v>
      </c>
      <c r="AJ642" s="326">
        <v>0</v>
      </c>
      <c r="AK642" s="3917">
        <v>0</v>
      </c>
      <c r="AL642" s="349">
        <f t="shared" si="187"/>
        <v>52518</v>
      </c>
      <c r="AM642" s="2002" t="s">
        <v>1061</v>
      </c>
      <c r="AN642" s="3357">
        <v>44516</v>
      </c>
      <c r="AO642" s="695" t="s">
        <v>9409</v>
      </c>
      <c r="AP642" s="3362" t="s">
        <v>9004</v>
      </c>
      <c r="AQ642" s="3555">
        <v>1.0956269999999999</v>
      </c>
      <c r="AR642" s="333"/>
      <c r="AS642" s="330"/>
      <c r="AT642" s="330"/>
      <c r="AU642" s="330"/>
      <c r="AV642" s="330"/>
      <c r="AW642" s="3156">
        <f>ROUND(AL642*AQ642/G642,0)</f>
        <v>53301</v>
      </c>
      <c r="AX642" s="3140"/>
      <c r="BA642" s="267"/>
      <c r="BB642" s="267"/>
      <c r="BC642" s="4117">
        <f t="shared" si="184"/>
        <v>0</v>
      </c>
      <c r="BD642" s="4117">
        <f t="shared" si="180"/>
        <v>0</v>
      </c>
      <c r="BE642" s="267"/>
    </row>
    <row r="643" spans="1:57" ht="76.5">
      <c r="A643" s="2418" t="s">
        <v>11003</v>
      </c>
      <c r="B643" s="338" t="s">
        <v>9177</v>
      </c>
      <c r="C643" s="321">
        <v>0</v>
      </c>
      <c r="D643" s="323">
        <v>44435</v>
      </c>
      <c r="E643" s="3058" t="s">
        <v>9156</v>
      </c>
      <c r="F643" s="830" t="s">
        <v>9005</v>
      </c>
      <c r="G643" s="5356">
        <v>1.0956269999999999</v>
      </c>
      <c r="H643" s="332" t="s">
        <v>9172</v>
      </c>
      <c r="I643" s="339" t="s">
        <v>1433</v>
      </c>
      <c r="J643" s="322" t="s">
        <v>1434</v>
      </c>
      <c r="K643" s="340">
        <v>46184</v>
      </c>
      <c r="L643" s="339" t="s">
        <v>7998</v>
      </c>
      <c r="M643" s="322" t="s">
        <v>1957</v>
      </c>
      <c r="N643" s="339" t="s">
        <v>7999</v>
      </c>
      <c r="O643" s="332" t="s">
        <v>9173</v>
      </c>
      <c r="P643" s="345" t="s">
        <v>9178</v>
      </c>
      <c r="Q643" s="322" t="s">
        <v>9179</v>
      </c>
      <c r="R643" s="322" t="s">
        <v>9174</v>
      </c>
      <c r="S643" s="346"/>
      <c r="T643" s="347"/>
      <c r="U643" s="326"/>
      <c r="V643" s="348"/>
      <c r="W643" s="347"/>
      <c r="X643" s="326"/>
      <c r="Y643" s="348"/>
      <c r="Z643" s="347"/>
      <c r="AA643" s="326"/>
      <c r="AB643" s="348"/>
      <c r="AC643" s="347"/>
      <c r="AD643" s="326"/>
      <c r="AE643" s="348"/>
      <c r="AF643" s="347"/>
      <c r="AG643" s="326"/>
      <c r="AH643" s="348"/>
      <c r="AI643" s="482">
        <v>6951</v>
      </c>
      <c r="AJ643" s="326">
        <v>0</v>
      </c>
      <c r="AK643" s="3917">
        <v>0</v>
      </c>
      <c r="AL643" s="349">
        <f t="shared" si="187"/>
        <v>6951</v>
      </c>
      <c r="AM643" s="2002" t="s">
        <v>1061</v>
      </c>
      <c r="AN643" s="3357">
        <v>44516</v>
      </c>
      <c r="AO643" s="695" t="s">
        <v>9409</v>
      </c>
      <c r="AP643" s="3362" t="s">
        <v>9004</v>
      </c>
      <c r="AQ643" s="3555">
        <v>1.0956269999999999</v>
      </c>
      <c r="AR643" s="333"/>
      <c r="AS643" s="330"/>
      <c r="AT643" s="330"/>
      <c r="AU643" s="330"/>
      <c r="AV643" s="330"/>
      <c r="AW643" s="3156">
        <f>ROUND(AL643*AQ643/G643,0)</f>
        <v>6951</v>
      </c>
      <c r="AX643" s="3140"/>
      <c r="BA643" s="267"/>
      <c r="BB643" s="267"/>
      <c r="BC643" s="4117">
        <f t="shared" si="184"/>
        <v>0</v>
      </c>
      <c r="BD643" s="4117">
        <f t="shared" si="180"/>
        <v>0</v>
      </c>
      <c r="BE643" s="267"/>
    </row>
    <row r="644" spans="1:57" ht="89.25">
      <c r="A644" s="2418" t="s">
        <v>11003</v>
      </c>
      <c r="B644" s="338" t="s">
        <v>11255</v>
      </c>
      <c r="C644" s="321">
        <v>0</v>
      </c>
      <c r="D644" s="323">
        <v>44078</v>
      </c>
      <c r="E644" s="3058" t="s">
        <v>7972</v>
      </c>
      <c r="F644" s="324" t="s">
        <v>7957</v>
      </c>
      <c r="G644" s="2621">
        <v>1.0795220000000001</v>
      </c>
      <c r="H644" s="332" t="s">
        <v>8037</v>
      </c>
      <c r="I644" s="339" t="s">
        <v>1433</v>
      </c>
      <c r="J644" s="322" t="s">
        <v>1434</v>
      </c>
      <c r="K644" s="340">
        <v>46233</v>
      </c>
      <c r="L644" s="339" t="s">
        <v>8031</v>
      </c>
      <c r="M644" s="322" t="s">
        <v>8032</v>
      </c>
      <c r="N644" s="339" t="s">
        <v>8034</v>
      </c>
      <c r="O644" s="332" t="s">
        <v>8035</v>
      </c>
      <c r="P644" s="667" t="s">
        <v>9082</v>
      </c>
      <c r="Q644" s="6094" t="s">
        <v>5708</v>
      </c>
      <c r="R644" s="322" t="s">
        <v>5350</v>
      </c>
      <c r="S644" s="346"/>
      <c r="T644" s="347"/>
      <c r="U644" s="326"/>
      <c r="V644" s="348"/>
      <c r="W644" s="347"/>
      <c r="X644" s="326"/>
      <c r="Y644" s="348"/>
      <c r="Z644" s="347"/>
      <c r="AA644" s="326"/>
      <c r="AB644" s="348"/>
      <c r="AC644" s="347"/>
      <c r="AD644" s="326"/>
      <c r="AE644" s="348"/>
      <c r="AF644" s="347"/>
      <c r="AG644" s="326"/>
      <c r="AH644" s="348"/>
      <c r="AI644" s="482">
        <v>0</v>
      </c>
      <c r="AJ644" s="326">
        <v>0</v>
      </c>
      <c r="AK644" s="3917">
        <v>0</v>
      </c>
      <c r="AL644" s="349">
        <f t="shared" si="187"/>
        <v>0</v>
      </c>
      <c r="AM644" s="5358" t="s">
        <v>9432</v>
      </c>
      <c r="AN644" s="3357">
        <v>44518</v>
      </c>
      <c r="AO644" s="695" t="s">
        <v>9433</v>
      </c>
      <c r="AP644" s="3696" t="s">
        <v>9004</v>
      </c>
      <c r="AQ644" s="3697">
        <v>1.0956269999999999</v>
      </c>
      <c r="AR644" s="333"/>
      <c r="AS644" s="330"/>
      <c r="AT644" s="330"/>
      <c r="AU644" s="330"/>
      <c r="AV644" s="330"/>
      <c r="AW644" s="3156">
        <v>548</v>
      </c>
      <c r="AX644" s="3140"/>
      <c r="BA644" s="267"/>
      <c r="BB644" s="267"/>
      <c r="BC644" s="4117">
        <f t="shared" si="184"/>
        <v>0</v>
      </c>
      <c r="BD644" s="4117">
        <f t="shared" ref="BD644:BD700" si="188">ROUND($AK644*$AQ644/$G644,0)</f>
        <v>0</v>
      </c>
      <c r="BE644" s="267"/>
    </row>
    <row r="645" spans="1:57" ht="63.75">
      <c r="A645" s="2418" t="s">
        <v>11003</v>
      </c>
      <c r="B645" s="338" t="s">
        <v>9414</v>
      </c>
      <c r="C645" s="321">
        <v>0</v>
      </c>
      <c r="D645" s="323">
        <v>44326</v>
      </c>
      <c r="E645" s="3058" t="s">
        <v>8170</v>
      </c>
      <c r="F645" s="324" t="s">
        <v>7957</v>
      </c>
      <c r="G645" s="2621">
        <v>1.0795220000000001</v>
      </c>
      <c r="H645" s="332" t="s">
        <v>8772</v>
      </c>
      <c r="I645" s="339" t="s">
        <v>5753</v>
      </c>
      <c r="J645" s="322" t="s">
        <v>2712</v>
      </c>
      <c r="K645" s="340">
        <v>45777</v>
      </c>
      <c r="L645" s="339" t="s">
        <v>8768</v>
      </c>
      <c r="M645" s="322" t="s">
        <v>8769</v>
      </c>
      <c r="N645" s="339" t="s">
        <v>8770</v>
      </c>
      <c r="O645" s="332" t="s">
        <v>8771</v>
      </c>
      <c r="P645" s="345"/>
      <c r="Q645" s="322" t="s">
        <v>8777</v>
      </c>
      <c r="R645" s="322" t="s">
        <v>8778</v>
      </c>
      <c r="S645" s="346"/>
      <c r="T645" s="347"/>
      <c r="U645" s="326"/>
      <c r="V645" s="348"/>
      <c r="W645" s="347"/>
      <c r="X645" s="326"/>
      <c r="Y645" s="348"/>
      <c r="Z645" s="347"/>
      <c r="AA645" s="326"/>
      <c r="AB645" s="348"/>
      <c r="AC645" s="347"/>
      <c r="AD645" s="326"/>
      <c r="AE645" s="348"/>
      <c r="AF645" s="347"/>
      <c r="AG645" s="326"/>
      <c r="AH645" s="348"/>
      <c r="AI645" s="482">
        <v>15452</v>
      </c>
      <c r="AJ645" s="326">
        <v>0</v>
      </c>
      <c r="AK645" s="3917">
        <v>0</v>
      </c>
      <c r="AL645" s="349">
        <f t="shared" si="187"/>
        <v>15452</v>
      </c>
      <c r="AM645" s="2002" t="s">
        <v>1061</v>
      </c>
      <c r="AN645" s="3357">
        <v>44518</v>
      </c>
      <c r="AO645" s="695" t="s">
        <v>9431</v>
      </c>
      <c r="AP645" s="3362" t="s">
        <v>9004</v>
      </c>
      <c r="AQ645" s="3555">
        <v>1.0956269999999999</v>
      </c>
      <c r="AR645" s="333"/>
      <c r="AS645" s="330"/>
      <c r="AT645" s="330"/>
      <c r="AU645" s="330"/>
      <c r="AV645" s="330"/>
      <c r="AW645" s="3156">
        <f t="shared" ref="AW645:AW652" si="189">ROUND(AL645*AQ645/G645,0)</f>
        <v>15683</v>
      </c>
      <c r="AX645" s="3140"/>
      <c r="BA645" s="267"/>
      <c r="BB645" s="267"/>
      <c r="BC645" s="4117">
        <f t="shared" si="184"/>
        <v>0</v>
      </c>
      <c r="BD645" s="4117">
        <f t="shared" si="188"/>
        <v>0</v>
      </c>
      <c r="BE645" s="267"/>
    </row>
    <row r="646" spans="1:57" ht="76.5">
      <c r="A646" s="2418" t="s">
        <v>11003</v>
      </c>
      <c r="B646" s="338" t="s">
        <v>9434</v>
      </c>
      <c r="C646" s="321">
        <v>0</v>
      </c>
      <c r="D646" s="323">
        <v>44517</v>
      </c>
      <c r="E646" s="3058" t="s">
        <v>9156</v>
      </c>
      <c r="F646" s="830" t="s">
        <v>9005</v>
      </c>
      <c r="G646" s="5356">
        <v>1.0956269999999999</v>
      </c>
      <c r="H646" s="332" t="s">
        <v>9418</v>
      </c>
      <c r="I646" s="339" t="s">
        <v>9416</v>
      </c>
      <c r="J646" s="2399" t="s">
        <v>4306</v>
      </c>
      <c r="K646" s="340">
        <v>45247</v>
      </c>
      <c r="L646" s="339" t="s">
        <v>9423</v>
      </c>
      <c r="M646" s="322" t="s">
        <v>9424</v>
      </c>
      <c r="N646" s="339" t="s">
        <v>9425</v>
      </c>
      <c r="O646" s="332" t="s">
        <v>9426</v>
      </c>
      <c r="P646" s="345"/>
      <c r="Q646" s="6094" t="s">
        <v>9047</v>
      </c>
      <c r="R646" s="322" t="s">
        <v>945</v>
      </c>
      <c r="S646" s="346"/>
      <c r="T646" s="347"/>
      <c r="U646" s="326"/>
      <c r="V646" s="348"/>
      <c r="W646" s="347"/>
      <c r="X646" s="326"/>
      <c r="Y646" s="348"/>
      <c r="Z646" s="347"/>
      <c r="AA646" s="326"/>
      <c r="AB646" s="348"/>
      <c r="AC646" s="347"/>
      <c r="AD646" s="326"/>
      <c r="AE646" s="348"/>
      <c r="AF646" s="347"/>
      <c r="AG646" s="326"/>
      <c r="AH646" s="348"/>
      <c r="AI646" s="482">
        <v>5567</v>
      </c>
      <c r="AJ646" s="326">
        <v>0</v>
      </c>
      <c r="AK646" s="3917">
        <v>0</v>
      </c>
      <c r="AL646" s="349">
        <f t="shared" si="187"/>
        <v>5567</v>
      </c>
      <c r="AM646" s="2002" t="s">
        <v>1061</v>
      </c>
      <c r="AN646" s="3357">
        <v>44519</v>
      </c>
      <c r="AO646" s="695" t="s">
        <v>9442</v>
      </c>
      <c r="AP646" s="3362" t="s">
        <v>9004</v>
      </c>
      <c r="AQ646" s="3555">
        <v>1.0956269999999999</v>
      </c>
      <c r="AR646" s="333"/>
      <c r="AS646" s="330"/>
      <c r="AT646" s="330"/>
      <c r="AU646" s="330"/>
      <c r="AV646" s="330"/>
      <c r="AW646" s="3156">
        <f t="shared" si="189"/>
        <v>5567</v>
      </c>
      <c r="AX646" s="3140"/>
      <c r="BB646" s="267"/>
      <c r="BC646" s="4117">
        <f t="shared" si="184"/>
        <v>0</v>
      </c>
      <c r="BD646" s="4117">
        <f t="shared" si="188"/>
        <v>0</v>
      </c>
      <c r="BE646" s="267"/>
    </row>
    <row r="647" spans="1:57" ht="83.25">
      <c r="A647" s="5964" t="s">
        <v>11021</v>
      </c>
      <c r="B647" s="338" t="s">
        <v>9452</v>
      </c>
      <c r="C647" s="321">
        <v>0</v>
      </c>
      <c r="D647" s="323">
        <v>42780</v>
      </c>
      <c r="E647" s="3051" t="s">
        <v>6385</v>
      </c>
      <c r="F647" s="1203" t="s">
        <v>6737</v>
      </c>
      <c r="G647" s="2669">
        <v>114.1</v>
      </c>
      <c r="H647" s="332" t="s">
        <v>4351</v>
      </c>
      <c r="I647" s="339" t="s">
        <v>4352</v>
      </c>
      <c r="J647" s="322" t="s">
        <v>4306</v>
      </c>
      <c r="K647" s="340">
        <v>43510</v>
      </c>
      <c r="L647" s="339" t="s">
        <v>4354</v>
      </c>
      <c r="M647" s="322" t="s">
        <v>4355</v>
      </c>
      <c r="N647" s="339" t="s">
        <v>4356</v>
      </c>
      <c r="O647" s="322" t="s">
        <v>4355</v>
      </c>
      <c r="P647" s="345" t="s">
        <v>7760</v>
      </c>
      <c r="Q647" s="6094" t="s">
        <v>6638</v>
      </c>
      <c r="R647" s="322" t="s">
        <v>1046</v>
      </c>
      <c r="S647" s="346"/>
      <c r="T647" s="347">
        <f>580-1</f>
        <v>579</v>
      </c>
      <c r="U647" s="326">
        <v>0</v>
      </c>
      <c r="V647" s="348">
        <f>T647-U647</f>
        <v>579</v>
      </c>
      <c r="W647" s="347">
        <f>725-1</f>
        <v>724</v>
      </c>
      <c r="X647" s="326">
        <v>0</v>
      </c>
      <c r="Y647" s="348">
        <f>W647-X647</f>
        <v>724</v>
      </c>
      <c r="Z647" s="347">
        <v>207</v>
      </c>
      <c r="AA647" s="326">
        <v>0</v>
      </c>
      <c r="AB647" s="348">
        <f>Z647-AA647</f>
        <v>207</v>
      </c>
      <c r="AC647" s="347"/>
      <c r="AD647" s="326"/>
      <c r="AE647" s="348"/>
      <c r="AF647" s="347"/>
      <c r="AG647" s="326"/>
      <c r="AH647" s="348"/>
      <c r="AI647" s="482">
        <f>1512-2</f>
        <v>1510</v>
      </c>
      <c r="AJ647" s="326">
        <f>U647+X647+AA647+AD647+AG647</f>
        <v>0</v>
      </c>
      <c r="AK647" s="3917">
        <v>0</v>
      </c>
      <c r="AL647" s="349">
        <f t="shared" si="187"/>
        <v>1510</v>
      </c>
      <c r="AM647" s="2002" t="s">
        <v>2977</v>
      </c>
      <c r="AN647" s="3357">
        <v>44524</v>
      </c>
      <c r="AO647" s="695" t="s">
        <v>9453</v>
      </c>
      <c r="AP647" s="3222" t="s">
        <v>7742</v>
      </c>
      <c r="AQ647" s="3223">
        <v>116.3</v>
      </c>
      <c r="AR647" s="333">
        <v>0</v>
      </c>
      <c r="AS647" s="330">
        <v>0</v>
      </c>
      <c r="AT647" s="330">
        <v>0</v>
      </c>
      <c r="AU647" s="330">
        <v>0</v>
      </c>
      <c r="AV647" s="330">
        <v>0</v>
      </c>
      <c r="AW647" s="3156">
        <f t="shared" si="189"/>
        <v>1539</v>
      </c>
      <c r="AX647" s="3140"/>
      <c r="BA647" s="267"/>
      <c r="BB647" s="267"/>
      <c r="BC647" s="4117">
        <f t="shared" si="184"/>
        <v>0</v>
      </c>
      <c r="BD647" s="4117">
        <f t="shared" si="188"/>
        <v>0</v>
      </c>
      <c r="BE647" s="267"/>
    </row>
    <row r="648" spans="1:57" ht="90" thickBot="1">
      <c r="A648" s="6070" t="s">
        <v>11004</v>
      </c>
      <c r="B648" s="5084" t="s">
        <v>11224</v>
      </c>
      <c r="C648" s="5365">
        <v>0</v>
      </c>
      <c r="D648" s="5366">
        <v>43815</v>
      </c>
      <c r="E648" s="5367" t="s">
        <v>7151</v>
      </c>
      <c r="F648" s="5458" t="s">
        <v>6893</v>
      </c>
      <c r="G648" s="5459">
        <v>1.0795220000000001</v>
      </c>
      <c r="H648" s="5460" t="s">
        <v>7483</v>
      </c>
      <c r="I648" s="5090" t="s">
        <v>7484</v>
      </c>
      <c r="J648" s="5370" t="s">
        <v>4306</v>
      </c>
      <c r="K648" s="5461">
        <v>44546</v>
      </c>
      <c r="L648" s="5090" t="s">
        <v>7485</v>
      </c>
      <c r="M648" s="5370" t="s">
        <v>7486</v>
      </c>
      <c r="N648" s="5090" t="s">
        <v>7487</v>
      </c>
      <c r="O648" s="5460" t="s">
        <v>7488</v>
      </c>
      <c r="P648" s="5093" t="s">
        <v>8418</v>
      </c>
      <c r="Q648" s="6113" t="s">
        <v>5708</v>
      </c>
      <c r="R648" s="5370" t="s">
        <v>5350</v>
      </c>
      <c r="S648" s="5462"/>
      <c r="T648" s="5095"/>
      <c r="U648" s="5374"/>
      <c r="V648" s="5463"/>
      <c r="W648" s="5095"/>
      <c r="X648" s="5374"/>
      <c r="Y648" s="5463"/>
      <c r="Z648" s="5095"/>
      <c r="AA648" s="5374"/>
      <c r="AB648" s="5463"/>
      <c r="AC648" s="5095"/>
      <c r="AD648" s="5374"/>
      <c r="AE648" s="5463"/>
      <c r="AF648" s="5095"/>
      <c r="AG648" s="5374"/>
      <c r="AH648" s="5463"/>
      <c r="AI648" s="5098">
        <v>1449</v>
      </c>
      <c r="AJ648" s="5374">
        <v>0</v>
      </c>
      <c r="AK648" s="5464">
        <v>0</v>
      </c>
      <c r="AL648" s="5465">
        <f t="shared" si="187"/>
        <v>1449</v>
      </c>
      <c r="AM648" s="5209" t="s">
        <v>1061</v>
      </c>
      <c r="AN648" s="5381">
        <v>44529</v>
      </c>
      <c r="AO648" s="5382" t="s">
        <v>9464</v>
      </c>
      <c r="AP648" s="5466" t="s">
        <v>7957</v>
      </c>
      <c r="AQ648" s="5467">
        <v>1.0795220000000001</v>
      </c>
      <c r="AR648" s="5106"/>
      <c r="AS648" s="5383"/>
      <c r="AT648" s="5383"/>
      <c r="AU648" s="5383"/>
      <c r="AV648" s="5383"/>
      <c r="AW648" s="5439">
        <f t="shared" si="189"/>
        <v>1449</v>
      </c>
      <c r="AX648" s="5386"/>
      <c r="AY648" s="4031" t="s">
        <v>9361</v>
      </c>
      <c r="AZ648" s="3857">
        <f>SUM(AW635:AW648)</f>
        <v>167841</v>
      </c>
      <c r="BA648" s="4028">
        <f>AZ648</f>
        <v>167841</v>
      </c>
      <c r="BB648" s="267"/>
      <c r="BC648" s="4117">
        <f t="shared" si="184"/>
        <v>0</v>
      </c>
      <c r="BD648" s="4117">
        <f t="shared" si="188"/>
        <v>0</v>
      </c>
      <c r="BE648" s="5071"/>
    </row>
    <row r="649" spans="1:57" ht="89.25">
      <c r="A649" s="5981" t="s">
        <v>11003</v>
      </c>
      <c r="B649" s="1538" t="s">
        <v>8285</v>
      </c>
      <c r="C649" s="1509">
        <v>0</v>
      </c>
      <c r="D649" s="1510">
        <v>44257</v>
      </c>
      <c r="E649" s="4344" t="s">
        <v>8170</v>
      </c>
      <c r="F649" s="1511" t="s">
        <v>7957</v>
      </c>
      <c r="G649" s="2663">
        <v>1.0795220000000001</v>
      </c>
      <c r="H649" s="1513" t="s">
        <v>8597</v>
      </c>
      <c r="I649" s="5260" t="s">
        <v>8598</v>
      </c>
      <c r="J649" s="4345" t="s">
        <v>4306</v>
      </c>
      <c r="K649" s="1516">
        <v>44987</v>
      </c>
      <c r="L649" s="1514" t="s">
        <v>8599</v>
      </c>
      <c r="M649" s="1515" t="s">
        <v>8600</v>
      </c>
      <c r="N649" s="1514" t="s">
        <v>8601</v>
      </c>
      <c r="O649" s="1513" t="s">
        <v>8602</v>
      </c>
      <c r="P649" s="1517"/>
      <c r="Q649" s="6094" t="s">
        <v>5708</v>
      </c>
      <c r="R649" s="1515" t="s">
        <v>5350</v>
      </c>
      <c r="S649" s="1518"/>
      <c r="T649" s="1519"/>
      <c r="U649" s="1504"/>
      <c r="V649" s="1520"/>
      <c r="W649" s="1519"/>
      <c r="X649" s="1504"/>
      <c r="Y649" s="1520"/>
      <c r="Z649" s="1519"/>
      <c r="AA649" s="1504"/>
      <c r="AB649" s="1520"/>
      <c r="AC649" s="1519"/>
      <c r="AD649" s="1504"/>
      <c r="AE649" s="1520"/>
      <c r="AF649" s="1519"/>
      <c r="AG649" s="1504"/>
      <c r="AH649" s="1520"/>
      <c r="AI649" s="1503">
        <v>6437</v>
      </c>
      <c r="AJ649" s="1504">
        <v>0</v>
      </c>
      <c r="AK649" s="3919">
        <v>0</v>
      </c>
      <c r="AL649" s="1505">
        <f t="shared" si="187"/>
        <v>6437</v>
      </c>
      <c r="AM649" s="1508" t="s">
        <v>1061</v>
      </c>
      <c r="AN649" s="3401">
        <v>44532</v>
      </c>
      <c r="AO649" s="3402" t="s">
        <v>9477</v>
      </c>
      <c r="AP649" s="2905" t="s">
        <v>9004</v>
      </c>
      <c r="AQ649" s="2906">
        <v>1.0956269999999999</v>
      </c>
      <c r="AR649" s="1506"/>
      <c r="AS649" s="1507"/>
      <c r="AT649" s="1507"/>
      <c r="AU649" s="1507"/>
      <c r="AV649" s="1507"/>
      <c r="AW649" s="3247">
        <f t="shared" si="189"/>
        <v>6533</v>
      </c>
      <c r="AX649" s="3146"/>
      <c r="BA649" s="267"/>
      <c r="BB649" s="267"/>
      <c r="BC649" s="4117">
        <f t="shared" si="184"/>
        <v>0</v>
      </c>
      <c r="BD649" s="4117">
        <f t="shared" si="188"/>
        <v>0</v>
      </c>
      <c r="BE649" s="5071"/>
    </row>
    <row r="650" spans="1:57" ht="102">
      <c r="A650" s="5981" t="s">
        <v>11004</v>
      </c>
      <c r="B650" s="1538" t="s">
        <v>11225</v>
      </c>
      <c r="C650" s="1509">
        <v>0</v>
      </c>
      <c r="D650" s="1510" t="s">
        <v>11198</v>
      </c>
      <c r="E650" s="3053" t="s">
        <v>6386</v>
      </c>
      <c r="F650" s="1511" t="s">
        <v>11199</v>
      </c>
      <c r="G650" s="2805">
        <v>1.047839</v>
      </c>
      <c r="H650" s="1513" t="s">
        <v>6281</v>
      </c>
      <c r="I650" s="1514" t="s">
        <v>6284</v>
      </c>
      <c r="J650" s="1515" t="s">
        <v>4306</v>
      </c>
      <c r="K650" s="1516">
        <v>44238</v>
      </c>
      <c r="L650" s="1514" t="s">
        <v>6285</v>
      </c>
      <c r="M650" s="1515" t="s">
        <v>6286</v>
      </c>
      <c r="N650" s="1514" t="s">
        <v>6287</v>
      </c>
      <c r="O650" s="1513" t="s">
        <v>6286</v>
      </c>
      <c r="P650" s="1517" t="s">
        <v>8860</v>
      </c>
      <c r="Q650" s="6094" t="s">
        <v>5708</v>
      </c>
      <c r="R650" s="1515" t="s">
        <v>5350</v>
      </c>
      <c r="S650" s="1518"/>
      <c r="T650" s="1519">
        <v>2444</v>
      </c>
      <c r="U650" s="1504">
        <v>0</v>
      </c>
      <c r="V650" s="1520">
        <f>T650-U650</f>
        <v>2444</v>
      </c>
      <c r="W650" s="1519">
        <v>3056</v>
      </c>
      <c r="X650" s="1504">
        <v>0</v>
      </c>
      <c r="Y650" s="1520">
        <f>W650-X650</f>
        <v>3056</v>
      </c>
      <c r="Z650" s="1519">
        <v>0</v>
      </c>
      <c r="AA650" s="1504">
        <v>0</v>
      </c>
      <c r="AB650" s="1520">
        <f>Z650-AA650</f>
        <v>0</v>
      </c>
      <c r="AC650" s="1519"/>
      <c r="AD650" s="1504"/>
      <c r="AE650" s="1520"/>
      <c r="AF650" s="1519"/>
      <c r="AG650" s="1504"/>
      <c r="AH650" s="1520"/>
      <c r="AI650" s="1503">
        <v>1406</v>
      </c>
      <c r="AJ650" s="1504">
        <f>U650+X650+AA650+AD650+AG650</f>
        <v>0</v>
      </c>
      <c r="AK650" s="3919">
        <v>0</v>
      </c>
      <c r="AL650" s="1505">
        <f t="shared" si="187"/>
        <v>1406</v>
      </c>
      <c r="AM650" s="1508" t="s">
        <v>1061</v>
      </c>
      <c r="AN650" s="3401">
        <v>44537</v>
      </c>
      <c r="AO650" s="3402" t="s">
        <v>9479</v>
      </c>
      <c r="AP650" s="3251" t="s">
        <v>6894</v>
      </c>
      <c r="AQ650" s="3248">
        <v>1.047839</v>
      </c>
      <c r="AR650" s="1506">
        <v>0</v>
      </c>
      <c r="AS650" s="1507">
        <v>0</v>
      </c>
      <c r="AT650" s="1507">
        <v>0</v>
      </c>
      <c r="AU650" s="1507">
        <v>0</v>
      </c>
      <c r="AV650" s="1507">
        <v>0</v>
      </c>
      <c r="AW650" s="3247">
        <f t="shared" si="189"/>
        <v>1406</v>
      </c>
      <c r="AX650" s="3146"/>
      <c r="BB650" s="267"/>
      <c r="BC650" s="4117">
        <f t="shared" si="184"/>
        <v>0</v>
      </c>
      <c r="BD650" s="4117">
        <f t="shared" si="188"/>
        <v>0</v>
      </c>
      <c r="BE650" s="5071"/>
    </row>
    <row r="651" spans="1:57" ht="89.25">
      <c r="A651" s="6071" t="s">
        <v>11004</v>
      </c>
      <c r="B651" s="5468" t="s">
        <v>11226</v>
      </c>
      <c r="C651" s="5469">
        <v>0</v>
      </c>
      <c r="D651" s="5470">
        <v>43794</v>
      </c>
      <c r="E651" s="5471" t="s">
        <v>7151</v>
      </c>
      <c r="F651" s="5472" t="s">
        <v>6893</v>
      </c>
      <c r="G651" s="5473">
        <v>1.047839</v>
      </c>
      <c r="H651" s="5144" t="s">
        <v>7379</v>
      </c>
      <c r="I651" s="5474" t="s">
        <v>7380</v>
      </c>
      <c r="J651" s="5475" t="s">
        <v>4306</v>
      </c>
      <c r="K651" s="5476">
        <v>44525</v>
      </c>
      <c r="L651" s="5474" t="s">
        <v>7381</v>
      </c>
      <c r="M651" s="5475" t="s">
        <v>7382</v>
      </c>
      <c r="N651" s="5474" t="s">
        <v>7383</v>
      </c>
      <c r="O651" s="5144" t="s">
        <v>7384</v>
      </c>
      <c r="P651" s="5266" t="s">
        <v>7817</v>
      </c>
      <c r="Q651" s="6111" t="s">
        <v>5708</v>
      </c>
      <c r="R651" s="5475" t="s">
        <v>5350</v>
      </c>
      <c r="S651" s="5477"/>
      <c r="T651" s="5478"/>
      <c r="U651" s="5479"/>
      <c r="V651" s="5480"/>
      <c r="W651" s="5478"/>
      <c r="X651" s="5479"/>
      <c r="Y651" s="5480"/>
      <c r="Z651" s="5478"/>
      <c r="AA651" s="5479"/>
      <c r="AB651" s="5480"/>
      <c r="AC651" s="5478"/>
      <c r="AD651" s="5479"/>
      <c r="AE651" s="5480"/>
      <c r="AF651" s="5478"/>
      <c r="AG651" s="5479"/>
      <c r="AH651" s="5480"/>
      <c r="AI651" s="5481">
        <v>1562</v>
      </c>
      <c r="AJ651" s="5479">
        <v>0</v>
      </c>
      <c r="AK651" s="5482">
        <v>0</v>
      </c>
      <c r="AL651" s="5483">
        <f t="shared" si="187"/>
        <v>1562</v>
      </c>
      <c r="AM651" s="5484" t="s">
        <v>1061</v>
      </c>
      <c r="AN651" s="5485">
        <v>44538</v>
      </c>
      <c r="AO651" s="5492" t="s">
        <v>9481</v>
      </c>
      <c r="AP651" s="5486" t="s">
        <v>6894</v>
      </c>
      <c r="AQ651" s="5487">
        <v>1.047839</v>
      </c>
      <c r="AR651" s="5488"/>
      <c r="AS651" s="5489"/>
      <c r="AT651" s="5489"/>
      <c r="AU651" s="5489"/>
      <c r="AV651" s="5489"/>
      <c r="AW651" s="5490">
        <f t="shared" si="189"/>
        <v>1562</v>
      </c>
      <c r="AX651" s="5491"/>
      <c r="BA651" s="267"/>
      <c r="BB651" s="267"/>
      <c r="BC651" s="4117">
        <f t="shared" si="184"/>
        <v>0</v>
      </c>
      <c r="BD651" s="4117">
        <f t="shared" si="188"/>
        <v>0</v>
      </c>
      <c r="BE651" s="5071"/>
    </row>
    <row r="652" spans="1:57" ht="76.5">
      <c r="A652" s="5981" t="s">
        <v>11004</v>
      </c>
      <c r="B652" s="1538" t="s">
        <v>9480</v>
      </c>
      <c r="C652" s="1509">
        <v>0</v>
      </c>
      <c r="D652" s="1510">
        <v>43823</v>
      </c>
      <c r="E652" s="4344" t="s">
        <v>7151</v>
      </c>
      <c r="F652" s="1511" t="s">
        <v>6893</v>
      </c>
      <c r="G652" s="2663">
        <v>1.047839</v>
      </c>
      <c r="H652" s="1513" t="s">
        <v>7505</v>
      </c>
      <c r="I652" s="1514" t="s">
        <v>7506</v>
      </c>
      <c r="J652" s="4345" t="s">
        <v>4306</v>
      </c>
      <c r="K652" s="1516">
        <v>44554</v>
      </c>
      <c r="L652" s="1514" t="s">
        <v>7507</v>
      </c>
      <c r="M652" s="1515" t="s">
        <v>7508</v>
      </c>
      <c r="N652" s="1514" t="s">
        <v>7509</v>
      </c>
      <c r="O652" s="1513" t="s">
        <v>7510</v>
      </c>
      <c r="P652" s="1517" t="s">
        <v>7390</v>
      </c>
      <c r="Q652" s="6094" t="s">
        <v>5708</v>
      </c>
      <c r="R652" s="1515" t="s">
        <v>5350</v>
      </c>
      <c r="S652" s="1518"/>
      <c r="T652" s="1519"/>
      <c r="U652" s="1504"/>
      <c r="V652" s="1520"/>
      <c r="W652" s="1519"/>
      <c r="X652" s="1504"/>
      <c r="Y652" s="1520"/>
      <c r="Z652" s="1519"/>
      <c r="AA652" s="1504"/>
      <c r="AB652" s="1520"/>
      <c r="AC652" s="1519"/>
      <c r="AD652" s="1504"/>
      <c r="AE652" s="1520"/>
      <c r="AF652" s="1519"/>
      <c r="AG652" s="1504"/>
      <c r="AH652" s="1520"/>
      <c r="AI652" s="1503">
        <v>5624</v>
      </c>
      <c r="AJ652" s="1504">
        <v>0</v>
      </c>
      <c r="AK652" s="3919">
        <v>0</v>
      </c>
      <c r="AL652" s="1505">
        <f t="shared" si="187"/>
        <v>5624</v>
      </c>
      <c r="AM652" s="5484" t="s">
        <v>1061</v>
      </c>
      <c r="AN652" s="5485">
        <v>44538</v>
      </c>
      <c r="AO652" s="5492" t="s">
        <v>9482</v>
      </c>
      <c r="AP652" s="2905" t="s">
        <v>9004</v>
      </c>
      <c r="AQ652" s="2906">
        <v>1.0956269999999999</v>
      </c>
      <c r="AR652" s="1506"/>
      <c r="AS652" s="1507"/>
      <c r="AT652" s="1507"/>
      <c r="AU652" s="1507"/>
      <c r="AV652" s="1507"/>
      <c r="AW652" s="3247">
        <f t="shared" si="189"/>
        <v>5880</v>
      </c>
      <c r="AX652" s="3146"/>
      <c r="BA652" s="267"/>
      <c r="BB652" s="267"/>
      <c r="BC652" s="4117">
        <f t="shared" si="184"/>
        <v>0</v>
      </c>
      <c r="BD652" s="4117">
        <f t="shared" si="188"/>
        <v>0</v>
      </c>
      <c r="BE652" s="5071"/>
    </row>
    <row r="653" spans="1:57" ht="89.25">
      <c r="A653" s="5981" t="s">
        <v>11003</v>
      </c>
      <c r="B653" s="1538" t="s">
        <v>9485</v>
      </c>
      <c r="C653" s="1509">
        <v>0</v>
      </c>
      <c r="D653" s="1510">
        <v>44048</v>
      </c>
      <c r="E653" s="4344" t="s">
        <v>7972</v>
      </c>
      <c r="F653" s="1511" t="s">
        <v>7957</v>
      </c>
      <c r="G653" s="2663">
        <v>1.0795220000000001</v>
      </c>
      <c r="H653" s="1513" t="s">
        <v>7978</v>
      </c>
      <c r="I653" s="1514" t="s">
        <v>7973</v>
      </c>
      <c r="J653" s="4345" t="s">
        <v>4306</v>
      </c>
      <c r="K653" s="1516">
        <v>44762</v>
      </c>
      <c r="L653" s="1514" t="s">
        <v>7974</v>
      </c>
      <c r="M653" s="1515" t="s">
        <v>7975</v>
      </c>
      <c r="N653" s="1514" t="s">
        <v>7976</v>
      </c>
      <c r="O653" s="1513" t="s">
        <v>7977</v>
      </c>
      <c r="P653" s="2215" t="s">
        <v>9486</v>
      </c>
      <c r="Q653" s="6094" t="s">
        <v>5708</v>
      </c>
      <c r="R653" s="1515" t="s">
        <v>5350</v>
      </c>
      <c r="S653" s="1518"/>
      <c r="T653" s="1519"/>
      <c r="U653" s="1504"/>
      <c r="V653" s="1520"/>
      <c r="W653" s="1519"/>
      <c r="X653" s="1504"/>
      <c r="Y653" s="1520"/>
      <c r="Z653" s="1519"/>
      <c r="AA653" s="1504"/>
      <c r="AB653" s="1520"/>
      <c r="AC653" s="1519"/>
      <c r="AD653" s="1504"/>
      <c r="AE653" s="1520"/>
      <c r="AF653" s="1519"/>
      <c r="AG653" s="1504"/>
      <c r="AH653" s="1520"/>
      <c r="AI653" s="1503">
        <v>6438</v>
      </c>
      <c r="AJ653" s="1504">
        <v>0</v>
      </c>
      <c r="AK653" s="3919">
        <v>0</v>
      </c>
      <c r="AL653" s="1505">
        <f t="shared" si="187"/>
        <v>6438</v>
      </c>
      <c r="AM653" s="3586" t="s">
        <v>5540</v>
      </c>
      <c r="AN653" s="3587">
        <v>44538</v>
      </c>
      <c r="AO653" s="3588" t="s">
        <v>9488</v>
      </c>
      <c r="AP653" s="3539" t="s">
        <v>9487</v>
      </c>
      <c r="AQ653" s="4189">
        <v>1.0956269999999999</v>
      </c>
      <c r="AR653" s="5493"/>
      <c r="AS653" s="4916"/>
      <c r="AT653" s="4916"/>
      <c r="AU653" s="4916"/>
      <c r="AV653" s="4916"/>
      <c r="AW653" s="4917">
        <v>6618</v>
      </c>
      <c r="AX653" s="3146"/>
      <c r="BA653" s="267"/>
      <c r="BB653" s="267"/>
      <c r="BC653" s="4117">
        <f t="shared" si="184"/>
        <v>0</v>
      </c>
      <c r="BD653" s="4117">
        <f t="shared" si="188"/>
        <v>0</v>
      </c>
      <c r="BE653" s="5071"/>
    </row>
    <row r="654" spans="1:57" ht="76.5">
      <c r="A654" s="5981" t="s">
        <v>11003</v>
      </c>
      <c r="B654" s="1538" t="s">
        <v>8802</v>
      </c>
      <c r="C654" s="1509">
        <v>0</v>
      </c>
      <c r="D654" s="1510">
        <v>44532</v>
      </c>
      <c r="E654" s="4344" t="s">
        <v>9156</v>
      </c>
      <c r="F654" s="2497" t="s">
        <v>9005</v>
      </c>
      <c r="G654" s="5387">
        <v>1.0956269999999999</v>
      </c>
      <c r="H654" s="1513" t="s">
        <v>9472</v>
      </c>
      <c r="I654" s="1514" t="s">
        <v>9476</v>
      </c>
      <c r="J654" s="4345" t="s">
        <v>4306</v>
      </c>
      <c r="K654" s="1516">
        <v>45262</v>
      </c>
      <c r="L654" s="1514" t="s">
        <v>9473</v>
      </c>
      <c r="M654" s="1515" t="s">
        <v>9474</v>
      </c>
      <c r="N654" s="1514" t="s">
        <v>9475</v>
      </c>
      <c r="O654" s="1515" t="s">
        <v>9474</v>
      </c>
      <c r="P654" s="1517"/>
      <c r="Q654" s="6094" t="s">
        <v>9047</v>
      </c>
      <c r="R654" s="1515" t="s">
        <v>945</v>
      </c>
      <c r="S654" s="1518"/>
      <c r="T654" s="1519"/>
      <c r="U654" s="1504"/>
      <c r="V654" s="1520"/>
      <c r="W654" s="1519"/>
      <c r="X654" s="1504"/>
      <c r="Y654" s="1520"/>
      <c r="Z654" s="1519"/>
      <c r="AA654" s="1504"/>
      <c r="AB654" s="1520"/>
      <c r="AC654" s="1519"/>
      <c r="AD654" s="1504"/>
      <c r="AE654" s="1520"/>
      <c r="AF654" s="1519"/>
      <c r="AG654" s="1504"/>
      <c r="AH654" s="1520"/>
      <c r="AI654" s="1503">
        <v>5567</v>
      </c>
      <c r="AJ654" s="1504">
        <v>0</v>
      </c>
      <c r="AK654" s="3919">
        <v>0</v>
      </c>
      <c r="AL654" s="1505">
        <f t="shared" si="187"/>
        <v>5567</v>
      </c>
      <c r="AM654" s="1508" t="s">
        <v>1061</v>
      </c>
      <c r="AN654" s="3401">
        <v>44540</v>
      </c>
      <c r="AO654" s="3402" t="s">
        <v>9496</v>
      </c>
      <c r="AP654" s="2905" t="s">
        <v>9004</v>
      </c>
      <c r="AQ654" s="2906">
        <v>1.0956269999999999</v>
      </c>
      <c r="AR654" s="1506"/>
      <c r="AS654" s="1507"/>
      <c r="AT654" s="1507"/>
      <c r="AU654" s="1507"/>
      <c r="AV654" s="1507"/>
      <c r="AW654" s="3247">
        <f>ROUND(AL654*AQ654/G654,0)</f>
        <v>5567</v>
      </c>
      <c r="AX654" s="3146"/>
      <c r="BA654" s="267"/>
      <c r="BB654" s="267"/>
      <c r="BC654" s="4117">
        <f t="shared" si="184"/>
        <v>0</v>
      </c>
      <c r="BD654" s="4117">
        <f t="shared" si="188"/>
        <v>0</v>
      </c>
      <c r="BE654" s="5071"/>
    </row>
    <row r="655" spans="1:57" ht="102">
      <c r="A655" s="6017" t="s">
        <v>11004</v>
      </c>
      <c r="B655" s="1538" t="s">
        <v>11227</v>
      </c>
      <c r="C655" s="1509">
        <v>0</v>
      </c>
      <c r="D655" s="1510">
        <v>43668</v>
      </c>
      <c r="E655" s="5261" t="s">
        <v>6386</v>
      </c>
      <c r="F655" s="2497" t="s">
        <v>6893</v>
      </c>
      <c r="G655" s="3110">
        <v>1.047839</v>
      </c>
      <c r="H655" s="1513" t="s">
        <v>6909</v>
      </c>
      <c r="I655" s="1514" t="s">
        <v>6911</v>
      </c>
      <c r="J655" s="1515" t="s">
        <v>4306</v>
      </c>
      <c r="K655" s="1516">
        <v>44399</v>
      </c>
      <c r="L655" s="1514" t="s">
        <v>6913</v>
      </c>
      <c r="M655" s="1515" t="s">
        <v>6914</v>
      </c>
      <c r="N655" s="1514" t="s">
        <v>6915</v>
      </c>
      <c r="O655" s="1513" t="s">
        <v>6916</v>
      </c>
      <c r="P655" s="5262" t="s">
        <v>7739</v>
      </c>
      <c r="Q655" s="6094" t="s">
        <v>5708</v>
      </c>
      <c r="R655" s="1515" t="s">
        <v>5350</v>
      </c>
      <c r="S655" s="1518"/>
      <c r="T655" s="1519"/>
      <c r="U655" s="1504"/>
      <c r="V655" s="1520"/>
      <c r="W655" s="1519"/>
      <c r="X655" s="1504"/>
      <c r="Y655" s="1520"/>
      <c r="Z655" s="1519"/>
      <c r="AA655" s="1504"/>
      <c r="AB655" s="1520"/>
      <c r="AC655" s="1519"/>
      <c r="AD655" s="1504"/>
      <c r="AE655" s="1520"/>
      <c r="AF655" s="1519"/>
      <c r="AG655" s="1504"/>
      <c r="AH655" s="1520"/>
      <c r="AI655" s="1503">
        <v>1562</v>
      </c>
      <c r="AJ655" s="1504">
        <v>0</v>
      </c>
      <c r="AK655" s="3919">
        <v>0</v>
      </c>
      <c r="AL655" s="1505">
        <f t="shared" si="187"/>
        <v>1562</v>
      </c>
      <c r="AM655" s="1508" t="s">
        <v>1061</v>
      </c>
      <c r="AN655" s="3401">
        <v>44543</v>
      </c>
      <c r="AO655" s="3402" t="s">
        <v>9497</v>
      </c>
      <c r="AP655" s="3251" t="s">
        <v>6894</v>
      </c>
      <c r="AQ655" s="3248">
        <v>1.047839</v>
      </c>
      <c r="AR655" s="1506"/>
      <c r="AS655" s="1507"/>
      <c r="AT655" s="1507"/>
      <c r="AU655" s="1507"/>
      <c r="AV655" s="1507"/>
      <c r="AW655" s="3247">
        <f>ROUND(AL655*AQ655/G655,0)</f>
        <v>1562</v>
      </c>
      <c r="AX655" s="3146"/>
      <c r="BA655" s="267"/>
      <c r="BB655" s="267"/>
      <c r="BC655" s="4117">
        <f t="shared" si="184"/>
        <v>0</v>
      </c>
      <c r="BD655" s="4117">
        <f t="shared" si="188"/>
        <v>0</v>
      </c>
      <c r="BE655" s="5071"/>
    </row>
    <row r="656" spans="1:57" ht="89.25">
      <c r="A656" s="5981" t="s">
        <v>11004</v>
      </c>
      <c r="B656" s="1538" t="s">
        <v>11228</v>
      </c>
      <c r="C656" s="1509">
        <v>0</v>
      </c>
      <c r="D656" s="1510">
        <v>43592</v>
      </c>
      <c r="E656" s="3053" t="s">
        <v>6386</v>
      </c>
      <c r="F656" s="1511" t="s">
        <v>8470</v>
      </c>
      <c r="G656" s="2805">
        <v>1.0795220000000001</v>
      </c>
      <c r="H656" s="1513" t="s">
        <v>6664</v>
      </c>
      <c r="I656" s="1514" t="s">
        <v>6666</v>
      </c>
      <c r="J656" s="1515" t="s">
        <v>4306</v>
      </c>
      <c r="K656" s="1516">
        <v>44323</v>
      </c>
      <c r="L656" s="1514" t="s">
        <v>6668</v>
      </c>
      <c r="M656" s="1515" t="s">
        <v>4355</v>
      </c>
      <c r="N656" s="1514" t="s">
        <v>6669</v>
      </c>
      <c r="O656" s="1513" t="s">
        <v>6670</v>
      </c>
      <c r="P656" s="1517" t="s">
        <v>7778</v>
      </c>
      <c r="Q656" s="6094" t="s">
        <v>5708</v>
      </c>
      <c r="R656" s="1515" t="s">
        <v>5350</v>
      </c>
      <c r="S656" s="1518"/>
      <c r="T656" s="1519">
        <v>2444</v>
      </c>
      <c r="U656" s="1504">
        <v>0</v>
      </c>
      <c r="V656" s="1520">
        <f>T656-U656</f>
        <v>2444</v>
      </c>
      <c r="W656" s="1519">
        <v>3056</v>
      </c>
      <c r="X656" s="1504">
        <v>0</v>
      </c>
      <c r="Y656" s="1520">
        <f>W656-X656</f>
        <v>3056</v>
      </c>
      <c r="Z656" s="1519">
        <v>0</v>
      </c>
      <c r="AA656" s="1504">
        <v>0</v>
      </c>
      <c r="AB656" s="1520">
        <f>Z656-AA656</f>
        <v>0</v>
      </c>
      <c r="AC656" s="1519"/>
      <c r="AD656" s="1504"/>
      <c r="AE656" s="1520"/>
      <c r="AF656" s="1519"/>
      <c r="AG656" s="1504"/>
      <c r="AH656" s="1520"/>
      <c r="AI656" s="1503">
        <v>1449</v>
      </c>
      <c r="AJ656" s="1504">
        <f>U656+X656+AA656+AD656+AG656</f>
        <v>0</v>
      </c>
      <c r="AK656" s="3919">
        <v>0</v>
      </c>
      <c r="AL656" s="1505">
        <f t="shared" si="187"/>
        <v>1449</v>
      </c>
      <c r="AM656" s="1508" t="s">
        <v>1061</v>
      </c>
      <c r="AN656" s="3401">
        <v>44543</v>
      </c>
      <c r="AO656" s="3402" t="s">
        <v>9498</v>
      </c>
      <c r="AP656" s="3251" t="s">
        <v>7957</v>
      </c>
      <c r="AQ656" s="3248">
        <v>1.0795220000000001</v>
      </c>
      <c r="AR656" s="1506">
        <v>0</v>
      </c>
      <c r="AS656" s="1507">
        <v>0</v>
      </c>
      <c r="AT656" s="1507">
        <v>0</v>
      </c>
      <c r="AU656" s="1507">
        <v>0</v>
      </c>
      <c r="AV656" s="1507">
        <v>0</v>
      </c>
      <c r="AW656" s="3247">
        <f>ROUND(AL656*AQ656/G656,0)</f>
        <v>1449</v>
      </c>
      <c r="AX656" s="3146"/>
      <c r="BA656" s="267"/>
      <c r="BB656" s="267"/>
      <c r="BC656" s="4117">
        <f t="shared" si="184"/>
        <v>0</v>
      </c>
      <c r="BD656" s="4117">
        <f t="shared" si="188"/>
        <v>0</v>
      </c>
      <c r="BE656" s="5071"/>
    </row>
    <row r="657" spans="1:57" ht="76.5">
      <c r="A657" s="5981" t="s">
        <v>11004</v>
      </c>
      <c r="B657" s="1538" t="s">
        <v>11229</v>
      </c>
      <c r="C657" s="1509">
        <v>0</v>
      </c>
      <c r="D657" s="5258" t="s">
        <v>11205</v>
      </c>
      <c r="E657" s="3053" t="s">
        <v>6386</v>
      </c>
      <c r="F657" s="1511" t="s">
        <v>11204</v>
      </c>
      <c r="G657" s="5259">
        <v>1.047839</v>
      </c>
      <c r="H657" s="1513" t="s">
        <v>7038</v>
      </c>
      <c r="I657" s="1514" t="s">
        <v>6039</v>
      </c>
      <c r="J657" s="1515" t="s">
        <v>4306</v>
      </c>
      <c r="K657" s="1516">
        <v>44161</v>
      </c>
      <c r="L657" s="1514" t="s">
        <v>6040</v>
      </c>
      <c r="M657" s="1515" t="s">
        <v>6041</v>
      </c>
      <c r="N657" s="1514" t="s">
        <v>6042</v>
      </c>
      <c r="O657" s="1513" t="s">
        <v>6257</v>
      </c>
      <c r="P657" s="1517" t="s">
        <v>7746</v>
      </c>
      <c r="Q657" s="6094" t="s">
        <v>5708</v>
      </c>
      <c r="R657" s="1515" t="s">
        <v>5350</v>
      </c>
      <c r="S657" s="1518"/>
      <c r="T657" s="1519">
        <v>2444</v>
      </c>
      <c r="U657" s="1504">
        <v>0</v>
      </c>
      <c r="V657" s="1520">
        <f>T657-U657</f>
        <v>2444</v>
      </c>
      <c r="W657" s="1519">
        <v>3056</v>
      </c>
      <c r="X657" s="1504">
        <v>0</v>
      </c>
      <c r="Y657" s="1520">
        <f>W657-X657</f>
        <v>3056</v>
      </c>
      <c r="Z657" s="1519">
        <v>611</v>
      </c>
      <c r="AA657" s="1504">
        <v>0</v>
      </c>
      <c r="AB657" s="1520">
        <f>Z657-AA657</f>
        <v>611</v>
      </c>
      <c r="AC657" s="1519"/>
      <c r="AD657" s="1504"/>
      <c r="AE657" s="1520"/>
      <c r="AF657" s="1519"/>
      <c r="AG657" s="1504"/>
      <c r="AH657" s="1520"/>
      <c r="AI657" s="1503">
        <v>0</v>
      </c>
      <c r="AJ657" s="1504">
        <f>U657+X657+AA657+AD657+AG657</f>
        <v>0</v>
      </c>
      <c r="AK657" s="3919">
        <v>0</v>
      </c>
      <c r="AL657" s="1505">
        <f t="shared" si="187"/>
        <v>0</v>
      </c>
      <c r="AM657" s="5494" t="s">
        <v>9518</v>
      </c>
      <c r="AN657" s="3401">
        <v>44543</v>
      </c>
      <c r="AO657" s="3402" t="s">
        <v>9506</v>
      </c>
      <c r="AP657" s="3251" t="s">
        <v>6894</v>
      </c>
      <c r="AQ657" s="3248">
        <v>1.047839</v>
      </c>
      <c r="AR657" s="1506">
        <v>0</v>
      </c>
      <c r="AS657" s="1507">
        <v>0</v>
      </c>
      <c r="AT657" s="1507">
        <v>0</v>
      </c>
      <c r="AU657" s="1507">
        <v>0</v>
      </c>
      <c r="AV657" s="1507">
        <v>0</v>
      </c>
      <c r="AW657" s="3247">
        <v>1000</v>
      </c>
      <c r="AX657" s="3146"/>
      <c r="BB657" s="267"/>
      <c r="BC657" s="4117">
        <f t="shared" si="184"/>
        <v>0</v>
      </c>
      <c r="BD657" s="4117">
        <f t="shared" si="188"/>
        <v>0</v>
      </c>
      <c r="BE657" s="5071"/>
    </row>
    <row r="658" spans="1:57" ht="76.5">
      <c r="A658" s="5978" t="s">
        <v>11021</v>
      </c>
      <c r="B658" s="1538" t="s">
        <v>9499</v>
      </c>
      <c r="C658" s="1509">
        <v>0</v>
      </c>
      <c r="D658" s="1510">
        <v>42905</v>
      </c>
      <c r="E658" s="3053" t="s">
        <v>6385</v>
      </c>
      <c r="F658" s="2139" t="s">
        <v>6544</v>
      </c>
      <c r="G658" s="2805">
        <v>114</v>
      </c>
      <c r="H658" s="1513" t="s">
        <v>4685</v>
      </c>
      <c r="I658" s="1514" t="s">
        <v>4686</v>
      </c>
      <c r="J658" s="1515" t="s">
        <v>4306</v>
      </c>
      <c r="K658" s="1516">
        <v>43635</v>
      </c>
      <c r="L658" s="1514" t="s">
        <v>4687</v>
      </c>
      <c r="M658" s="1515" t="s">
        <v>4688</v>
      </c>
      <c r="N658" s="1514" t="s">
        <v>4689</v>
      </c>
      <c r="O658" s="1513" t="s">
        <v>6234</v>
      </c>
      <c r="P658" s="1517" t="s">
        <v>7754</v>
      </c>
      <c r="Q658" s="6094" t="s">
        <v>4332</v>
      </c>
      <c r="R658" s="1515" t="s">
        <v>1046</v>
      </c>
      <c r="S658" s="1518"/>
      <c r="T658" s="1519">
        <v>464</v>
      </c>
      <c r="U658" s="1504">
        <v>0</v>
      </c>
      <c r="V658" s="1520">
        <f>T658-U658</f>
        <v>464</v>
      </c>
      <c r="W658" s="1519">
        <v>580</v>
      </c>
      <c r="X658" s="1504">
        <v>0</v>
      </c>
      <c r="Y658" s="1520">
        <f>W658-X658</f>
        <v>580</v>
      </c>
      <c r="Z658" s="1519">
        <v>166</v>
      </c>
      <c r="AA658" s="1504">
        <v>0</v>
      </c>
      <c r="AB658" s="1520">
        <f>Z658-AA658</f>
        <v>166</v>
      </c>
      <c r="AC658" s="1519"/>
      <c r="AD658" s="1504"/>
      <c r="AE658" s="1520"/>
      <c r="AF658" s="1519"/>
      <c r="AG658" s="1504"/>
      <c r="AH658" s="1520"/>
      <c r="AI658" s="1503">
        <f>T658+W658+Z658+AC658+AF658</f>
        <v>1210</v>
      </c>
      <c r="AJ658" s="1504">
        <f>U658+X658+AA658+AD658+AG658</f>
        <v>0</v>
      </c>
      <c r="AK658" s="3919">
        <v>0</v>
      </c>
      <c r="AL658" s="1505">
        <f t="shared" si="187"/>
        <v>1210</v>
      </c>
      <c r="AM658" s="1508" t="s">
        <v>1061</v>
      </c>
      <c r="AN658" s="3401">
        <v>44544</v>
      </c>
      <c r="AO658" s="3402" t="s">
        <v>9501</v>
      </c>
      <c r="AP658" s="3251" t="s">
        <v>7742</v>
      </c>
      <c r="AQ658" s="3248">
        <v>116.3</v>
      </c>
      <c r="AR658" s="1506">
        <v>0</v>
      </c>
      <c r="AS658" s="1507">
        <v>0</v>
      </c>
      <c r="AT658" s="1507">
        <v>0</v>
      </c>
      <c r="AU658" s="1507">
        <v>0</v>
      </c>
      <c r="AV658" s="1507">
        <v>0</v>
      </c>
      <c r="AW658" s="3247">
        <f>ROUND(AL658*AQ658/G658,0)</f>
        <v>1234</v>
      </c>
      <c r="AX658" s="3146"/>
      <c r="BA658" s="267"/>
      <c r="BB658" s="267"/>
      <c r="BC658" s="4117">
        <f t="shared" si="184"/>
        <v>0</v>
      </c>
      <c r="BD658" s="4117">
        <f t="shared" si="188"/>
        <v>0</v>
      </c>
      <c r="BE658" s="5071"/>
    </row>
    <row r="659" spans="1:57" ht="114.75">
      <c r="A659" s="5981" t="s">
        <v>11004</v>
      </c>
      <c r="B659" s="1538" t="s">
        <v>9500</v>
      </c>
      <c r="C659" s="1509">
        <v>1</v>
      </c>
      <c r="D659" s="1510" t="s">
        <v>11121</v>
      </c>
      <c r="E659" s="3053" t="s">
        <v>6385</v>
      </c>
      <c r="F659" s="1511" t="s">
        <v>11120</v>
      </c>
      <c r="G659" s="2663">
        <v>1.0795220000000001</v>
      </c>
      <c r="H659" s="1513" t="s">
        <v>5332</v>
      </c>
      <c r="I659" s="1514" t="s">
        <v>1433</v>
      </c>
      <c r="J659" s="1515" t="s">
        <v>1434</v>
      </c>
      <c r="K659" s="1516">
        <v>44670</v>
      </c>
      <c r="L659" s="1514" t="s">
        <v>313</v>
      </c>
      <c r="M659" s="1515" t="s">
        <v>5333</v>
      </c>
      <c r="N659" s="1514" t="s">
        <v>5334</v>
      </c>
      <c r="O659" s="1513" t="s">
        <v>6311</v>
      </c>
      <c r="P659" s="1517" t="s">
        <v>8960</v>
      </c>
      <c r="Q659" s="1515" t="s">
        <v>5454</v>
      </c>
      <c r="R659" s="1515" t="s">
        <v>5335</v>
      </c>
      <c r="S659" s="1518"/>
      <c r="T659" s="1519">
        <v>40242</v>
      </c>
      <c r="U659" s="1504">
        <v>0</v>
      </c>
      <c r="V659" s="1520">
        <f>T659-U659</f>
        <v>40242</v>
      </c>
      <c r="W659" s="1519">
        <v>7102</v>
      </c>
      <c r="X659" s="1504">
        <v>0</v>
      </c>
      <c r="Y659" s="1520">
        <f>W659-X659</f>
        <v>7102</v>
      </c>
      <c r="Z659" s="1519">
        <v>486</v>
      </c>
      <c r="AA659" s="1504">
        <v>0</v>
      </c>
      <c r="AB659" s="1520">
        <f>Z659-AA659</f>
        <v>486</v>
      </c>
      <c r="AC659" s="1519"/>
      <c r="AD659" s="1504"/>
      <c r="AE659" s="1520"/>
      <c r="AF659" s="1519"/>
      <c r="AG659" s="1504"/>
      <c r="AH659" s="1520"/>
      <c r="AI659" s="1503">
        <v>12756</v>
      </c>
      <c r="AJ659" s="1504">
        <f>U659+X659+AA659+AD659+AG659</f>
        <v>0</v>
      </c>
      <c r="AK659" s="3919">
        <v>0</v>
      </c>
      <c r="AL659" s="1505">
        <f t="shared" si="187"/>
        <v>12756</v>
      </c>
      <c r="AM659" s="1508" t="s">
        <v>1061</v>
      </c>
      <c r="AN659" s="3401">
        <v>44544</v>
      </c>
      <c r="AO659" s="3402" t="s">
        <v>9502</v>
      </c>
      <c r="AP659" s="3251" t="s">
        <v>7957</v>
      </c>
      <c r="AQ659" s="3248">
        <v>1.0795220000000001</v>
      </c>
      <c r="AR659" s="1506">
        <v>0</v>
      </c>
      <c r="AS659" s="1507">
        <v>0</v>
      </c>
      <c r="AT659" s="1507">
        <v>0</v>
      </c>
      <c r="AU659" s="1507">
        <v>0</v>
      </c>
      <c r="AV659" s="1507">
        <v>0</v>
      </c>
      <c r="AW659" s="3247">
        <f>ROUND(AL659*AQ659/G659,0)</f>
        <v>12756</v>
      </c>
      <c r="AX659" s="3146"/>
      <c r="BC659" s="4117">
        <f t="shared" si="184"/>
        <v>0</v>
      </c>
      <c r="BD659" s="4117">
        <f t="shared" si="188"/>
        <v>0</v>
      </c>
      <c r="BE659" s="5071"/>
    </row>
    <row r="660" spans="1:57" ht="114.75">
      <c r="A660" s="5978" t="s">
        <v>11035</v>
      </c>
      <c r="B660" s="1538" t="s">
        <v>11230</v>
      </c>
      <c r="C660" s="1509">
        <v>0</v>
      </c>
      <c r="D660" s="1510" t="s">
        <v>11181</v>
      </c>
      <c r="E660" s="3053" t="s">
        <v>6385</v>
      </c>
      <c r="F660" s="1511" t="s">
        <v>11171</v>
      </c>
      <c r="G660" s="2805">
        <v>1.047839</v>
      </c>
      <c r="H660" s="1513" t="s">
        <v>4939</v>
      </c>
      <c r="I660" s="1514" t="s">
        <v>4940</v>
      </c>
      <c r="J660" s="1515" t="s">
        <v>4306</v>
      </c>
      <c r="K660" s="1516">
        <v>43726</v>
      </c>
      <c r="L660" s="1514" t="s">
        <v>4941</v>
      </c>
      <c r="M660" s="1515" t="s">
        <v>4942</v>
      </c>
      <c r="N660" s="1514" t="s">
        <v>4943</v>
      </c>
      <c r="O660" s="1513" t="s">
        <v>6245</v>
      </c>
      <c r="P660" s="5262" t="s">
        <v>7740</v>
      </c>
      <c r="Q660" s="6094" t="s">
        <v>4878</v>
      </c>
      <c r="R660" s="1515" t="s">
        <v>1046</v>
      </c>
      <c r="S660" s="1518"/>
      <c r="T660" s="1519">
        <v>2304</v>
      </c>
      <c r="U660" s="1504">
        <v>0</v>
      </c>
      <c r="V660" s="1520">
        <f>T660-U660</f>
        <v>2304</v>
      </c>
      <c r="W660" s="1519">
        <v>2881</v>
      </c>
      <c r="X660" s="1504">
        <v>0</v>
      </c>
      <c r="Y660" s="1520">
        <f>W660-X660</f>
        <v>2881</v>
      </c>
      <c r="Z660" s="1519">
        <v>823</v>
      </c>
      <c r="AA660" s="1504">
        <v>0</v>
      </c>
      <c r="AB660" s="1520">
        <f>Z660-AA660</f>
        <v>823</v>
      </c>
      <c r="AC660" s="1519"/>
      <c r="AD660" s="1504"/>
      <c r="AE660" s="1520"/>
      <c r="AF660" s="1519"/>
      <c r="AG660" s="1504"/>
      <c r="AH660" s="1520"/>
      <c r="AI660" s="1503">
        <v>1555</v>
      </c>
      <c r="AJ660" s="1504">
        <f>U660+X660+AA660+AD660+AG660</f>
        <v>0</v>
      </c>
      <c r="AK660" s="3919">
        <v>0</v>
      </c>
      <c r="AL660" s="1505">
        <f t="shared" si="187"/>
        <v>1555</v>
      </c>
      <c r="AM660" s="5495" t="s">
        <v>9542</v>
      </c>
      <c r="AN660" s="3401">
        <v>44544</v>
      </c>
      <c r="AO660" s="3402" t="s">
        <v>9541</v>
      </c>
      <c r="AP660" s="3251" t="s">
        <v>6894</v>
      </c>
      <c r="AQ660" s="3248">
        <v>1.047839</v>
      </c>
      <c r="AR660" s="1506">
        <v>0</v>
      </c>
      <c r="AS660" s="1507">
        <v>0</v>
      </c>
      <c r="AT660" s="1507">
        <v>0</v>
      </c>
      <c r="AU660" s="1507">
        <v>0</v>
      </c>
      <c r="AV660" s="1507">
        <v>0</v>
      </c>
      <c r="AW660" s="3247">
        <f>ROUND(AL660*AQ660/G660,0)</f>
        <v>1555</v>
      </c>
      <c r="AX660" s="3146"/>
      <c r="BA660" s="267"/>
      <c r="BB660" s="267"/>
      <c r="BC660" s="4117">
        <f t="shared" si="184"/>
        <v>0</v>
      </c>
      <c r="BD660" s="4117">
        <f t="shared" si="188"/>
        <v>0</v>
      </c>
      <c r="BE660" s="5071"/>
    </row>
    <row r="661" spans="1:57" ht="114.75">
      <c r="A661" s="5981" t="s">
        <v>11003</v>
      </c>
      <c r="B661" s="1538" t="s">
        <v>11231</v>
      </c>
      <c r="C661" s="1509">
        <v>0</v>
      </c>
      <c r="D661" s="1510">
        <v>44356</v>
      </c>
      <c r="E661" s="4344" t="s">
        <v>8170</v>
      </c>
      <c r="F661" s="1511" t="s">
        <v>7957</v>
      </c>
      <c r="G661" s="2663">
        <v>1.0795220000000001</v>
      </c>
      <c r="H661" s="1513" t="s">
        <v>8878</v>
      </c>
      <c r="I661" s="1514" t="s">
        <v>8879</v>
      </c>
      <c r="J661" s="4345" t="s">
        <v>4306</v>
      </c>
      <c r="K661" s="1516">
        <v>45086</v>
      </c>
      <c r="L661" s="1514" t="s">
        <v>8881</v>
      </c>
      <c r="M661" s="1515" t="s">
        <v>8883</v>
      </c>
      <c r="N661" s="1514" t="s">
        <v>8885</v>
      </c>
      <c r="O661" s="1515" t="s">
        <v>8883</v>
      </c>
      <c r="P661" s="1517" t="s">
        <v>9053</v>
      </c>
      <c r="Q661" s="6094" t="s">
        <v>5708</v>
      </c>
      <c r="R661" s="1515" t="s">
        <v>5350</v>
      </c>
      <c r="S661" s="1518"/>
      <c r="T661" s="1519"/>
      <c r="U661" s="1504"/>
      <c r="V661" s="1520"/>
      <c r="W661" s="1519"/>
      <c r="X661" s="1504"/>
      <c r="Y661" s="1520"/>
      <c r="Z661" s="1519"/>
      <c r="AA661" s="1504"/>
      <c r="AB661" s="1520"/>
      <c r="AC661" s="1519"/>
      <c r="AD661" s="1504"/>
      <c r="AE661" s="1520"/>
      <c r="AF661" s="1519"/>
      <c r="AG661" s="1504"/>
      <c r="AH661" s="1520"/>
      <c r="AI661" s="1503">
        <v>0</v>
      </c>
      <c r="AJ661" s="1504">
        <v>0</v>
      </c>
      <c r="AK661" s="3919">
        <v>0</v>
      </c>
      <c r="AL661" s="1505">
        <f t="shared" si="187"/>
        <v>0</v>
      </c>
      <c r="AM661" s="1508" t="s">
        <v>9503</v>
      </c>
      <c r="AN661" s="3401">
        <v>44544</v>
      </c>
      <c r="AO661" s="3402" t="s">
        <v>9507</v>
      </c>
      <c r="AP661" s="3539" t="s">
        <v>7957</v>
      </c>
      <c r="AQ661" s="4189">
        <v>1.0795220000000001</v>
      </c>
      <c r="AR661" s="1506"/>
      <c r="AS661" s="1507"/>
      <c r="AT661" s="1507"/>
      <c r="AU661" s="1507"/>
      <c r="AV661" s="1507"/>
      <c r="AW661" s="3247">
        <v>1420</v>
      </c>
      <c r="AX661" s="3146"/>
      <c r="BA661" s="267"/>
      <c r="BB661" s="267"/>
      <c r="BC661" s="4117">
        <f t="shared" si="184"/>
        <v>0</v>
      </c>
      <c r="BD661" s="4117">
        <f t="shared" si="188"/>
        <v>0</v>
      </c>
      <c r="BE661" s="5071"/>
    </row>
    <row r="662" spans="1:57" ht="89.25">
      <c r="A662" s="5981" t="s">
        <v>11003</v>
      </c>
      <c r="B662" s="1538" t="s">
        <v>11232</v>
      </c>
      <c r="C662" s="1509">
        <v>0</v>
      </c>
      <c r="D662" s="1510">
        <v>44336</v>
      </c>
      <c r="E662" s="4344" t="s">
        <v>8170</v>
      </c>
      <c r="F662" s="1511" t="s">
        <v>7957</v>
      </c>
      <c r="G662" s="2663">
        <v>1.0795220000000001</v>
      </c>
      <c r="H662" s="1513" t="s">
        <v>8837</v>
      </c>
      <c r="I662" s="1514" t="s">
        <v>1433</v>
      </c>
      <c r="J662" s="1515" t="s">
        <v>1434</v>
      </c>
      <c r="K662" s="1516">
        <v>46524</v>
      </c>
      <c r="L662" s="1514" t="s">
        <v>8835</v>
      </c>
      <c r="M662" s="1515" t="s">
        <v>8836</v>
      </c>
      <c r="N662" s="1514" t="s">
        <v>8908</v>
      </c>
      <c r="O662" s="1513" t="s">
        <v>9504</v>
      </c>
      <c r="P662" s="1517" t="s">
        <v>8912</v>
      </c>
      <c r="Q662" s="1515" t="s">
        <v>8838</v>
      </c>
      <c r="R662" s="1515" t="s">
        <v>8909</v>
      </c>
      <c r="S662" s="1518"/>
      <c r="T662" s="1519"/>
      <c r="U662" s="1504"/>
      <c r="V662" s="1520"/>
      <c r="W662" s="1519"/>
      <c r="X662" s="1504"/>
      <c r="Y662" s="1520"/>
      <c r="Z662" s="1519"/>
      <c r="AA662" s="1504"/>
      <c r="AB662" s="1520"/>
      <c r="AC662" s="1519"/>
      <c r="AD662" s="1504"/>
      <c r="AE662" s="1520"/>
      <c r="AF662" s="1519"/>
      <c r="AG662" s="1504"/>
      <c r="AH662" s="1520"/>
      <c r="AI662" s="1503">
        <v>1619</v>
      </c>
      <c r="AJ662" s="1504">
        <v>0</v>
      </c>
      <c r="AK662" s="3919">
        <v>0</v>
      </c>
      <c r="AL662" s="1505">
        <f t="shared" si="187"/>
        <v>1619</v>
      </c>
      <c r="AM662" s="1508" t="s">
        <v>4858</v>
      </c>
      <c r="AN662" s="3401">
        <v>44544</v>
      </c>
      <c r="AO662" s="3402" t="s">
        <v>9508</v>
      </c>
      <c r="AP662" s="3539" t="s">
        <v>7957</v>
      </c>
      <c r="AQ662" s="4189">
        <v>1.0795220000000001</v>
      </c>
      <c r="AR662" s="1506"/>
      <c r="AS662" s="1507"/>
      <c r="AT662" s="1507"/>
      <c r="AU662" s="1507"/>
      <c r="AV662" s="1507"/>
      <c r="AW662" s="3247">
        <f>ROUND(AL662*AQ662/G662,0)</f>
        <v>1619</v>
      </c>
      <c r="AX662" s="3146"/>
      <c r="BA662" s="267"/>
      <c r="BB662" s="267"/>
      <c r="BC662" s="4117">
        <f t="shared" si="184"/>
        <v>0</v>
      </c>
      <c r="BD662" s="4117">
        <f t="shared" si="188"/>
        <v>0</v>
      </c>
      <c r="BE662" s="5071"/>
    </row>
    <row r="663" spans="1:57" ht="76.5">
      <c r="A663" s="5981" t="s">
        <v>11003</v>
      </c>
      <c r="B663" s="1538" t="s">
        <v>11233</v>
      </c>
      <c r="C663" s="1509">
        <v>0</v>
      </c>
      <c r="D663" s="1510">
        <v>44348</v>
      </c>
      <c r="E663" s="4344" t="s">
        <v>8170</v>
      </c>
      <c r="F663" s="1511" t="s">
        <v>7957</v>
      </c>
      <c r="G663" s="2663">
        <v>1.0795220000000001</v>
      </c>
      <c r="H663" s="1513" t="s">
        <v>8867</v>
      </c>
      <c r="I663" s="1514" t="s">
        <v>8866</v>
      </c>
      <c r="J663" s="4345" t="s">
        <v>4306</v>
      </c>
      <c r="K663" s="1516">
        <v>45078</v>
      </c>
      <c r="L663" s="1514" t="s">
        <v>8868</v>
      </c>
      <c r="M663" s="1515" t="s">
        <v>8869</v>
      </c>
      <c r="N663" s="1514" t="s">
        <v>8870</v>
      </c>
      <c r="O663" s="1515" t="s">
        <v>8869</v>
      </c>
      <c r="P663" s="2215" t="s">
        <v>9027</v>
      </c>
      <c r="Q663" s="6094" t="s">
        <v>5708</v>
      </c>
      <c r="R663" s="1515" t="s">
        <v>5350</v>
      </c>
      <c r="S663" s="1518"/>
      <c r="T663" s="1519"/>
      <c r="U663" s="1504"/>
      <c r="V663" s="1520"/>
      <c r="W663" s="1519"/>
      <c r="X663" s="1504"/>
      <c r="Y663" s="1520"/>
      <c r="Z663" s="1519"/>
      <c r="AA663" s="1504"/>
      <c r="AB663" s="1520"/>
      <c r="AC663" s="1519"/>
      <c r="AD663" s="1504"/>
      <c r="AE663" s="1520"/>
      <c r="AF663" s="1519"/>
      <c r="AG663" s="1504"/>
      <c r="AH663" s="1520"/>
      <c r="AI663" s="1503">
        <v>1361</v>
      </c>
      <c r="AJ663" s="1504">
        <v>0</v>
      </c>
      <c r="AK663" s="3919">
        <v>0</v>
      </c>
      <c r="AL663" s="1505">
        <f t="shared" si="187"/>
        <v>1361</v>
      </c>
      <c r="AM663" s="1508" t="s">
        <v>4858</v>
      </c>
      <c r="AN663" s="3401">
        <v>44545</v>
      </c>
      <c r="AO663" s="3402" t="s">
        <v>9509</v>
      </c>
      <c r="AP663" s="3539" t="s">
        <v>7957</v>
      </c>
      <c r="AQ663" s="4189">
        <v>1.0795220000000001</v>
      </c>
      <c r="AR663" s="1506"/>
      <c r="AS663" s="1507"/>
      <c r="AT663" s="1507"/>
      <c r="AU663" s="1507"/>
      <c r="AV663" s="1507"/>
      <c r="AW663" s="3247">
        <f>ROUND(AL663*AQ663/G663,0)</f>
        <v>1361</v>
      </c>
      <c r="AX663" s="3146"/>
      <c r="BA663" s="267"/>
      <c r="BB663" s="267"/>
      <c r="BC663" s="4117">
        <f t="shared" ref="BC663:BC700" si="190">ROUND($AJ663*$AQ663/$G663,0)</f>
        <v>0</v>
      </c>
      <c r="BD663" s="4117">
        <f t="shared" si="188"/>
        <v>0</v>
      </c>
      <c r="BE663" s="5071"/>
    </row>
    <row r="664" spans="1:57" ht="102">
      <c r="A664" s="5981" t="s">
        <v>11004</v>
      </c>
      <c r="B664" s="1538" t="s">
        <v>9540</v>
      </c>
      <c r="C664" s="1509">
        <v>1</v>
      </c>
      <c r="D664" s="1510" t="s">
        <v>7125</v>
      </c>
      <c r="E664" s="3053" t="s">
        <v>6386</v>
      </c>
      <c r="F664" s="3798" t="s">
        <v>6893</v>
      </c>
      <c r="G664" s="3110">
        <v>1.047839</v>
      </c>
      <c r="H664" s="1513" t="s">
        <v>7126</v>
      </c>
      <c r="I664" s="1514" t="s">
        <v>1433</v>
      </c>
      <c r="J664" s="1515" t="s">
        <v>1434</v>
      </c>
      <c r="K664" s="1516">
        <v>44682</v>
      </c>
      <c r="L664" s="1514" t="s">
        <v>7127</v>
      </c>
      <c r="M664" s="1515" t="s">
        <v>7128</v>
      </c>
      <c r="N664" s="1514" t="s">
        <v>5502</v>
      </c>
      <c r="O664" s="1513" t="s">
        <v>6270</v>
      </c>
      <c r="P664" s="1517"/>
      <c r="Q664" s="1515" t="s">
        <v>7129</v>
      </c>
      <c r="R664" s="1515" t="s">
        <v>5503</v>
      </c>
      <c r="S664" s="1518"/>
      <c r="T664" s="1519">
        <v>6800</v>
      </c>
      <c r="U664" s="1504">
        <v>0</v>
      </c>
      <c r="V664" s="1520">
        <f>T664-U664</f>
        <v>6800</v>
      </c>
      <c r="W664" s="1519">
        <v>8501</v>
      </c>
      <c r="X664" s="1504">
        <v>0</v>
      </c>
      <c r="Y664" s="1520">
        <f>W664-X664</f>
        <v>8501</v>
      </c>
      <c r="Z664" s="1519">
        <v>1700</v>
      </c>
      <c r="AA664" s="1504">
        <v>0</v>
      </c>
      <c r="AB664" s="1520">
        <f>Z664-AA664</f>
        <v>1700</v>
      </c>
      <c r="AC664" s="1519"/>
      <c r="AD664" s="1504"/>
      <c r="AE664" s="1520"/>
      <c r="AF664" s="1519"/>
      <c r="AG664" s="1504"/>
      <c r="AH664" s="1520"/>
      <c r="AI664" s="1503">
        <v>12297</v>
      </c>
      <c r="AJ664" s="1504">
        <f>U664+X664+AA664+AD664+AG664</f>
        <v>0</v>
      </c>
      <c r="AK664" s="3919">
        <v>0</v>
      </c>
      <c r="AL664" s="1505">
        <f t="shared" si="187"/>
        <v>12297</v>
      </c>
      <c r="AM664" s="1508" t="s">
        <v>1061</v>
      </c>
      <c r="AN664" s="3401">
        <v>44546</v>
      </c>
      <c r="AO664" s="3402" t="s">
        <v>9510</v>
      </c>
      <c r="AP664" s="2664" t="s">
        <v>9004</v>
      </c>
      <c r="AQ664" s="2806">
        <v>1.0956269999999999</v>
      </c>
      <c r="AR664" s="1506">
        <v>0</v>
      </c>
      <c r="AS664" s="1507">
        <v>0</v>
      </c>
      <c r="AT664" s="1507">
        <v>0</v>
      </c>
      <c r="AU664" s="1507">
        <v>0</v>
      </c>
      <c r="AV664" s="1507">
        <v>0</v>
      </c>
      <c r="AW664" s="3247">
        <f>ROUND(AL664*AQ664/G664,0)</f>
        <v>12858</v>
      </c>
      <c r="AX664" s="3146"/>
      <c r="BA664" s="267"/>
      <c r="BB664" s="267"/>
      <c r="BC664" s="4117">
        <f t="shared" si="190"/>
        <v>0</v>
      </c>
      <c r="BD664" s="4117">
        <f t="shared" si="188"/>
        <v>0</v>
      </c>
      <c r="BE664" s="5071"/>
    </row>
    <row r="665" spans="1:57" ht="102">
      <c r="A665" s="5981" t="s">
        <v>11004</v>
      </c>
      <c r="B665" s="1538" t="s">
        <v>11234</v>
      </c>
      <c r="C665" s="1509">
        <v>0</v>
      </c>
      <c r="D665" s="1510" t="s">
        <v>11157</v>
      </c>
      <c r="E665" s="3053" t="s">
        <v>6386</v>
      </c>
      <c r="F665" s="1511" t="s">
        <v>11158</v>
      </c>
      <c r="G665" s="3250">
        <v>1.047839</v>
      </c>
      <c r="H665" s="1513" t="s">
        <v>6821</v>
      </c>
      <c r="I665" s="1514" t="s">
        <v>6826</v>
      </c>
      <c r="J665" s="1515" t="s">
        <v>4306</v>
      </c>
      <c r="K665" s="1516">
        <v>44371</v>
      </c>
      <c r="L665" s="1514" t="s">
        <v>6825</v>
      </c>
      <c r="M665" s="1515" t="s">
        <v>6824</v>
      </c>
      <c r="N665" s="1514" t="s">
        <v>6823</v>
      </c>
      <c r="O665" s="1515" t="s">
        <v>6824</v>
      </c>
      <c r="P665" s="5262" t="s">
        <v>7739</v>
      </c>
      <c r="Q665" s="6094" t="s">
        <v>5708</v>
      </c>
      <c r="R665" s="1515" t="s">
        <v>5350</v>
      </c>
      <c r="S665" s="1518"/>
      <c r="T665" s="1519">
        <v>2444</v>
      </c>
      <c r="U665" s="1504">
        <v>0</v>
      </c>
      <c r="V665" s="1520">
        <f>T665-U665</f>
        <v>2444</v>
      </c>
      <c r="W665" s="1519">
        <v>3056</v>
      </c>
      <c r="X665" s="1504">
        <v>0</v>
      </c>
      <c r="Y665" s="1520">
        <f>W665-X665</f>
        <v>3056</v>
      </c>
      <c r="Z665" s="1519">
        <v>611</v>
      </c>
      <c r="AA665" s="1504">
        <v>0</v>
      </c>
      <c r="AB665" s="1520">
        <f>Z665-AA665</f>
        <v>611</v>
      </c>
      <c r="AC665" s="1519"/>
      <c r="AD665" s="1504"/>
      <c r="AE665" s="1520"/>
      <c r="AF665" s="1519"/>
      <c r="AG665" s="1504"/>
      <c r="AH665" s="1520"/>
      <c r="AI665" s="1503">
        <v>1562</v>
      </c>
      <c r="AJ665" s="1504">
        <f>U665+X665+AA665+AD665+AG665</f>
        <v>0</v>
      </c>
      <c r="AK665" s="3919">
        <v>0</v>
      </c>
      <c r="AL665" s="1505">
        <f t="shared" si="187"/>
        <v>1562</v>
      </c>
      <c r="AM665" s="1508" t="s">
        <v>10874</v>
      </c>
      <c r="AN665" s="3401">
        <v>44551</v>
      </c>
      <c r="AO665" s="3402" t="s">
        <v>9519</v>
      </c>
      <c r="AP665" s="3251" t="s">
        <v>6894</v>
      </c>
      <c r="AQ665" s="3248">
        <v>1.047839</v>
      </c>
      <c r="AR665" s="1506">
        <v>0</v>
      </c>
      <c r="AS665" s="1507">
        <v>0</v>
      </c>
      <c r="AT665" s="1507">
        <v>0</v>
      </c>
      <c r="AU665" s="1507">
        <v>0</v>
      </c>
      <c r="AV665" s="1507">
        <v>0</v>
      </c>
      <c r="AW665" s="3247">
        <f>ROUND(AL665*AQ665/G665,0)</f>
        <v>1562</v>
      </c>
      <c r="AX665" s="3146"/>
      <c r="BA665" s="267"/>
      <c r="BB665" s="267"/>
      <c r="BC665" s="4117">
        <f t="shared" si="190"/>
        <v>0</v>
      </c>
      <c r="BD665" s="4117">
        <f t="shared" si="188"/>
        <v>0</v>
      </c>
      <c r="BE665" s="5071"/>
    </row>
    <row r="666" spans="1:57" ht="102">
      <c r="A666" s="5978" t="s">
        <v>11036</v>
      </c>
      <c r="B666" s="1538" t="s">
        <v>11238</v>
      </c>
      <c r="C666" s="1509">
        <v>1</v>
      </c>
      <c r="D666" s="1510" t="s">
        <v>5919</v>
      </c>
      <c r="E666" s="3053" t="s">
        <v>6385</v>
      </c>
      <c r="F666" s="1511" t="s">
        <v>7171</v>
      </c>
      <c r="G666" s="2805">
        <v>1.047839</v>
      </c>
      <c r="H666" s="1513" t="s">
        <v>5758</v>
      </c>
      <c r="I666" s="1514" t="s">
        <v>5759</v>
      </c>
      <c r="J666" s="1515" t="s">
        <v>4306</v>
      </c>
      <c r="K666" s="1516">
        <v>44029</v>
      </c>
      <c r="L666" s="1514" t="s">
        <v>5760</v>
      </c>
      <c r="M666" s="1515" t="s">
        <v>5761</v>
      </c>
      <c r="N666" s="1514" t="s">
        <v>5762</v>
      </c>
      <c r="O666" s="1513" t="s">
        <v>6297</v>
      </c>
      <c r="P666" s="1517" t="s">
        <v>7745</v>
      </c>
      <c r="Q666" s="6094" t="s">
        <v>5708</v>
      </c>
      <c r="R666" s="1515" t="s">
        <v>5350</v>
      </c>
      <c r="S666" s="1518"/>
      <c r="T666" s="1519">
        <v>2444</v>
      </c>
      <c r="U666" s="1504">
        <v>0</v>
      </c>
      <c r="V666" s="1520">
        <f>T666-U666</f>
        <v>2444</v>
      </c>
      <c r="W666" s="1519">
        <v>3056</v>
      </c>
      <c r="X666" s="1504">
        <v>0</v>
      </c>
      <c r="Y666" s="1520">
        <f>W666-X666</f>
        <v>3056</v>
      </c>
      <c r="Z666" s="1519">
        <v>0</v>
      </c>
      <c r="AA666" s="1504">
        <v>0</v>
      </c>
      <c r="AB666" s="1520">
        <f>Z666-AA666</f>
        <v>0</v>
      </c>
      <c r="AC666" s="1519"/>
      <c r="AD666" s="1504"/>
      <c r="AE666" s="1520"/>
      <c r="AF666" s="1519"/>
      <c r="AG666" s="1504"/>
      <c r="AH666" s="1520"/>
      <c r="AI666" s="1503">
        <v>2952</v>
      </c>
      <c r="AJ666" s="1504">
        <f>U666+X666+AA666+AD666+AG666</f>
        <v>0</v>
      </c>
      <c r="AK666" s="3919">
        <v>0</v>
      </c>
      <c r="AL666" s="1505">
        <f t="shared" si="187"/>
        <v>2952</v>
      </c>
      <c r="AM666" s="1508" t="s">
        <v>9520</v>
      </c>
      <c r="AN666" s="3401">
        <v>44551</v>
      </c>
      <c r="AO666" s="3402" t="s">
        <v>9521</v>
      </c>
      <c r="AP666" s="3251" t="s">
        <v>6894</v>
      </c>
      <c r="AQ666" s="3248">
        <v>1.047839</v>
      </c>
      <c r="AR666" s="1506">
        <v>0</v>
      </c>
      <c r="AS666" s="1507">
        <v>0</v>
      </c>
      <c r="AT666" s="1507">
        <v>0</v>
      </c>
      <c r="AU666" s="1507">
        <v>0</v>
      </c>
      <c r="AV666" s="1507">
        <v>0</v>
      </c>
      <c r="AW666" s="3247">
        <f>ROUND(AL666*AQ666/G666,0)</f>
        <v>2952</v>
      </c>
      <c r="AX666" s="3146"/>
      <c r="BA666" s="267"/>
      <c r="BB666" s="267"/>
      <c r="BC666" s="4117">
        <f t="shared" si="190"/>
        <v>0</v>
      </c>
      <c r="BD666" s="4117">
        <f t="shared" si="188"/>
        <v>0</v>
      </c>
      <c r="BE666" s="5071"/>
    </row>
    <row r="667" spans="1:57" ht="89.25">
      <c r="A667" s="5981" t="s">
        <v>11003</v>
      </c>
      <c r="B667" s="1538" t="s">
        <v>11237</v>
      </c>
      <c r="C667" s="1509">
        <v>0</v>
      </c>
      <c r="D667" s="1510">
        <v>44078</v>
      </c>
      <c r="E667" s="4344" t="s">
        <v>7972</v>
      </c>
      <c r="F667" s="1511" t="s">
        <v>7957</v>
      </c>
      <c r="G667" s="2663">
        <v>1.0795220000000001</v>
      </c>
      <c r="H667" s="1513" t="s">
        <v>8037</v>
      </c>
      <c r="I667" s="1514" t="s">
        <v>1433</v>
      </c>
      <c r="J667" s="4345" t="s">
        <v>1434</v>
      </c>
      <c r="K667" s="1516">
        <v>46233</v>
      </c>
      <c r="L667" s="1514" t="s">
        <v>8031</v>
      </c>
      <c r="M667" s="1515" t="s">
        <v>8032</v>
      </c>
      <c r="N667" s="1514" t="s">
        <v>8034</v>
      </c>
      <c r="O667" s="1515" t="s">
        <v>8035</v>
      </c>
      <c r="P667" s="2215" t="s">
        <v>9082</v>
      </c>
      <c r="Q667" s="6094" t="s">
        <v>5708</v>
      </c>
      <c r="R667" s="1515" t="s">
        <v>5350</v>
      </c>
      <c r="S667" s="1518"/>
      <c r="T667" s="1519"/>
      <c r="U667" s="1504"/>
      <c r="V667" s="1520"/>
      <c r="W667" s="1519"/>
      <c r="X667" s="1504"/>
      <c r="Y667" s="1520"/>
      <c r="Z667" s="1519"/>
      <c r="AA667" s="1504"/>
      <c r="AB667" s="1520"/>
      <c r="AC667" s="1519"/>
      <c r="AD667" s="1504"/>
      <c r="AE667" s="1520"/>
      <c r="AF667" s="1519"/>
      <c r="AG667" s="1504"/>
      <c r="AH667" s="1520"/>
      <c r="AI667" s="1503">
        <v>0</v>
      </c>
      <c r="AJ667" s="1504">
        <v>0</v>
      </c>
      <c r="AK667" s="3919">
        <v>0</v>
      </c>
      <c r="AL667" s="1505">
        <v>0</v>
      </c>
      <c r="AM667" s="1508" t="s">
        <v>9523</v>
      </c>
      <c r="AN667" s="3401">
        <v>44551</v>
      </c>
      <c r="AO667" s="3402" t="s">
        <v>9524</v>
      </c>
      <c r="AP667" s="3539" t="s">
        <v>7957</v>
      </c>
      <c r="AQ667" s="4189">
        <v>1.0795220000000001</v>
      </c>
      <c r="AR667" s="1506"/>
      <c r="AS667" s="1507"/>
      <c r="AT667" s="1507"/>
      <c r="AU667" s="1507"/>
      <c r="AV667" s="1507"/>
      <c r="AW667" s="3247">
        <v>548</v>
      </c>
      <c r="AX667" s="3146"/>
      <c r="BA667" s="267"/>
      <c r="BB667" s="267"/>
      <c r="BC667" s="4117">
        <f t="shared" si="190"/>
        <v>0</v>
      </c>
      <c r="BD667" s="4117">
        <f t="shared" si="188"/>
        <v>0</v>
      </c>
      <c r="BE667" s="5071"/>
    </row>
    <row r="668" spans="1:57" ht="102">
      <c r="A668" s="5981" t="s">
        <v>11003</v>
      </c>
      <c r="B668" s="1538" t="s">
        <v>11236</v>
      </c>
      <c r="C668" s="1509">
        <v>0</v>
      </c>
      <c r="D668" s="1510">
        <v>44145</v>
      </c>
      <c r="E668" s="4344" t="s">
        <v>8170</v>
      </c>
      <c r="F668" s="1511" t="s">
        <v>7957</v>
      </c>
      <c r="G668" s="2663">
        <v>1.0795220000000001</v>
      </c>
      <c r="H668" s="1513" t="s">
        <v>8275</v>
      </c>
      <c r="I668" s="1514" t="s">
        <v>8276</v>
      </c>
      <c r="J668" s="4345" t="s">
        <v>4306</v>
      </c>
      <c r="K668" s="1516">
        <v>44875</v>
      </c>
      <c r="L668" s="1514" t="s">
        <v>8277</v>
      </c>
      <c r="M668" s="1515" t="s">
        <v>8278</v>
      </c>
      <c r="N668" s="1514" t="s">
        <v>8279</v>
      </c>
      <c r="O668" s="1515" t="s">
        <v>8278</v>
      </c>
      <c r="P668" s="2215" t="s">
        <v>8715</v>
      </c>
      <c r="Q668" s="6094" t="s">
        <v>5708</v>
      </c>
      <c r="R668" s="1515" t="s">
        <v>5350</v>
      </c>
      <c r="S668" s="1518"/>
      <c r="T668" s="1519"/>
      <c r="U668" s="1504"/>
      <c r="V668" s="1520"/>
      <c r="W668" s="1519"/>
      <c r="X668" s="1504"/>
      <c r="Y668" s="1520"/>
      <c r="Z668" s="1519"/>
      <c r="AA668" s="1504"/>
      <c r="AB668" s="1520"/>
      <c r="AC668" s="1519"/>
      <c r="AD668" s="1504"/>
      <c r="AE668" s="1520"/>
      <c r="AF668" s="1519"/>
      <c r="AG668" s="1504"/>
      <c r="AH668" s="1520"/>
      <c r="AI668" s="1503">
        <v>1609</v>
      </c>
      <c r="AJ668" s="1504">
        <v>0</v>
      </c>
      <c r="AK668" s="3919">
        <v>0</v>
      </c>
      <c r="AL668" s="1505">
        <f t="shared" ref="AL668:AL709" si="191">AI668-AJ668-AK668</f>
        <v>1609</v>
      </c>
      <c r="AM668" s="1508" t="s">
        <v>4858</v>
      </c>
      <c r="AN668" s="3401">
        <v>44552</v>
      </c>
      <c r="AO668" s="3402" t="s">
        <v>9522</v>
      </c>
      <c r="AP668" s="3539" t="s">
        <v>7957</v>
      </c>
      <c r="AQ668" s="4189">
        <v>1.0795220000000001</v>
      </c>
      <c r="AR668" s="1506"/>
      <c r="AS668" s="1507"/>
      <c r="AT668" s="1507"/>
      <c r="AU668" s="1507"/>
      <c r="AV668" s="1507"/>
      <c r="AW668" s="3247">
        <f t="shared" ref="AW668:AW673" si="192">ROUND(AL668*AQ668/G668,0)</f>
        <v>1609</v>
      </c>
      <c r="AX668" s="3146"/>
      <c r="BA668" s="267"/>
      <c r="BB668" s="267"/>
      <c r="BC668" s="4117">
        <f t="shared" si="190"/>
        <v>0</v>
      </c>
      <c r="BD668" s="4117">
        <f t="shared" si="188"/>
        <v>0</v>
      </c>
      <c r="BE668" s="5071"/>
    </row>
    <row r="669" spans="1:57" ht="102">
      <c r="A669" s="5978" t="s">
        <v>11036</v>
      </c>
      <c r="B669" s="1538" t="s">
        <v>11235</v>
      </c>
      <c r="C669" s="1509">
        <v>0</v>
      </c>
      <c r="D669" s="1510" t="s">
        <v>11170</v>
      </c>
      <c r="E669" s="3053" t="s">
        <v>6385</v>
      </c>
      <c r="F669" s="1511" t="s">
        <v>11171</v>
      </c>
      <c r="G669" s="3250">
        <v>1.047839</v>
      </c>
      <c r="H669" s="1513" t="s">
        <v>5010</v>
      </c>
      <c r="I669" s="1514" t="s">
        <v>5037</v>
      </c>
      <c r="J669" s="1515" t="s">
        <v>4306</v>
      </c>
      <c r="K669" s="1516">
        <v>43750</v>
      </c>
      <c r="L669" s="1514" t="s">
        <v>5013</v>
      </c>
      <c r="M669" s="1515" t="s">
        <v>5011</v>
      </c>
      <c r="N669" s="1514" t="s">
        <v>5012</v>
      </c>
      <c r="O669" s="1515" t="s">
        <v>5011</v>
      </c>
      <c r="P669" s="1517" t="s">
        <v>7741</v>
      </c>
      <c r="Q669" s="6094" t="s">
        <v>4878</v>
      </c>
      <c r="R669" s="1515" t="s">
        <v>1046</v>
      </c>
      <c r="S669" s="1518"/>
      <c r="T669" s="1519">
        <v>2304</v>
      </c>
      <c r="U669" s="1504">
        <v>0</v>
      </c>
      <c r="V669" s="1520">
        <f>T669-U669</f>
        <v>2304</v>
      </c>
      <c r="W669" s="1519">
        <v>2881</v>
      </c>
      <c r="X669" s="1504">
        <v>0</v>
      </c>
      <c r="Y669" s="1520">
        <f>W669-X669</f>
        <v>2881</v>
      </c>
      <c r="Z669" s="1519">
        <v>823</v>
      </c>
      <c r="AA669" s="1504">
        <v>0</v>
      </c>
      <c r="AB669" s="1520">
        <f>Z669-AA669</f>
        <v>823</v>
      </c>
      <c r="AC669" s="1519"/>
      <c r="AD669" s="1504"/>
      <c r="AE669" s="1520"/>
      <c r="AF669" s="1519"/>
      <c r="AG669" s="1504"/>
      <c r="AH669" s="1520"/>
      <c r="AI669" s="1503">
        <v>1555</v>
      </c>
      <c r="AJ669" s="1504">
        <f>U669+X669+AA669+AD669+AG669</f>
        <v>0</v>
      </c>
      <c r="AK669" s="3919">
        <v>0</v>
      </c>
      <c r="AL669" s="1505">
        <f t="shared" si="191"/>
        <v>1555</v>
      </c>
      <c r="AM669" s="1508" t="s">
        <v>4858</v>
      </c>
      <c r="AN669" s="3401">
        <v>44552</v>
      </c>
      <c r="AO669" s="3402" t="s">
        <v>9531</v>
      </c>
      <c r="AP669" s="3251" t="s">
        <v>6894</v>
      </c>
      <c r="AQ669" s="3248">
        <v>1.047839</v>
      </c>
      <c r="AR669" s="4134">
        <v>0</v>
      </c>
      <c r="AS669" s="4135">
        <v>0</v>
      </c>
      <c r="AT669" s="4135">
        <v>0</v>
      </c>
      <c r="AU669" s="4135">
        <v>0</v>
      </c>
      <c r="AV669" s="4135">
        <v>0</v>
      </c>
      <c r="AW669" s="3247">
        <f t="shared" si="192"/>
        <v>1555</v>
      </c>
      <c r="AX669" s="3146"/>
      <c r="BA669" s="267"/>
      <c r="BB669" s="267"/>
      <c r="BC669" s="4117">
        <f t="shared" si="190"/>
        <v>0</v>
      </c>
      <c r="BD669" s="4117">
        <f t="shared" si="188"/>
        <v>0</v>
      </c>
      <c r="BE669" s="5071"/>
    </row>
    <row r="670" spans="1:57" ht="89.25">
      <c r="A670" s="5981" t="s">
        <v>11003</v>
      </c>
      <c r="B670" s="1538" t="s">
        <v>9505</v>
      </c>
      <c r="C670" s="1509">
        <v>0</v>
      </c>
      <c r="D670" s="1510">
        <v>44426</v>
      </c>
      <c r="E670" s="4344" t="s">
        <v>8170</v>
      </c>
      <c r="F670" s="2497" t="s">
        <v>9005</v>
      </c>
      <c r="G670" s="5387">
        <v>1.0956269999999999</v>
      </c>
      <c r="H670" s="1513" t="s">
        <v>9112</v>
      </c>
      <c r="I670" s="1514" t="s">
        <v>9101</v>
      </c>
      <c r="J670" s="4345" t="s">
        <v>4306</v>
      </c>
      <c r="K670" s="1516">
        <v>45140</v>
      </c>
      <c r="L670" s="1514" t="s">
        <v>9102</v>
      </c>
      <c r="M670" s="1515" t="s">
        <v>9113</v>
      </c>
      <c r="N670" s="1514" t="s">
        <v>9115</v>
      </c>
      <c r="O670" s="1513" t="s">
        <v>9113</v>
      </c>
      <c r="P670" s="1517"/>
      <c r="Q670" s="6094" t="s">
        <v>9047</v>
      </c>
      <c r="R670" s="1515" t="s">
        <v>5350</v>
      </c>
      <c r="S670" s="1518"/>
      <c r="T670" s="1519"/>
      <c r="U670" s="1504"/>
      <c r="V670" s="1520"/>
      <c r="W670" s="1519"/>
      <c r="X670" s="1504"/>
      <c r="Y670" s="1520"/>
      <c r="Z670" s="1519"/>
      <c r="AA670" s="1504"/>
      <c r="AB670" s="1520"/>
      <c r="AC670" s="1519"/>
      <c r="AD670" s="1504"/>
      <c r="AE670" s="1520"/>
      <c r="AF670" s="1519"/>
      <c r="AG670" s="1504"/>
      <c r="AH670" s="1520"/>
      <c r="AI670" s="1503">
        <v>6533</v>
      </c>
      <c r="AJ670" s="1504">
        <v>0</v>
      </c>
      <c r="AK670" s="3919">
        <v>0</v>
      </c>
      <c r="AL670" s="1505">
        <f t="shared" si="191"/>
        <v>6533</v>
      </c>
      <c r="AM670" s="1508" t="s">
        <v>1061</v>
      </c>
      <c r="AN670" s="3401" t="s">
        <v>9550</v>
      </c>
      <c r="AO670" s="3402" t="s">
        <v>9549</v>
      </c>
      <c r="AP670" s="2905" t="s">
        <v>9004</v>
      </c>
      <c r="AQ670" s="2906">
        <v>1.0956269999999999</v>
      </c>
      <c r="AR670" s="1506"/>
      <c r="AS670" s="1507"/>
      <c r="AT670" s="1507"/>
      <c r="AU670" s="1507"/>
      <c r="AV670" s="1507"/>
      <c r="AW670" s="3247">
        <f t="shared" si="192"/>
        <v>6533</v>
      </c>
      <c r="AX670" s="3146"/>
      <c r="BA670" s="267"/>
      <c r="BB670" s="267"/>
      <c r="BC670" s="4117">
        <f t="shared" si="190"/>
        <v>0</v>
      </c>
      <c r="BD670" s="4117">
        <f t="shared" si="188"/>
        <v>0</v>
      </c>
      <c r="BE670" s="5071"/>
    </row>
    <row r="671" spans="1:57" ht="135" customHeight="1">
      <c r="A671" s="5981" t="s">
        <v>11003</v>
      </c>
      <c r="B671" s="1538" t="s">
        <v>9539</v>
      </c>
      <c r="C671" s="1509">
        <v>0</v>
      </c>
      <c r="D671" s="1510">
        <v>44525</v>
      </c>
      <c r="E671" s="4344" t="s">
        <v>9156</v>
      </c>
      <c r="F671" s="2497" t="s">
        <v>9005</v>
      </c>
      <c r="G671" s="5387">
        <v>1.0956269999999999</v>
      </c>
      <c r="H671" s="1513" t="s">
        <v>9454</v>
      </c>
      <c r="I671" s="1514" t="s">
        <v>1433</v>
      </c>
      <c r="J671" s="1515" t="s">
        <v>1434</v>
      </c>
      <c r="K671" s="1516" t="s">
        <v>7715</v>
      </c>
      <c r="L671" s="1514" t="s">
        <v>1119</v>
      </c>
      <c r="M671" s="1515" t="s">
        <v>9455</v>
      </c>
      <c r="N671" s="1514" t="s">
        <v>9456</v>
      </c>
      <c r="O671" s="1513" t="s">
        <v>9457</v>
      </c>
      <c r="P671" s="1517" t="s">
        <v>9458</v>
      </c>
      <c r="Q671" s="5243" t="s">
        <v>9459</v>
      </c>
      <c r="R671" s="5243" t="s">
        <v>9460</v>
      </c>
      <c r="S671" s="1518"/>
      <c r="T671" s="1519"/>
      <c r="U671" s="1504"/>
      <c r="V671" s="1520"/>
      <c r="W671" s="1519"/>
      <c r="X671" s="1504"/>
      <c r="Y671" s="1520"/>
      <c r="Z671" s="1519"/>
      <c r="AA671" s="1504"/>
      <c r="AB671" s="1520"/>
      <c r="AC671" s="1519"/>
      <c r="AD671" s="1504"/>
      <c r="AE671" s="1520"/>
      <c r="AF671" s="1519"/>
      <c r="AG671" s="1504"/>
      <c r="AH671" s="1520"/>
      <c r="AI671" s="1503">
        <v>3017</v>
      </c>
      <c r="AJ671" s="1504">
        <v>0</v>
      </c>
      <c r="AK671" s="3919">
        <v>0</v>
      </c>
      <c r="AL671" s="1505">
        <f t="shared" si="191"/>
        <v>3017</v>
      </c>
      <c r="AM671" s="1508" t="s">
        <v>9542</v>
      </c>
      <c r="AN671" s="3401">
        <v>44553</v>
      </c>
      <c r="AO671" s="3402" t="s">
        <v>9552</v>
      </c>
      <c r="AP671" s="2905" t="s">
        <v>9004</v>
      </c>
      <c r="AQ671" s="2906">
        <v>1.0956269999999999</v>
      </c>
      <c r="AR671" s="1506"/>
      <c r="AS671" s="1507"/>
      <c r="AT671" s="1507"/>
      <c r="AU671" s="1507"/>
      <c r="AV671" s="1507"/>
      <c r="AW671" s="3247">
        <f t="shared" si="192"/>
        <v>3017</v>
      </c>
      <c r="AX671" s="3146"/>
      <c r="BA671" s="267"/>
      <c r="BB671" s="267"/>
      <c r="BC671" s="4117">
        <f t="shared" si="190"/>
        <v>0</v>
      </c>
      <c r="BD671" s="4117">
        <f t="shared" si="188"/>
        <v>0</v>
      </c>
      <c r="BE671" s="5071"/>
    </row>
    <row r="672" spans="1:57" ht="77.25" thickBot="1">
      <c r="A672" s="6072" t="s">
        <v>11021</v>
      </c>
      <c r="B672" s="5145" t="s">
        <v>11239</v>
      </c>
      <c r="C672" s="5389">
        <v>0</v>
      </c>
      <c r="D672" s="5390">
        <v>43074</v>
      </c>
      <c r="E672" s="5390" t="s">
        <v>6385</v>
      </c>
      <c r="F672" s="5496" t="s">
        <v>6558</v>
      </c>
      <c r="G672" s="5497">
        <v>114</v>
      </c>
      <c r="H672" s="5498" t="s">
        <v>5150</v>
      </c>
      <c r="I672" s="5152" t="s">
        <v>5152</v>
      </c>
      <c r="J672" s="5392" t="s">
        <v>4306</v>
      </c>
      <c r="K672" s="5499">
        <v>43804</v>
      </c>
      <c r="L672" s="5152" t="s">
        <v>5157</v>
      </c>
      <c r="M672" s="5392" t="s">
        <v>5158</v>
      </c>
      <c r="N672" s="5152" t="s">
        <v>5159</v>
      </c>
      <c r="O672" s="5498" t="s">
        <v>6249</v>
      </c>
      <c r="P672" s="5156" t="s">
        <v>7751</v>
      </c>
      <c r="Q672" s="6113" t="s">
        <v>4878</v>
      </c>
      <c r="R672" s="5392" t="s">
        <v>1046</v>
      </c>
      <c r="S672" s="5500"/>
      <c r="T672" s="5158">
        <v>469</v>
      </c>
      <c r="U672" s="5395">
        <v>0</v>
      </c>
      <c r="V672" s="5501">
        <f>T672-U672</f>
        <v>469</v>
      </c>
      <c r="W672" s="5158">
        <v>586</v>
      </c>
      <c r="X672" s="5395">
        <v>0</v>
      </c>
      <c r="Y672" s="5501">
        <f>W672-X672</f>
        <v>586</v>
      </c>
      <c r="Z672" s="5158">
        <v>167</v>
      </c>
      <c r="AA672" s="5395">
        <v>0</v>
      </c>
      <c r="AB672" s="5501">
        <f>Z672-AA672</f>
        <v>167</v>
      </c>
      <c r="AC672" s="5158"/>
      <c r="AD672" s="5395"/>
      <c r="AE672" s="5501"/>
      <c r="AF672" s="5158"/>
      <c r="AG672" s="5395"/>
      <c r="AH672" s="5501"/>
      <c r="AI672" s="5161">
        <f>T672+W672+Z672+AC672+AF672</f>
        <v>1222</v>
      </c>
      <c r="AJ672" s="5395">
        <f>U672+X672+AA672+AD672+AG672</f>
        <v>0</v>
      </c>
      <c r="AK672" s="5448">
        <v>0</v>
      </c>
      <c r="AL672" s="5502">
        <f t="shared" si="191"/>
        <v>1222</v>
      </c>
      <c r="AM672" s="5164" t="s">
        <v>1061</v>
      </c>
      <c r="AN672" s="5399" t="s">
        <v>9550</v>
      </c>
      <c r="AO672" s="5400" t="s">
        <v>9551</v>
      </c>
      <c r="AP672" s="5503" t="s">
        <v>7742</v>
      </c>
      <c r="AQ672" s="5504">
        <v>116.3</v>
      </c>
      <c r="AR672" s="5167">
        <v>0</v>
      </c>
      <c r="AS672" s="5401">
        <v>0</v>
      </c>
      <c r="AT672" s="5401">
        <v>0</v>
      </c>
      <c r="AU672" s="5401">
        <v>0</v>
      </c>
      <c r="AV672" s="5401">
        <v>0</v>
      </c>
      <c r="AW672" s="5450">
        <f t="shared" si="192"/>
        <v>1247</v>
      </c>
      <c r="AX672" s="5403"/>
      <c r="AY672" s="4029" t="s">
        <v>9478</v>
      </c>
      <c r="AZ672" s="3888">
        <f>SUM(AW649:AW672)</f>
        <v>83403</v>
      </c>
      <c r="BA672" s="4028">
        <f>AZ672</f>
        <v>83403</v>
      </c>
      <c r="BB672" s="267"/>
      <c r="BC672" s="4117">
        <f t="shared" si="190"/>
        <v>0</v>
      </c>
      <c r="BD672" s="4117">
        <f t="shared" si="188"/>
        <v>0</v>
      </c>
      <c r="BE672" s="5071"/>
    </row>
    <row r="673" spans="1:61" ht="89.25">
      <c r="A673" s="6045" t="s">
        <v>11003</v>
      </c>
      <c r="B673" s="564" t="s">
        <v>11241</v>
      </c>
      <c r="C673" s="565">
        <v>0</v>
      </c>
      <c r="D673" s="566">
        <v>44433</v>
      </c>
      <c r="E673" s="4561" t="s">
        <v>9156</v>
      </c>
      <c r="F673" s="567" t="s">
        <v>9005</v>
      </c>
      <c r="G673" s="5505">
        <v>1.0956269999999999</v>
      </c>
      <c r="H673" s="568" t="s">
        <v>9553</v>
      </c>
      <c r="I673" s="569" t="s">
        <v>1433</v>
      </c>
      <c r="J673" s="570" t="s">
        <v>1434</v>
      </c>
      <c r="K673" s="571">
        <v>46619</v>
      </c>
      <c r="L673" s="569" t="s">
        <v>9145</v>
      </c>
      <c r="M673" s="570" t="s">
        <v>9146</v>
      </c>
      <c r="N673" s="569" t="s">
        <v>9147</v>
      </c>
      <c r="O673" s="568" t="s">
        <v>9148</v>
      </c>
      <c r="P673" s="572"/>
      <c r="Q673" s="570" t="s">
        <v>9149</v>
      </c>
      <c r="R673" s="570" t="s">
        <v>9150</v>
      </c>
      <c r="S673" s="573"/>
      <c r="T673" s="574"/>
      <c r="U673" s="575"/>
      <c r="V673" s="576"/>
      <c r="W673" s="574"/>
      <c r="X673" s="575"/>
      <c r="Y673" s="576"/>
      <c r="Z673" s="574"/>
      <c r="AA673" s="575"/>
      <c r="AB673" s="576"/>
      <c r="AC673" s="574"/>
      <c r="AD673" s="575"/>
      <c r="AE673" s="576"/>
      <c r="AF673" s="574"/>
      <c r="AG673" s="575"/>
      <c r="AH673" s="576"/>
      <c r="AI673" s="577">
        <v>4022</v>
      </c>
      <c r="AJ673" s="575">
        <v>0</v>
      </c>
      <c r="AK673" s="3902">
        <v>0</v>
      </c>
      <c r="AL673" s="578">
        <f t="shared" si="191"/>
        <v>4022</v>
      </c>
      <c r="AM673" s="3404" t="s">
        <v>1061</v>
      </c>
      <c r="AN673" s="3346">
        <v>44567</v>
      </c>
      <c r="AO673" s="3347" t="s">
        <v>9554</v>
      </c>
      <c r="AP673" s="3348" t="s">
        <v>9004</v>
      </c>
      <c r="AQ673" s="4563">
        <v>1.0956269999999999</v>
      </c>
      <c r="AR673" s="579"/>
      <c r="AS673" s="580"/>
      <c r="AT673" s="580"/>
      <c r="AU673" s="580"/>
      <c r="AV673" s="580"/>
      <c r="AW673" s="2868">
        <f t="shared" si="192"/>
        <v>4022</v>
      </c>
      <c r="AX673" s="2889"/>
      <c r="BB673" s="267"/>
      <c r="BC673" s="4117">
        <f t="shared" si="190"/>
        <v>0</v>
      </c>
      <c r="BD673" s="4117">
        <f t="shared" si="188"/>
        <v>0</v>
      </c>
      <c r="BE673" s="5071"/>
    </row>
    <row r="674" spans="1:61" ht="76.5">
      <c r="A674" s="2418" t="s">
        <v>11004</v>
      </c>
      <c r="B674" s="338" t="s">
        <v>11240</v>
      </c>
      <c r="C674" s="321">
        <v>0</v>
      </c>
      <c r="D674" s="323">
        <v>43606</v>
      </c>
      <c r="E674" s="3051" t="s">
        <v>6386</v>
      </c>
      <c r="F674" s="324" t="s">
        <v>5757</v>
      </c>
      <c r="G674" s="2621">
        <v>1.0247219999999999</v>
      </c>
      <c r="H674" s="332" t="s">
        <v>6723</v>
      </c>
      <c r="I674" s="339" t="s">
        <v>6724</v>
      </c>
      <c r="J674" s="322" t="s">
        <v>4306</v>
      </c>
      <c r="K674" s="340">
        <v>44329</v>
      </c>
      <c r="L674" s="339" t="s">
        <v>6725</v>
      </c>
      <c r="M674" s="322" t="s">
        <v>6726</v>
      </c>
      <c r="N674" s="339" t="s">
        <v>6727</v>
      </c>
      <c r="O674" s="332" t="s">
        <v>6726</v>
      </c>
      <c r="P674" s="345" t="s">
        <v>9335</v>
      </c>
      <c r="Q674" s="6094" t="s">
        <v>5708</v>
      </c>
      <c r="R674" s="322" t="s">
        <v>5350</v>
      </c>
      <c r="S674" s="346"/>
      <c r="T674" s="347">
        <v>2444</v>
      </c>
      <c r="U674" s="326">
        <v>0</v>
      </c>
      <c r="V674" s="348">
        <f>T674-U674</f>
        <v>2444</v>
      </c>
      <c r="W674" s="347">
        <v>3056</v>
      </c>
      <c r="X674" s="326">
        <v>0</v>
      </c>
      <c r="Y674" s="348">
        <f>W674-X674</f>
        <v>3056</v>
      </c>
      <c r="Z674" s="347">
        <v>0</v>
      </c>
      <c r="AA674" s="326">
        <v>0</v>
      </c>
      <c r="AB674" s="348">
        <f>Z674-AA674</f>
        <v>0</v>
      </c>
      <c r="AC674" s="347"/>
      <c r="AD674" s="326"/>
      <c r="AE674" s="348"/>
      <c r="AF674" s="347"/>
      <c r="AG674" s="326"/>
      <c r="AH674" s="348"/>
      <c r="AI674" s="482">
        <v>0</v>
      </c>
      <c r="AJ674" s="326">
        <f>U674+X674+AA674+AD674+AG674</f>
        <v>0</v>
      </c>
      <c r="AK674" s="3917">
        <v>0</v>
      </c>
      <c r="AL674" s="349">
        <f t="shared" si="191"/>
        <v>0</v>
      </c>
      <c r="AM674" s="5360" t="s">
        <v>9576</v>
      </c>
      <c r="AN674" s="3357">
        <v>44575</v>
      </c>
      <c r="AO674" s="695" t="s">
        <v>9577</v>
      </c>
      <c r="AP674" s="3222" t="s">
        <v>9004</v>
      </c>
      <c r="AQ674" s="3223">
        <v>1.0956269999999999</v>
      </c>
      <c r="AR674" s="333">
        <v>0</v>
      </c>
      <c r="AS674" s="330">
        <v>0</v>
      </c>
      <c r="AT674" s="330">
        <v>0</v>
      </c>
      <c r="AU674" s="330">
        <v>0</v>
      </c>
      <c r="AV674" s="330">
        <v>0</v>
      </c>
      <c r="AW674" s="3156">
        <v>1000</v>
      </c>
      <c r="AX674" s="3140"/>
      <c r="BA674" s="267"/>
      <c r="BB674" s="267"/>
      <c r="BC674" s="4117">
        <f t="shared" si="190"/>
        <v>0</v>
      </c>
      <c r="BD674" s="4117">
        <f t="shared" si="188"/>
        <v>0</v>
      </c>
      <c r="BE674" s="5071"/>
    </row>
    <row r="675" spans="1:61" ht="89.25">
      <c r="A675" s="2418" t="s">
        <v>11003</v>
      </c>
      <c r="B675" s="338" t="s">
        <v>11254</v>
      </c>
      <c r="C675" s="321">
        <v>0</v>
      </c>
      <c r="D675" s="323">
        <v>44078</v>
      </c>
      <c r="E675" s="3058" t="s">
        <v>7972</v>
      </c>
      <c r="F675" s="324" t="s">
        <v>7957</v>
      </c>
      <c r="G675" s="2621">
        <v>1.0795220000000001</v>
      </c>
      <c r="H675" s="332" t="s">
        <v>8037</v>
      </c>
      <c r="I675" s="339" t="s">
        <v>1433</v>
      </c>
      <c r="J675" s="322" t="s">
        <v>1434</v>
      </c>
      <c r="K675" s="340">
        <v>46233</v>
      </c>
      <c r="L675" s="339" t="s">
        <v>8031</v>
      </c>
      <c r="M675" s="322" t="s">
        <v>8032</v>
      </c>
      <c r="N675" s="339" t="s">
        <v>8034</v>
      </c>
      <c r="O675" s="332" t="s">
        <v>8035</v>
      </c>
      <c r="P675" s="667" t="s">
        <v>9082</v>
      </c>
      <c r="Q675" s="6094" t="s">
        <v>5708</v>
      </c>
      <c r="R675" s="322" t="s">
        <v>5350</v>
      </c>
      <c r="S675" s="346"/>
      <c r="T675" s="347"/>
      <c r="U675" s="326"/>
      <c r="V675" s="348"/>
      <c r="W675" s="347"/>
      <c r="X675" s="326"/>
      <c r="Y675" s="348"/>
      <c r="Z675" s="347"/>
      <c r="AA675" s="326"/>
      <c r="AB675" s="348"/>
      <c r="AC675" s="347"/>
      <c r="AD675" s="326"/>
      <c r="AE675" s="348"/>
      <c r="AF675" s="347"/>
      <c r="AG675" s="326"/>
      <c r="AH675" s="348"/>
      <c r="AI675" s="482">
        <v>0</v>
      </c>
      <c r="AJ675" s="326">
        <v>0</v>
      </c>
      <c r="AK675" s="3917">
        <v>0</v>
      </c>
      <c r="AL675" s="349">
        <f t="shared" si="191"/>
        <v>0</v>
      </c>
      <c r="AM675" s="5358" t="s">
        <v>9578</v>
      </c>
      <c r="AN675" s="3357">
        <v>44580</v>
      </c>
      <c r="AO675" s="695" t="s">
        <v>9583</v>
      </c>
      <c r="AP675" s="3696" t="s">
        <v>9004</v>
      </c>
      <c r="AQ675" s="3697">
        <v>1.0956269999999999</v>
      </c>
      <c r="AR675" s="333"/>
      <c r="AS675" s="330"/>
      <c r="AT675" s="330"/>
      <c r="AU675" s="330"/>
      <c r="AV675" s="330"/>
      <c r="AW675" s="3156">
        <v>548</v>
      </c>
      <c r="AX675" s="3140"/>
      <c r="BA675" s="267"/>
      <c r="BB675" s="267"/>
      <c r="BC675" s="4117">
        <f t="shared" si="190"/>
        <v>0</v>
      </c>
      <c r="BD675" s="4117">
        <f t="shared" si="188"/>
        <v>0</v>
      </c>
      <c r="BE675" s="5071"/>
    </row>
    <row r="676" spans="1:61" ht="102">
      <c r="A676" s="2418" t="s">
        <v>11003</v>
      </c>
      <c r="B676" s="338" t="s">
        <v>9565</v>
      </c>
      <c r="C676" s="695">
        <v>1</v>
      </c>
      <c r="D676" s="323" t="s">
        <v>9566</v>
      </c>
      <c r="E676" s="3058" t="s">
        <v>9156</v>
      </c>
      <c r="F676" s="830" t="s">
        <v>9005</v>
      </c>
      <c r="G676" s="5356">
        <v>1.0956269999999999</v>
      </c>
      <c r="H676" s="332" t="s">
        <v>9390</v>
      </c>
      <c r="I676" s="339" t="s">
        <v>1433</v>
      </c>
      <c r="J676" s="322" t="s">
        <v>1434</v>
      </c>
      <c r="K676" s="340" t="s">
        <v>7715</v>
      </c>
      <c r="L676" s="339" t="s">
        <v>9391</v>
      </c>
      <c r="M676" s="322" t="s">
        <v>6628</v>
      </c>
      <c r="N676" s="339" t="s">
        <v>9392</v>
      </c>
      <c r="O676" s="332" t="s">
        <v>9393</v>
      </c>
      <c r="P676" s="345" t="s">
        <v>9568</v>
      </c>
      <c r="Q676" s="2054" t="s">
        <v>9567</v>
      </c>
      <c r="R676" s="2054" t="s">
        <v>7157</v>
      </c>
      <c r="S676" s="346" t="s">
        <v>9569</v>
      </c>
      <c r="T676" s="347"/>
      <c r="U676" s="326"/>
      <c r="V676" s="348"/>
      <c r="W676" s="347"/>
      <c r="X676" s="326"/>
      <c r="Y676" s="348"/>
      <c r="Z676" s="347"/>
      <c r="AA676" s="326"/>
      <c r="AB676" s="348"/>
      <c r="AC676" s="820"/>
      <c r="AD676" s="821"/>
      <c r="AE676" s="822"/>
      <c r="AF676" s="820"/>
      <c r="AG676" s="821"/>
      <c r="AH676" s="822"/>
      <c r="AI676" s="482">
        <v>14942</v>
      </c>
      <c r="AJ676" s="326">
        <v>0</v>
      </c>
      <c r="AK676" s="3917">
        <v>14235</v>
      </c>
      <c r="AL676" s="349">
        <f t="shared" si="191"/>
        <v>707</v>
      </c>
      <c r="AM676" s="2002" t="s">
        <v>2977</v>
      </c>
      <c r="AN676" s="3357">
        <v>44581</v>
      </c>
      <c r="AO676" s="695" t="s">
        <v>9584</v>
      </c>
      <c r="AP676" s="3362" t="s">
        <v>9004</v>
      </c>
      <c r="AQ676" s="3555">
        <v>1.0956269999999999</v>
      </c>
      <c r="AR676" s="333"/>
      <c r="AS676" s="330"/>
      <c r="AT676" s="330"/>
      <c r="AU676" s="849"/>
      <c r="AV676" s="849"/>
      <c r="AW676" s="3156">
        <f>ROUND(AL676*AQ676/G676,0)</f>
        <v>707</v>
      </c>
      <c r="AX676" s="3140"/>
      <c r="BA676" s="267"/>
      <c r="BB676" s="267"/>
      <c r="BC676" s="4117">
        <f t="shared" si="190"/>
        <v>0</v>
      </c>
      <c r="BD676" s="4117">
        <f t="shared" si="188"/>
        <v>14235</v>
      </c>
      <c r="BE676" s="5071"/>
    </row>
    <row r="677" spans="1:61" ht="89.25">
      <c r="A677" s="2418" t="s">
        <v>11003</v>
      </c>
      <c r="B677" s="338" t="s">
        <v>9599</v>
      </c>
      <c r="C677" s="321">
        <v>1</v>
      </c>
      <c r="D677" s="323" t="s">
        <v>8606</v>
      </c>
      <c r="E677" s="3058" t="s">
        <v>8170</v>
      </c>
      <c r="F677" s="324" t="s">
        <v>7957</v>
      </c>
      <c r="G677" s="2621">
        <v>1.0795220000000001</v>
      </c>
      <c r="H677" s="332" t="s">
        <v>8551</v>
      </c>
      <c r="I677" s="2398" t="s">
        <v>8557</v>
      </c>
      <c r="J677" s="2399" t="s">
        <v>4306</v>
      </c>
      <c r="K677" s="340">
        <v>45700</v>
      </c>
      <c r="L677" s="339" t="s">
        <v>8552</v>
      </c>
      <c r="M677" s="322" t="s">
        <v>8553</v>
      </c>
      <c r="N677" s="339" t="s">
        <v>8555</v>
      </c>
      <c r="O677" s="332" t="s">
        <v>8554</v>
      </c>
      <c r="P677" s="345" t="s">
        <v>8615</v>
      </c>
      <c r="Q677" s="6094" t="s">
        <v>8556</v>
      </c>
      <c r="R677" s="322" t="s">
        <v>5350</v>
      </c>
      <c r="S677" s="346"/>
      <c r="T677" s="347"/>
      <c r="U677" s="326"/>
      <c r="V677" s="348"/>
      <c r="W677" s="347"/>
      <c r="X677" s="326"/>
      <c r="Y677" s="348"/>
      <c r="Z677" s="347"/>
      <c r="AA677" s="326"/>
      <c r="AB677" s="348"/>
      <c r="AC677" s="347"/>
      <c r="AD677" s="326"/>
      <c r="AE677" s="348"/>
      <c r="AF677" s="347"/>
      <c r="AG677" s="326"/>
      <c r="AH677" s="348"/>
      <c r="AI677" s="482">
        <v>0</v>
      </c>
      <c r="AJ677" s="326">
        <v>0</v>
      </c>
      <c r="AK677" s="3917">
        <v>0</v>
      </c>
      <c r="AL677" s="349">
        <f t="shared" si="191"/>
        <v>0</v>
      </c>
      <c r="AM677" s="2002" t="s">
        <v>9591</v>
      </c>
      <c r="AN677" s="3357">
        <v>44581</v>
      </c>
      <c r="AO677" s="695" t="s">
        <v>9592</v>
      </c>
      <c r="AP677" s="3362" t="s">
        <v>9004</v>
      </c>
      <c r="AQ677" s="3555">
        <v>1.0956269999999999</v>
      </c>
      <c r="AR677" s="333"/>
      <c r="AS677" s="330"/>
      <c r="AT677" s="330"/>
      <c r="AU677" s="330"/>
      <c r="AV677" s="330"/>
      <c r="AW677" s="3156">
        <v>5000</v>
      </c>
      <c r="AX677" s="3140"/>
      <c r="BA677" s="267"/>
      <c r="BB677" s="267"/>
      <c r="BC677" s="4117">
        <f t="shared" si="190"/>
        <v>0</v>
      </c>
      <c r="BD677" s="4117">
        <f t="shared" si="188"/>
        <v>0</v>
      </c>
      <c r="BE677" s="5071"/>
    </row>
    <row r="678" spans="1:61" ht="102.75" thickBot="1">
      <c r="A678" s="6073" t="s">
        <v>11003</v>
      </c>
      <c r="B678" s="5506" t="s">
        <v>9600</v>
      </c>
      <c r="C678" s="5507">
        <v>1</v>
      </c>
      <c r="D678" s="5508" t="s">
        <v>8606</v>
      </c>
      <c r="E678" s="5509" t="s">
        <v>8170</v>
      </c>
      <c r="F678" s="5510" t="s">
        <v>7957</v>
      </c>
      <c r="G678" s="5511">
        <v>1.0795220000000001</v>
      </c>
      <c r="H678" s="5512" t="s">
        <v>8551</v>
      </c>
      <c r="I678" s="5513" t="s">
        <v>8557</v>
      </c>
      <c r="J678" s="5514" t="s">
        <v>4306</v>
      </c>
      <c r="K678" s="5515">
        <v>45700</v>
      </c>
      <c r="L678" s="5513" t="s">
        <v>8552</v>
      </c>
      <c r="M678" s="5514" t="s">
        <v>8553</v>
      </c>
      <c r="N678" s="5513" t="s">
        <v>8555</v>
      </c>
      <c r="O678" s="5512" t="s">
        <v>8554</v>
      </c>
      <c r="P678" s="5516" t="s">
        <v>8615</v>
      </c>
      <c r="Q678" s="6114" t="s">
        <v>8556</v>
      </c>
      <c r="R678" s="5514" t="s">
        <v>5350</v>
      </c>
      <c r="S678" s="5517"/>
      <c r="T678" s="5518"/>
      <c r="U678" s="5519"/>
      <c r="V678" s="5520"/>
      <c r="W678" s="5518"/>
      <c r="X678" s="5519"/>
      <c r="Y678" s="5520"/>
      <c r="Z678" s="5518"/>
      <c r="AA678" s="5519"/>
      <c r="AB678" s="5520"/>
      <c r="AC678" s="5521"/>
      <c r="AD678" s="5522"/>
      <c r="AE678" s="5523"/>
      <c r="AF678" s="5521"/>
      <c r="AG678" s="5522"/>
      <c r="AH678" s="5523"/>
      <c r="AI678" s="5524">
        <v>5484</v>
      </c>
      <c r="AJ678" s="5519">
        <v>0</v>
      </c>
      <c r="AK678" s="5525">
        <v>0</v>
      </c>
      <c r="AL678" s="5526">
        <f t="shared" si="191"/>
        <v>5484</v>
      </c>
      <c r="AM678" s="5527" t="s">
        <v>4872</v>
      </c>
      <c r="AN678" s="5528">
        <v>44585</v>
      </c>
      <c r="AO678" s="5529" t="s">
        <v>9606</v>
      </c>
      <c r="AP678" s="5530" t="s">
        <v>9004</v>
      </c>
      <c r="AQ678" s="5531">
        <v>1.0956269999999999</v>
      </c>
      <c r="AR678" s="5532"/>
      <c r="AS678" s="5533"/>
      <c r="AT678" s="5533"/>
      <c r="AU678" s="5534"/>
      <c r="AV678" s="5534"/>
      <c r="AW678" s="5535">
        <f>ROUND(AL678*AQ678/G678,0)-5000-10</f>
        <v>556</v>
      </c>
      <c r="AX678" s="5536"/>
      <c r="AY678" s="4031" t="s">
        <v>9555</v>
      </c>
      <c r="AZ678" s="3857">
        <f>SUM(AW673:AW678)</f>
        <v>11833</v>
      </c>
      <c r="BA678" s="4028">
        <f>AZ678</f>
        <v>11833</v>
      </c>
      <c r="BB678" s="267"/>
      <c r="BC678" s="4117">
        <f t="shared" si="190"/>
        <v>0</v>
      </c>
      <c r="BD678" s="4117">
        <f t="shared" si="188"/>
        <v>0</v>
      </c>
      <c r="BE678" s="5071"/>
    </row>
    <row r="679" spans="1:61" ht="76.5">
      <c r="A679" s="6017" t="s">
        <v>11003</v>
      </c>
      <c r="B679" s="2298" t="s">
        <v>9616</v>
      </c>
      <c r="C679" s="2299">
        <v>0</v>
      </c>
      <c r="D679" s="2300">
        <v>44286</v>
      </c>
      <c r="E679" s="4812" t="s">
        <v>8170</v>
      </c>
      <c r="F679" s="2497" t="s">
        <v>7957</v>
      </c>
      <c r="G679" s="3110">
        <v>1.0795220000000001</v>
      </c>
      <c r="H679" s="2306" t="s">
        <v>8670</v>
      </c>
      <c r="I679" s="2303" t="s">
        <v>5753</v>
      </c>
      <c r="J679" s="2304" t="s">
        <v>2712</v>
      </c>
      <c r="K679" s="2305">
        <v>45382</v>
      </c>
      <c r="L679" s="2303" t="s">
        <v>8671</v>
      </c>
      <c r="M679" s="2304" t="s">
        <v>8102</v>
      </c>
      <c r="N679" s="2303" t="s">
        <v>8672</v>
      </c>
      <c r="O679" s="2306" t="s">
        <v>8673</v>
      </c>
      <c r="P679" s="2321"/>
      <c r="Q679" s="2304" t="s">
        <v>4127</v>
      </c>
      <c r="R679" s="2304" t="s">
        <v>8721</v>
      </c>
      <c r="S679" s="2307"/>
      <c r="T679" s="2308"/>
      <c r="U679" s="2309"/>
      <c r="V679" s="2310"/>
      <c r="W679" s="2308"/>
      <c r="X679" s="2309"/>
      <c r="Y679" s="2310"/>
      <c r="Z679" s="2308"/>
      <c r="AA679" s="2309"/>
      <c r="AB679" s="2310"/>
      <c r="AC679" s="2308"/>
      <c r="AD679" s="2309"/>
      <c r="AE679" s="2310"/>
      <c r="AF679" s="2308"/>
      <c r="AG679" s="2309"/>
      <c r="AH679" s="2310"/>
      <c r="AI679" s="2311">
        <v>15452</v>
      </c>
      <c r="AJ679" s="2309">
        <v>0</v>
      </c>
      <c r="AK679" s="3914">
        <v>0</v>
      </c>
      <c r="AL679" s="2312">
        <f t="shared" si="191"/>
        <v>15452</v>
      </c>
      <c r="AM679" s="3491" t="s">
        <v>9617</v>
      </c>
      <c r="AN679" s="3492">
        <v>44593</v>
      </c>
      <c r="AO679" s="2492" t="s">
        <v>9619</v>
      </c>
      <c r="AP679" s="2905" t="s">
        <v>9004</v>
      </c>
      <c r="AQ679" s="2906">
        <v>1.0956269999999999</v>
      </c>
      <c r="AR679" s="2313"/>
      <c r="AS679" s="2314"/>
      <c r="AT679" s="2314"/>
      <c r="AU679" s="2314"/>
      <c r="AV679" s="2314"/>
      <c r="AW679" s="2883">
        <f t="shared" ref="AW679:AW685" si="193">ROUND(AL679*AQ679/G679,0)</f>
        <v>15683</v>
      </c>
      <c r="AX679" s="2899"/>
      <c r="BA679" s="267"/>
      <c r="BB679" s="267"/>
      <c r="BC679" s="4117">
        <f t="shared" si="190"/>
        <v>0</v>
      </c>
      <c r="BD679" s="4117">
        <f t="shared" si="188"/>
        <v>0</v>
      </c>
      <c r="BE679" s="5071"/>
      <c r="BG679" s="267"/>
      <c r="BH679" s="267"/>
      <c r="BI679" s="5071"/>
    </row>
    <row r="680" spans="1:61" ht="63.75">
      <c r="A680" s="5981" t="s">
        <v>11003</v>
      </c>
      <c r="B680" s="1538" t="s">
        <v>9081</v>
      </c>
      <c r="C680" s="1509">
        <v>0</v>
      </c>
      <c r="D680" s="1510">
        <v>44379</v>
      </c>
      <c r="E680" s="4344" t="s">
        <v>8170</v>
      </c>
      <c r="F680" s="1511" t="s">
        <v>7957</v>
      </c>
      <c r="G680" s="2663">
        <v>1.0795220000000001</v>
      </c>
      <c r="H680" s="1513" t="s">
        <v>8990</v>
      </c>
      <c r="I680" s="1514" t="s">
        <v>1433</v>
      </c>
      <c r="J680" s="1515" t="s">
        <v>1434</v>
      </c>
      <c r="K680" s="1516">
        <v>46566</v>
      </c>
      <c r="L680" s="1514" t="s">
        <v>8991</v>
      </c>
      <c r="M680" s="1515" t="s">
        <v>8992</v>
      </c>
      <c r="N680" s="1514" t="s">
        <v>8994</v>
      </c>
      <c r="O680" s="1513" t="s">
        <v>8993</v>
      </c>
      <c r="P680" s="1517"/>
      <c r="Q680" s="6094" t="s">
        <v>8970</v>
      </c>
      <c r="R680" s="1515" t="s">
        <v>6842</v>
      </c>
      <c r="S680" s="1518"/>
      <c r="T680" s="1519"/>
      <c r="U680" s="1504"/>
      <c r="V680" s="1520"/>
      <c r="W680" s="1519"/>
      <c r="X680" s="1504"/>
      <c r="Y680" s="1520"/>
      <c r="Z680" s="1519"/>
      <c r="AA680" s="1504"/>
      <c r="AB680" s="1520"/>
      <c r="AC680" s="1519"/>
      <c r="AD680" s="1504"/>
      <c r="AE680" s="1520"/>
      <c r="AF680" s="1519"/>
      <c r="AG680" s="1504"/>
      <c r="AH680" s="1520"/>
      <c r="AI680" s="1503">
        <v>5484</v>
      </c>
      <c r="AJ680" s="1504">
        <v>0</v>
      </c>
      <c r="AK680" s="3919">
        <v>0</v>
      </c>
      <c r="AL680" s="1505">
        <f t="shared" si="191"/>
        <v>5484</v>
      </c>
      <c r="AM680" s="1508" t="s">
        <v>1061</v>
      </c>
      <c r="AN680" s="3401">
        <v>44601</v>
      </c>
      <c r="AO680" s="3402" t="s">
        <v>9621</v>
      </c>
      <c r="AP680" s="2905" t="s">
        <v>9004</v>
      </c>
      <c r="AQ680" s="2906">
        <v>1.0956269999999999</v>
      </c>
      <c r="AR680" s="1506"/>
      <c r="AS680" s="1507"/>
      <c r="AT680" s="1507"/>
      <c r="AU680" s="1507"/>
      <c r="AV680" s="1507"/>
      <c r="AW680" s="3247">
        <f t="shared" si="193"/>
        <v>5566</v>
      </c>
      <c r="AX680" s="3146"/>
      <c r="BA680" s="267"/>
      <c r="BB680" s="267"/>
      <c r="BC680" s="4117">
        <f t="shared" si="190"/>
        <v>0</v>
      </c>
      <c r="BD680" s="4117">
        <f t="shared" si="188"/>
        <v>0</v>
      </c>
      <c r="BE680" s="5071"/>
      <c r="BF680" s="4788"/>
      <c r="BG680" s="267"/>
      <c r="BH680" s="267"/>
      <c r="BI680" s="5071"/>
    </row>
    <row r="681" spans="1:61" ht="76.5">
      <c r="A681" s="5981" t="s">
        <v>11003</v>
      </c>
      <c r="B681" s="1538" t="s">
        <v>9622</v>
      </c>
      <c r="C681" s="1509">
        <v>0</v>
      </c>
      <c r="D681" s="1510">
        <v>44448</v>
      </c>
      <c r="E681" s="4344" t="s">
        <v>9156</v>
      </c>
      <c r="F681" s="2497" t="s">
        <v>9005</v>
      </c>
      <c r="G681" s="5387">
        <v>1.0956269999999999</v>
      </c>
      <c r="H681" s="1513" t="s">
        <v>9216</v>
      </c>
      <c r="I681" s="1514" t="s">
        <v>9190</v>
      </c>
      <c r="J681" s="4345" t="s">
        <v>4306</v>
      </c>
      <c r="K681" s="1516">
        <v>45906</v>
      </c>
      <c r="L681" s="1514" t="s">
        <v>8424</v>
      </c>
      <c r="M681" s="1515" t="s">
        <v>8425</v>
      </c>
      <c r="N681" s="1514" t="s">
        <v>9218</v>
      </c>
      <c r="O681" s="1513" t="s">
        <v>9217</v>
      </c>
      <c r="P681" s="1517"/>
      <c r="Q681" s="6094" t="s">
        <v>9047</v>
      </c>
      <c r="R681" s="1515" t="s">
        <v>129</v>
      </c>
      <c r="S681" s="1518"/>
      <c r="T681" s="1519"/>
      <c r="U681" s="1504"/>
      <c r="V681" s="1520"/>
      <c r="W681" s="1519"/>
      <c r="X681" s="1504"/>
      <c r="Y681" s="1520"/>
      <c r="Z681" s="1519"/>
      <c r="AA681" s="1504"/>
      <c r="AB681" s="1520"/>
      <c r="AC681" s="1519"/>
      <c r="AD681" s="1504"/>
      <c r="AE681" s="1520"/>
      <c r="AF681" s="1519"/>
      <c r="AG681" s="1504"/>
      <c r="AH681" s="1520"/>
      <c r="AI681" s="1503">
        <v>5567</v>
      </c>
      <c r="AJ681" s="1504">
        <v>0</v>
      </c>
      <c r="AK681" s="3919">
        <v>0</v>
      </c>
      <c r="AL681" s="1505">
        <f t="shared" si="191"/>
        <v>5567</v>
      </c>
      <c r="AM681" s="1508" t="s">
        <v>1061</v>
      </c>
      <c r="AN681" s="3401">
        <v>44602</v>
      </c>
      <c r="AO681" s="3402" t="s">
        <v>9635</v>
      </c>
      <c r="AP681" s="2905" t="s">
        <v>9004</v>
      </c>
      <c r="AQ681" s="2906">
        <v>1.0956269999999999</v>
      </c>
      <c r="AR681" s="1506"/>
      <c r="AS681" s="1507"/>
      <c r="AT681" s="1507"/>
      <c r="AU681" s="1507"/>
      <c r="AV681" s="1507"/>
      <c r="AW681" s="3247">
        <f t="shared" si="193"/>
        <v>5567</v>
      </c>
      <c r="AX681" s="3146"/>
      <c r="BA681" s="267"/>
      <c r="BB681" s="267"/>
      <c r="BC681" s="4117">
        <f t="shared" si="190"/>
        <v>0</v>
      </c>
      <c r="BD681" s="4117">
        <f t="shared" si="188"/>
        <v>0</v>
      </c>
      <c r="BE681" s="5071"/>
      <c r="BF681" s="4788"/>
      <c r="BG681" s="267"/>
      <c r="BH681" s="267"/>
      <c r="BI681" s="5071"/>
    </row>
    <row r="682" spans="1:61" ht="76.5">
      <c r="A682" s="5981" t="s">
        <v>11003</v>
      </c>
      <c r="B682" s="1538" t="s">
        <v>9243</v>
      </c>
      <c r="C682" s="1509">
        <v>0</v>
      </c>
      <c r="D682" s="1510">
        <v>44589</v>
      </c>
      <c r="E682" s="4344" t="s">
        <v>9156</v>
      </c>
      <c r="F682" s="2497" t="s">
        <v>9005</v>
      </c>
      <c r="G682" s="5387">
        <v>1.0956269999999999</v>
      </c>
      <c r="H682" s="1513" t="s">
        <v>9611</v>
      </c>
      <c r="I682" s="1514" t="s">
        <v>1433</v>
      </c>
      <c r="J682" s="1515" t="s">
        <v>1434</v>
      </c>
      <c r="K682" s="1516">
        <v>46773</v>
      </c>
      <c r="L682" s="1514" t="s">
        <v>9612</v>
      </c>
      <c r="M682" s="1515" t="s">
        <v>9613</v>
      </c>
      <c r="N682" s="1514" t="s">
        <v>9615</v>
      </c>
      <c r="O682" s="1513" t="s">
        <v>9614</v>
      </c>
      <c r="P682" s="1517"/>
      <c r="Q682" s="6094" t="s">
        <v>9047</v>
      </c>
      <c r="R682" s="1515" t="s">
        <v>945</v>
      </c>
      <c r="S682" s="1518"/>
      <c r="T682" s="1519"/>
      <c r="U682" s="1504"/>
      <c r="V682" s="1520"/>
      <c r="W682" s="1519"/>
      <c r="X682" s="1504"/>
      <c r="Y682" s="1520"/>
      <c r="Z682" s="1519"/>
      <c r="AA682" s="1504"/>
      <c r="AB682" s="1520"/>
      <c r="AC682" s="1519"/>
      <c r="AD682" s="1504"/>
      <c r="AE682" s="1520"/>
      <c r="AF682" s="1519"/>
      <c r="AG682" s="1504"/>
      <c r="AH682" s="1520"/>
      <c r="AI682" s="1503">
        <v>5567</v>
      </c>
      <c r="AJ682" s="1504">
        <v>0</v>
      </c>
      <c r="AK682" s="3919">
        <v>0</v>
      </c>
      <c r="AL682" s="1505">
        <f t="shared" si="191"/>
        <v>5567</v>
      </c>
      <c r="AM682" s="1508" t="s">
        <v>1061</v>
      </c>
      <c r="AN682" s="3401">
        <v>44602</v>
      </c>
      <c r="AO682" s="3402" t="s">
        <v>9636</v>
      </c>
      <c r="AP682" s="2905" t="s">
        <v>9004</v>
      </c>
      <c r="AQ682" s="2906">
        <v>1.0956269999999999</v>
      </c>
      <c r="AR682" s="1506"/>
      <c r="AS682" s="1507"/>
      <c r="AT682" s="1507"/>
      <c r="AU682" s="1507"/>
      <c r="AV682" s="1507"/>
      <c r="AW682" s="3247">
        <f t="shared" si="193"/>
        <v>5567</v>
      </c>
      <c r="AX682" s="3146"/>
      <c r="BA682" s="267"/>
      <c r="BB682" s="267"/>
      <c r="BC682" s="4117">
        <f t="shared" si="190"/>
        <v>0</v>
      </c>
      <c r="BD682" s="4117">
        <f t="shared" si="188"/>
        <v>0</v>
      </c>
      <c r="BE682" s="5071"/>
      <c r="BF682" s="4788"/>
      <c r="BG682" s="267"/>
      <c r="BH682" s="267"/>
      <c r="BI682" s="5071"/>
    </row>
    <row r="683" spans="1:61" ht="76.5">
      <c r="A683" s="5981" t="s">
        <v>11004</v>
      </c>
      <c r="B683" s="1538" t="s">
        <v>9623</v>
      </c>
      <c r="C683" s="1509">
        <v>0</v>
      </c>
      <c r="D683" s="1510">
        <v>43017</v>
      </c>
      <c r="E683" s="3053" t="s">
        <v>6385</v>
      </c>
      <c r="F683" s="1511" t="s">
        <v>5915</v>
      </c>
      <c r="G683" s="2663">
        <v>1.0119899999999999</v>
      </c>
      <c r="H683" s="1513" t="s">
        <v>4993</v>
      </c>
      <c r="I683" s="1514" t="s">
        <v>1433</v>
      </c>
      <c r="J683" s="1515" t="s">
        <v>1434</v>
      </c>
      <c r="K683" s="1516">
        <v>44474</v>
      </c>
      <c r="L683" s="1514" t="s">
        <v>4994</v>
      </c>
      <c r="M683" s="1515" t="s">
        <v>4995</v>
      </c>
      <c r="N683" s="1514" t="s">
        <v>4996</v>
      </c>
      <c r="O683" s="1513" t="s">
        <v>6324</v>
      </c>
      <c r="P683" s="1517"/>
      <c r="Q683" s="1515" t="s">
        <v>4997</v>
      </c>
      <c r="R683" s="1515" t="s">
        <v>4998</v>
      </c>
      <c r="S683" s="1518"/>
      <c r="T683" s="1519">
        <v>1776</v>
      </c>
      <c r="U683" s="1504">
        <v>0</v>
      </c>
      <c r="V683" s="1520">
        <f>T683-U683</f>
        <v>1776</v>
      </c>
      <c r="W683" s="1519">
        <v>314</v>
      </c>
      <c r="X683" s="1504">
        <v>0</v>
      </c>
      <c r="Y683" s="1520">
        <f>W683-X683</f>
        <v>314</v>
      </c>
      <c r="Z683" s="1519">
        <v>0</v>
      </c>
      <c r="AA683" s="1504">
        <v>0</v>
      </c>
      <c r="AB683" s="1520">
        <f>Z683-AA683</f>
        <v>0</v>
      </c>
      <c r="AC683" s="1519"/>
      <c r="AD683" s="1504"/>
      <c r="AE683" s="1520"/>
      <c r="AF683" s="1519"/>
      <c r="AG683" s="1504"/>
      <c r="AH683" s="1520"/>
      <c r="AI683" s="1503">
        <f>T683+W683+Z683+AC683+AF683</f>
        <v>2090</v>
      </c>
      <c r="AJ683" s="1504">
        <f>U683+X683+AA683+AD683+AG683</f>
        <v>0</v>
      </c>
      <c r="AK683" s="3919">
        <v>0</v>
      </c>
      <c r="AL683" s="1505">
        <f t="shared" si="191"/>
        <v>2090</v>
      </c>
      <c r="AM683" s="1508" t="s">
        <v>1061</v>
      </c>
      <c r="AN683" s="3401">
        <v>44602</v>
      </c>
      <c r="AO683" s="3402" t="s">
        <v>9637</v>
      </c>
      <c r="AP683" s="2664" t="s">
        <v>9004</v>
      </c>
      <c r="AQ683" s="2806">
        <v>1.0956269999999999</v>
      </c>
      <c r="AR683" s="1506">
        <v>0</v>
      </c>
      <c r="AS683" s="1507">
        <v>0</v>
      </c>
      <c r="AT683" s="1507">
        <v>0</v>
      </c>
      <c r="AU683" s="1507">
        <v>0</v>
      </c>
      <c r="AV683" s="1507">
        <v>0</v>
      </c>
      <c r="AW683" s="3247">
        <f t="shared" si="193"/>
        <v>2263</v>
      </c>
      <c r="AX683" s="3146"/>
      <c r="BB683" s="267"/>
      <c r="BC683" s="4117">
        <f t="shared" si="190"/>
        <v>0</v>
      </c>
      <c r="BD683" s="4117">
        <f t="shared" si="188"/>
        <v>0</v>
      </c>
      <c r="BE683" s="5071"/>
      <c r="BF683" s="4788"/>
      <c r="BG683" s="267"/>
      <c r="BH683" s="267"/>
      <c r="BI683" s="5071"/>
    </row>
    <row r="684" spans="1:61" ht="89.25">
      <c r="A684" s="5981" t="s">
        <v>11003</v>
      </c>
      <c r="B684" s="1538" t="s">
        <v>9410</v>
      </c>
      <c r="C684" s="3402">
        <v>1</v>
      </c>
      <c r="D684" s="1510">
        <v>44063</v>
      </c>
      <c r="E684" s="4344" t="s">
        <v>7972</v>
      </c>
      <c r="F684" s="1511" t="s">
        <v>7957</v>
      </c>
      <c r="G684" s="2663">
        <v>1.0795220000000001</v>
      </c>
      <c r="H684" s="1513" t="s">
        <v>8030</v>
      </c>
      <c r="I684" s="1514" t="s">
        <v>1433</v>
      </c>
      <c r="J684" s="1515" t="s">
        <v>1434</v>
      </c>
      <c r="K684" s="1516">
        <v>46184</v>
      </c>
      <c r="L684" s="1514" t="s">
        <v>7998</v>
      </c>
      <c r="M684" s="1515" t="s">
        <v>1957</v>
      </c>
      <c r="N684" s="1514" t="s">
        <v>7999</v>
      </c>
      <c r="O684" s="1513" t="s">
        <v>8000</v>
      </c>
      <c r="P684" s="5540" t="s">
        <v>8004</v>
      </c>
      <c r="Q684" s="1515" t="s">
        <v>8001</v>
      </c>
      <c r="R684" s="1515" t="s">
        <v>8002</v>
      </c>
      <c r="S684" s="1518"/>
      <c r="T684" s="1519"/>
      <c r="U684" s="1504"/>
      <c r="V684" s="1520"/>
      <c r="W684" s="1519"/>
      <c r="X684" s="1504"/>
      <c r="Y684" s="1520"/>
      <c r="Z684" s="1519"/>
      <c r="AA684" s="1504"/>
      <c r="AB684" s="1520"/>
      <c r="AC684" s="1519"/>
      <c r="AD684" s="1504"/>
      <c r="AE684" s="1520"/>
      <c r="AF684" s="1519"/>
      <c r="AG684" s="1504"/>
      <c r="AH684" s="1520"/>
      <c r="AI684" s="1503">
        <v>50175</v>
      </c>
      <c r="AJ684" s="1504">
        <v>0</v>
      </c>
      <c r="AK684" s="3919">
        <v>0</v>
      </c>
      <c r="AL684" s="1505">
        <f t="shared" si="191"/>
        <v>50175</v>
      </c>
      <c r="AM684" s="1508" t="s">
        <v>1061</v>
      </c>
      <c r="AN684" s="3401" t="s">
        <v>9641</v>
      </c>
      <c r="AO684" s="3402" t="s">
        <v>9640</v>
      </c>
      <c r="AP684" s="2905" t="s">
        <v>9004</v>
      </c>
      <c r="AQ684" s="2906">
        <v>1.0956269999999999</v>
      </c>
      <c r="AR684" s="1506"/>
      <c r="AS684" s="1507"/>
      <c r="AT684" s="1507"/>
      <c r="AU684" s="1507"/>
      <c r="AV684" s="1507"/>
      <c r="AW684" s="3247">
        <f t="shared" si="193"/>
        <v>50924</v>
      </c>
      <c r="AX684" s="3146"/>
      <c r="BA684" s="267"/>
      <c r="BB684" s="267"/>
      <c r="BC684" s="4117">
        <f t="shared" si="190"/>
        <v>0</v>
      </c>
      <c r="BD684" s="4117">
        <f t="shared" si="188"/>
        <v>0</v>
      </c>
      <c r="BE684" s="5071"/>
      <c r="BF684" s="4788"/>
      <c r="BG684" s="267"/>
      <c r="BH684" s="267"/>
      <c r="BI684" s="5071"/>
    </row>
    <row r="685" spans="1:61" ht="76.5">
      <c r="A685" s="5981" t="s">
        <v>11003</v>
      </c>
      <c r="B685" s="1538" t="s">
        <v>9412</v>
      </c>
      <c r="C685" s="1509">
        <v>0</v>
      </c>
      <c r="D685" s="1510">
        <v>44435</v>
      </c>
      <c r="E685" s="4344" t="s">
        <v>9156</v>
      </c>
      <c r="F685" s="2497" t="s">
        <v>9005</v>
      </c>
      <c r="G685" s="5387">
        <v>1.0956269999999999</v>
      </c>
      <c r="H685" s="1513" t="s">
        <v>9172</v>
      </c>
      <c r="I685" s="1514" t="s">
        <v>1433</v>
      </c>
      <c r="J685" s="1515" t="s">
        <v>1434</v>
      </c>
      <c r="K685" s="1516">
        <v>46184</v>
      </c>
      <c r="L685" s="1514" t="s">
        <v>7998</v>
      </c>
      <c r="M685" s="1515" t="s">
        <v>1957</v>
      </c>
      <c r="N685" s="1514" t="s">
        <v>7999</v>
      </c>
      <c r="O685" s="1513" t="s">
        <v>9173</v>
      </c>
      <c r="P685" s="1517" t="s">
        <v>9180</v>
      </c>
      <c r="Q685" s="1515" t="s">
        <v>9179</v>
      </c>
      <c r="R685" s="1515" t="s">
        <v>9174</v>
      </c>
      <c r="S685" s="1518"/>
      <c r="T685" s="1519"/>
      <c r="U685" s="1504"/>
      <c r="V685" s="1520"/>
      <c r="W685" s="1519"/>
      <c r="X685" s="1504"/>
      <c r="Y685" s="1520"/>
      <c r="Z685" s="1519"/>
      <c r="AA685" s="1504"/>
      <c r="AB685" s="1520"/>
      <c r="AC685" s="1519"/>
      <c r="AD685" s="1504"/>
      <c r="AE685" s="1520"/>
      <c r="AF685" s="1519"/>
      <c r="AG685" s="1504"/>
      <c r="AH685" s="1520"/>
      <c r="AI685" s="1503">
        <v>12008</v>
      </c>
      <c r="AJ685" s="1504">
        <v>0</v>
      </c>
      <c r="AK685" s="3919">
        <v>0</v>
      </c>
      <c r="AL685" s="1505">
        <f t="shared" si="191"/>
        <v>12008</v>
      </c>
      <c r="AM685" s="1508" t="s">
        <v>1061</v>
      </c>
      <c r="AN685" s="3401" t="s">
        <v>9641</v>
      </c>
      <c r="AO685" s="3402" t="s">
        <v>9640</v>
      </c>
      <c r="AP685" s="2905" t="s">
        <v>9004</v>
      </c>
      <c r="AQ685" s="2906">
        <v>1.0956269999999999</v>
      </c>
      <c r="AR685" s="1506"/>
      <c r="AS685" s="1507"/>
      <c r="AT685" s="1507"/>
      <c r="AU685" s="1507"/>
      <c r="AV685" s="1507"/>
      <c r="AW685" s="3247">
        <f t="shared" si="193"/>
        <v>12008</v>
      </c>
      <c r="AX685" s="3146"/>
      <c r="BA685" s="267"/>
      <c r="BB685" s="267"/>
      <c r="BC685" s="4117">
        <f t="shared" si="190"/>
        <v>0</v>
      </c>
      <c r="BD685" s="4117">
        <f t="shared" si="188"/>
        <v>0</v>
      </c>
      <c r="BE685" s="5071"/>
      <c r="BF685" s="4788"/>
      <c r="BG685" s="267"/>
      <c r="BH685" s="267"/>
      <c r="BI685" s="5071"/>
    </row>
    <row r="686" spans="1:61" ht="89.25">
      <c r="A686" s="5981" t="s">
        <v>11003</v>
      </c>
      <c r="B686" s="1538" t="s">
        <v>11242</v>
      </c>
      <c r="C686" s="1509">
        <v>0</v>
      </c>
      <c r="D686" s="1510">
        <v>44078</v>
      </c>
      <c r="E686" s="4344" t="s">
        <v>7972</v>
      </c>
      <c r="F686" s="1511" t="s">
        <v>7957</v>
      </c>
      <c r="G686" s="2663">
        <v>1.0795220000000001</v>
      </c>
      <c r="H686" s="1513" t="s">
        <v>8037</v>
      </c>
      <c r="I686" s="1514" t="s">
        <v>1433</v>
      </c>
      <c r="J686" s="1515" t="s">
        <v>1434</v>
      </c>
      <c r="K686" s="1516">
        <v>46233</v>
      </c>
      <c r="L686" s="1514" t="s">
        <v>8031</v>
      </c>
      <c r="M686" s="1515" t="s">
        <v>8032</v>
      </c>
      <c r="N686" s="1514" t="s">
        <v>8034</v>
      </c>
      <c r="O686" s="1513" t="s">
        <v>8035</v>
      </c>
      <c r="P686" s="2215" t="s">
        <v>9082</v>
      </c>
      <c r="Q686" s="6094" t="s">
        <v>5708</v>
      </c>
      <c r="R686" s="1515" t="s">
        <v>5350</v>
      </c>
      <c r="S686" s="1518"/>
      <c r="T686" s="1519"/>
      <c r="U686" s="1504"/>
      <c r="V686" s="1520"/>
      <c r="W686" s="1519"/>
      <c r="X686" s="1504"/>
      <c r="Y686" s="1520"/>
      <c r="Z686" s="1519"/>
      <c r="AA686" s="1504"/>
      <c r="AB686" s="1520"/>
      <c r="AC686" s="1519"/>
      <c r="AD686" s="1504"/>
      <c r="AE686" s="1520"/>
      <c r="AF686" s="1519"/>
      <c r="AG686" s="1504"/>
      <c r="AH686" s="1520"/>
      <c r="AI686" s="1503">
        <v>0</v>
      </c>
      <c r="AJ686" s="1504">
        <v>0</v>
      </c>
      <c r="AK686" s="3919">
        <v>0</v>
      </c>
      <c r="AL686" s="1505">
        <f t="shared" si="191"/>
        <v>0</v>
      </c>
      <c r="AM686" s="5271" t="s">
        <v>9642</v>
      </c>
      <c r="AN686" s="3401">
        <v>44610</v>
      </c>
      <c r="AO686" s="3402" t="s">
        <v>9647</v>
      </c>
      <c r="AP686" s="3539" t="s">
        <v>9004</v>
      </c>
      <c r="AQ686" s="4189">
        <v>1.0956269999999999</v>
      </c>
      <c r="AR686" s="1506"/>
      <c r="AS686" s="1507"/>
      <c r="AT686" s="1507"/>
      <c r="AU686" s="1507"/>
      <c r="AV686" s="1507"/>
      <c r="AW686" s="3247">
        <v>548</v>
      </c>
      <c r="AX686" s="3146"/>
      <c r="BA686" s="267"/>
      <c r="BB686" s="267"/>
      <c r="BC686" s="4117">
        <f t="shared" si="190"/>
        <v>0</v>
      </c>
      <c r="BD686" s="4117">
        <f t="shared" si="188"/>
        <v>0</v>
      </c>
      <c r="BE686" s="5071"/>
      <c r="BF686" s="4788"/>
      <c r="BG686" s="267"/>
      <c r="BH686" s="267"/>
      <c r="BI686" s="5071"/>
    </row>
    <row r="687" spans="1:61" ht="102">
      <c r="A687" s="5978" t="s">
        <v>11021</v>
      </c>
      <c r="B687" s="1538" t="s">
        <v>11243</v>
      </c>
      <c r="C687" s="1509">
        <v>0</v>
      </c>
      <c r="D687" s="1510">
        <v>42757</v>
      </c>
      <c r="E687" s="3053" t="s">
        <v>6385</v>
      </c>
      <c r="F687" s="2139" t="s">
        <v>6558</v>
      </c>
      <c r="G687" s="2805">
        <v>114</v>
      </c>
      <c r="H687" s="1513" t="s">
        <v>5233</v>
      </c>
      <c r="I687" s="1514" t="s">
        <v>5239</v>
      </c>
      <c r="J687" s="1515" t="s">
        <v>4306</v>
      </c>
      <c r="K687" s="1516">
        <v>43482</v>
      </c>
      <c r="L687" s="1514" t="s">
        <v>5240</v>
      </c>
      <c r="M687" s="1515" t="s">
        <v>5241</v>
      </c>
      <c r="N687" s="1514" t="s">
        <v>5243</v>
      </c>
      <c r="O687" s="1513" t="s">
        <v>6275</v>
      </c>
      <c r="P687" s="1517" t="s">
        <v>9644</v>
      </c>
      <c r="Q687" s="6094" t="s">
        <v>5234</v>
      </c>
      <c r="R687" s="1515" t="s">
        <v>1100</v>
      </c>
      <c r="S687" s="1518"/>
      <c r="T687" s="1519">
        <v>469</v>
      </c>
      <c r="U687" s="1504">
        <v>0</v>
      </c>
      <c r="V687" s="1520">
        <f>T687-U687</f>
        <v>469</v>
      </c>
      <c r="W687" s="1519">
        <v>586</v>
      </c>
      <c r="X687" s="1504">
        <v>0</v>
      </c>
      <c r="Y687" s="1520">
        <f>W687-X687</f>
        <v>586</v>
      </c>
      <c r="Z687" s="1519">
        <v>167</v>
      </c>
      <c r="AA687" s="1504">
        <v>0</v>
      </c>
      <c r="AB687" s="1520">
        <f>Z687-AA687</f>
        <v>167</v>
      </c>
      <c r="AC687" s="1519"/>
      <c r="AD687" s="1504"/>
      <c r="AE687" s="1520"/>
      <c r="AF687" s="1519"/>
      <c r="AG687" s="1504"/>
      <c r="AH687" s="1520"/>
      <c r="AI687" s="1503">
        <f>T687+W687+Z687+AC687+AF687</f>
        <v>1222</v>
      </c>
      <c r="AJ687" s="1504">
        <f>U687+X687+AA687+AD687+AG687</f>
        <v>0</v>
      </c>
      <c r="AK687" s="3919">
        <v>0</v>
      </c>
      <c r="AL687" s="1505">
        <f t="shared" si="191"/>
        <v>1222</v>
      </c>
      <c r="AM687" s="3586" t="s">
        <v>5540</v>
      </c>
      <c r="AN687" s="3587">
        <v>44610</v>
      </c>
      <c r="AO687" s="3588" t="s">
        <v>9648</v>
      </c>
      <c r="AP687" s="3251" t="s">
        <v>9646</v>
      </c>
      <c r="AQ687" s="3248">
        <v>116.3</v>
      </c>
      <c r="AR687" s="1506">
        <v>0</v>
      </c>
      <c r="AS687" s="1507">
        <v>0</v>
      </c>
      <c r="AT687" s="1507">
        <v>0</v>
      </c>
      <c r="AU687" s="1507">
        <v>0</v>
      </c>
      <c r="AV687" s="1507">
        <v>0</v>
      </c>
      <c r="AW687" s="4917">
        <v>1766</v>
      </c>
      <c r="AX687" s="3146"/>
      <c r="BA687" s="267"/>
      <c r="BB687" s="267"/>
      <c r="BC687" s="4117">
        <f t="shared" si="190"/>
        <v>0</v>
      </c>
      <c r="BD687" s="4117">
        <f t="shared" si="188"/>
        <v>0</v>
      </c>
      <c r="BE687" s="5071"/>
      <c r="BF687" s="4788"/>
      <c r="BG687" s="267"/>
      <c r="BH687" s="267"/>
      <c r="BI687" s="5071"/>
    </row>
    <row r="688" spans="1:61" ht="102.75" thickBot="1">
      <c r="A688" s="6074" t="s">
        <v>11004</v>
      </c>
      <c r="B688" s="5541" t="s">
        <v>11245</v>
      </c>
      <c r="C688" s="5542">
        <v>0</v>
      </c>
      <c r="D688" s="5543" t="s">
        <v>11205</v>
      </c>
      <c r="E688" s="5544" t="s">
        <v>6386</v>
      </c>
      <c r="F688" s="5545" t="s">
        <v>11244</v>
      </c>
      <c r="G688" s="6091">
        <v>1.047839</v>
      </c>
      <c r="H688" s="5546" t="s">
        <v>7038</v>
      </c>
      <c r="I688" s="5547" t="s">
        <v>6039</v>
      </c>
      <c r="J688" s="5548" t="s">
        <v>4306</v>
      </c>
      <c r="K688" s="5549">
        <v>44161</v>
      </c>
      <c r="L688" s="5547" t="s">
        <v>6040</v>
      </c>
      <c r="M688" s="5548" t="s">
        <v>6041</v>
      </c>
      <c r="N688" s="5547" t="s">
        <v>6042</v>
      </c>
      <c r="O688" s="5546" t="s">
        <v>6257</v>
      </c>
      <c r="P688" s="5550" t="s">
        <v>9645</v>
      </c>
      <c r="Q688" s="6114" t="s">
        <v>5708</v>
      </c>
      <c r="R688" s="5548" t="s">
        <v>5350</v>
      </c>
      <c r="S688" s="5551"/>
      <c r="T688" s="5552">
        <v>2444</v>
      </c>
      <c r="U688" s="5553">
        <v>0</v>
      </c>
      <c r="V688" s="5554">
        <f>T688-U688</f>
        <v>2444</v>
      </c>
      <c r="W688" s="5552">
        <v>3056</v>
      </c>
      <c r="X688" s="5553">
        <v>0</v>
      </c>
      <c r="Y688" s="5554">
        <f>W688-X688</f>
        <v>3056</v>
      </c>
      <c r="Z688" s="5552">
        <v>611</v>
      </c>
      <c r="AA688" s="5553">
        <v>0</v>
      </c>
      <c r="AB688" s="5554">
        <f>Z688-AA688</f>
        <v>611</v>
      </c>
      <c r="AC688" s="5552"/>
      <c r="AD688" s="5553"/>
      <c r="AE688" s="5554"/>
      <c r="AF688" s="5552"/>
      <c r="AG688" s="5553"/>
      <c r="AH688" s="5554"/>
      <c r="AI688" s="5555">
        <v>3280</v>
      </c>
      <c r="AJ688" s="5553">
        <f>U688+X688+AA688+AD688+AG688</f>
        <v>0</v>
      </c>
      <c r="AK688" s="5556">
        <v>0</v>
      </c>
      <c r="AL688" s="5557">
        <f t="shared" si="191"/>
        <v>3280</v>
      </c>
      <c r="AM688" s="5558" t="s">
        <v>5540</v>
      </c>
      <c r="AN688" s="5559">
        <v>44610</v>
      </c>
      <c r="AO688" s="5560" t="s">
        <v>9649</v>
      </c>
      <c r="AP688" s="5561" t="s">
        <v>9643</v>
      </c>
      <c r="AQ688" s="5562">
        <v>1.047839</v>
      </c>
      <c r="AR688" s="5563">
        <v>0</v>
      </c>
      <c r="AS688" s="5564">
        <v>0</v>
      </c>
      <c r="AT688" s="5564">
        <v>0</v>
      </c>
      <c r="AU688" s="5564">
        <v>0</v>
      </c>
      <c r="AV688" s="5564">
        <v>0</v>
      </c>
      <c r="AW688" s="5654">
        <v>677</v>
      </c>
      <c r="AX688" s="5565"/>
      <c r="AY688" s="4029" t="s">
        <v>9618</v>
      </c>
      <c r="AZ688" s="3888">
        <f>SUM(AW679:AW688)</f>
        <v>100569</v>
      </c>
      <c r="BA688" s="4028">
        <f>AZ688</f>
        <v>100569</v>
      </c>
      <c r="BB688" s="267"/>
      <c r="BC688" s="4117">
        <f t="shared" si="190"/>
        <v>0</v>
      </c>
      <c r="BD688" s="4117">
        <f t="shared" si="188"/>
        <v>0</v>
      </c>
      <c r="BE688" s="5071"/>
    </row>
    <row r="689" spans="1:57" ht="89.25">
      <c r="A689" s="2418" t="s">
        <v>11003</v>
      </c>
      <c r="B689" s="338" t="s">
        <v>9247</v>
      </c>
      <c r="C689" s="321">
        <v>0</v>
      </c>
      <c r="D689" s="323">
        <v>44628</v>
      </c>
      <c r="E689" s="3058" t="s">
        <v>9156</v>
      </c>
      <c r="F689" s="830" t="s">
        <v>9005</v>
      </c>
      <c r="G689" s="5356">
        <v>1.0956269999999999</v>
      </c>
      <c r="H689" s="2273" t="s">
        <v>9695</v>
      </c>
      <c r="I689" s="339" t="s">
        <v>9694</v>
      </c>
      <c r="J689" s="2399" t="s">
        <v>4306</v>
      </c>
      <c r="K689" s="340">
        <v>44983</v>
      </c>
      <c r="L689" s="339" t="s">
        <v>9696</v>
      </c>
      <c r="M689" s="322" t="s">
        <v>9697</v>
      </c>
      <c r="N689" s="339" t="s">
        <v>9691</v>
      </c>
      <c r="O689" s="332" t="s">
        <v>9698</v>
      </c>
      <c r="P689" s="345" t="s">
        <v>9699</v>
      </c>
      <c r="Q689" s="6094" t="s">
        <v>9692</v>
      </c>
      <c r="R689" s="322" t="s">
        <v>9693</v>
      </c>
      <c r="S689" s="346"/>
      <c r="T689" s="347"/>
      <c r="U689" s="326"/>
      <c r="V689" s="348"/>
      <c r="W689" s="347"/>
      <c r="X689" s="326"/>
      <c r="Y689" s="348"/>
      <c r="Z689" s="347"/>
      <c r="AA689" s="326"/>
      <c r="AB689" s="348"/>
      <c r="AC689" s="820"/>
      <c r="AD689" s="821"/>
      <c r="AE689" s="822"/>
      <c r="AF689" s="820"/>
      <c r="AG689" s="821"/>
      <c r="AH689" s="822"/>
      <c r="AI689" s="482">
        <v>1137</v>
      </c>
      <c r="AJ689" s="326">
        <v>0</v>
      </c>
      <c r="AK689" s="3917">
        <v>0</v>
      </c>
      <c r="AL689" s="349">
        <f t="shared" si="191"/>
        <v>1137</v>
      </c>
      <c r="AM689" s="2002" t="s">
        <v>1061</v>
      </c>
      <c r="AN689" s="3357">
        <v>44235</v>
      </c>
      <c r="AO689" s="695" t="s">
        <v>9700</v>
      </c>
      <c r="AP689" s="3362" t="s">
        <v>9004</v>
      </c>
      <c r="AQ689" s="3555">
        <v>1.0956269999999999</v>
      </c>
      <c r="AR689" s="333"/>
      <c r="AS689" s="330"/>
      <c r="AT689" s="330"/>
      <c r="AU689" s="849"/>
      <c r="AV689" s="849"/>
      <c r="AW689" s="3156">
        <f>ROUND(AL689*AQ689/G689,0)</f>
        <v>1137</v>
      </c>
      <c r="AX689" s="3140"/>
      <c r="BA689" s="267"/>
      <c r="BB689" s="267"/>
      <c r="BC689" s="4117">
        <f t="shared" si="190"/>
        <v>0</v>
      </c>
      <c r="BD689" s="4117">
        <f t="shared" si="188"/>
        <v>0</v>
      </c>
      <c r="BE689" s="5071"/>
    </row>
    <row r="690" spans="1:57" ht="76.5">
      <c r="A690" s="2418" t="s">
        <v>11003</v>
      </c>
      <c r="B690" s="338" t="s">
        <v>9248</v>
      </c>
      <c r="C690" s="321">
        <v>0</v>
      </c>
      <c r="D690" s="323">
        <v>44631</v>
      </c>
      <c r="E690" s="3058" t="s">
        <v>9156</v>
      </c>
      <c r="F690" s="830" t="s">
        <v>9005</v>
      </c>
      <c r="G690" s="5356">
        <v>1.0956269999999999</v>
      </c>
      <c r="H690" s="332" t="s">
        <v>9701</v>
      </c>
      <c r="I690" s="339" t="s">
        <v>5753</v>
      </c>
      <c r="J690" s="322" t="s">
        <v>2712</v>
      </c>
      <c r="K690" s="340">
        <v>46090</v>
      </c>
      <c r="L690" s="339" t="s">
        <v>9702</v>
      </c>
      <c r="M690" s="322" t="s">
        <v>2323</v>
      </c>
      <c r="N690" s="339" t="s">
        <v>9704</v>
      </c>
      <c r="O690" s="332" t="s">
        <v>9703</v>
      </c>
      <c r="P690" s="345"/>
      <c r="Q690" s="322" t="s">
        <v>8325</v>
      </c>
      <c r="R690" s="322" t="s">
        <v>8326</v>
      </c>
      <c r="S690" s="346"/>
      <c r="T690" s="347"/>
      <c r="U690" s="326"/>
      <c r="V690" s="348"/>
      <c r="W690" s="347"/>
      <c r="X690" s="326"/>
      <c r="Y690" s="348"/>
      <c r="Z690" s="347"/>
      <c r="AA690" s="326"/>
      <c r="AB690" s="348"/>
      <c r="AC690" s="820"/>
      <c r="AD690" s="821"/>
      <c r="AE690" s="822"/>
      <c r="AF690" s="820"/>
      <c r="AG690" s="821"/>
      <c r="AH690" s="822"/>
      <c r="AI690" s="482">
        <v>15681</v>
      </c>
      <c r="AJ690" s="326">
        <v>0</v>
      </c>
      <c r="AK690" s="3917">
        <v>0</v>
      </c>
      <c r="AL690" s="349">
        <f t="shared" si="191"/>
        <v>15681</v>
      </c>
      <c r="AM690" s="2002" t="s">
        <v>1061</v>
      </c>
      <c r="AN690" s="3357">
        <v>44634</v>
      </c>
      <c r="AO690" s="695" t="s">
        <v>9714</v>
      </c>
      <c r="AP690" s="3362" t="s">
        <v>9004</v>
      </c>
      <c r="AQ690" s="3555">
        <v>1.0956269999999999</v>
      </c>
      <c r="AR690" s="333"/>
      <c r="AS690" s="330"/>
      <c r="AT690" s="330"/>
      <c r="AU690" s="849"/>
      <c r="AV690" s="849"/>
      <c r="AW690" s="3156">
        <f>ROUND(AL690*AQ690/G690,0)</f>
        <v>15681</v>
      </c>
      <c r="AX690" s="3140"/>
      <c r="BA690" s="267"/>
      <c r="BB690" s="267"/>
      <c r="BC690" s="4117">
        <f t="shared" si="190"/>
        <v>0</v>
      </c>
      <c r="BD690" s="4117">
        <f t="shared" si="188"/>
        <v>0</v>
      </c>
      <c r="BE690" s="5071"/>
    </row>
    <row r="691" spans="1:57" ht="140.25">
      <c r="A691" s="2418" t="s">
        <v>11003</v>
      </c>
      <c r="B691" s="338" t="s">
        <v>9711</v>
      </c>
      <c r="C691" s="321">
        <v>0</v>
      </c>
      <c r="D691" s="323">
        <v>44124</v>
      </c>
      <c r="E691" s="3058" t="s">
        <v>8170</v>
      </c>
      <c r="F691" s="324" t="s">
        <v>7957</v>
      </c>
      <c r="G691" s="2621">
        <v>1.0795220000000001</v>
      </c>
      <c r="H691" s="332" t="s">
        <v>8180</v>
      </c>
      <c r="I691" s="339" t="s">
        <v>1433</v>
      </c>
      <c r="J691" s="322" t="s">
        <v>1434</v>
      </c>
      <c r="K691" s="340" t="s">
        <v>7886</v>
      </c>
      <c r="L691" s="339" t="s">
        <v>8181</v>
      </c>
      <c r="M691" s="322" t="s">
        <v>8182</v>
      </c>
      <c r="N691" s="339" t="s">
        <v>8184</v>
      </c>
      <c r="O691" s="332" t="s">
        <v>8183</v>
      </c>
      <c r="P691" s="345"/>
      <c r="Q691" s="322" t="s">
        <v>8185</v>
      </c>
      <c r="R691" s="322" t="s">
        <v>8105</v>
      </c>
      <c r="S691" s="346"/>
      <c r="T691" s="347"/>
      <c r="U691" s="326"/>
      <c r="V691" s="348"/>
      <c r="W691" s="347"/>
      <c r="X691" s="326"/>
      <c r="Y691" s="348"/>
      <c r="Z691" s="347"/>
      <c r="AA691" s="326"/>
      <c r="AB691" s="348"/>
      <c r="AC691" s="347"/>
      <c r="AD691" s="326"/>
      <c r="AE691" s="348"/>
      <c r="AF691" s="347"/>
      <c r="AG691" s="326"/>
      <c r="AH691" s="348"/>
      <c r="AI691" s="482">
        <v>8752</v>
      </c>
      <c r="AJ691" s="326">
        <v>0</v>
      </c>
      <c r="AK691" s="3917">
        <v>0</v>
      </c>
      <c r="AL691" s="349">
        <f t="shared" si="191"/>
        <v>8752</v>
      </c>
      <c r="AM691" s="2002" t="s">
        <v>1061</v>
      </c>
      <c r="AN691" s="3357">
        <v>44634</v>
      </c>
      <c r="AO691" s="695" t="s">
        <v>9715</v>
      </c>
      <c r="AP691" s="3362" t="s">
        <v>9004</v>
      </c>
      <c r="AQ691" s="3555">
        <v>1.0956269999999999</v>
      </c>
      <c r="AR691" s="333"/>
      <c r="AS691" s="330"/>
      <c r="AT691" s="330"/>
      <c r="AU691" s="330"/>
      <c r="AV691" s="330"/>
      <c r="AW691" s="3156">
        <f>ROUND(AL691*AQ691/G691,0)</f>
        <v>8883</v>
      </c>
      <c r="AX691" s="3140"/>
      <c r="BA691" s="267"/>
      <c r="BB691" s="267"/>
      <c r="BC691" s="4117">
        <f t="shared" si="190"/>
        <v>0</v>
      </c>
      <c r="BD691" s="4117">
        <f t="shared" si="188"/>
        <v>0</v>
      </c>
      <c r="BE691" s="5071"/>
    </row>
    <row r="692" spans="1:57" ht="102">
      <c r="A692" s="5964" t="s">
        <v>11253</v>
      </c>
      <c r="B692" s="338" t="s">
        <v>9721</v>
      </c>
      <c r="C692" s="695">
        <v>2</v>
      </c>
      <c r="D692" s="323" t="s">
        <v>8534</v>
      </c>
      <c r="E692" s="3051" t="s">
        <v>8533</v>
      </c>
      <c r="F692" s="324" t="s">
        <v>8532</v>
      </c>
      <c r="G692" s="3207">
        <v>1.0795220000000001</v>
      </c>
      <c r="H692" s="332" t="s">
        <v>8537</v>
      </c>
      <c r="I692" s="339" t="s">
        <v>8535</v>
      </c>
      <c r="J692" s="322" t="s">
        <v>1434</v>
      </c>
      <c r="K692" s="340" t="s">
        <v>8536</v>
      </c>
      <c r="L692" s="339" t="s">
        <v>5771</v>
      </c>
      <c r="M692" s="322" t="s">
        <v>5763</v>
      </c>
      <c r="N692" s="339" t="s">
        <v>5765</v>
      </c>
      <c r="O692" s="332" t="s">
        <v>5764</v>
      </c>
      <c r="P692" s="345" t="s">
        <v>5870</v>
      </c>
      <c r="Q692" s="322" t="s">
        <v>8538</v>
      </c>
      <c r="R692" s="322" t="s">
        <v>5869</v>
      </c>
      <c r="S692" s="346" t="s">
        <v>8539</v>
      </c>
      <c r="T692" s="347">
        <v>20102</v>
      </c>
      <c r="U692" s="326">
        <v>10299</v>
      </c>
      <c r="V692" s="348">
        <f>T692-U692</f>
        <v>9803</v>
      </c>
      <c r="W692" s="347">
        <v>3547</v>
      </c>
      <c r="X692" s="326">
        <v>1817</v>
      </c>
      <c r="Y692" s="348">
        <f>W692-X692</f>
        <v>1730</v>
      </c>
      <c r="Z692" s="347">
        <v>4648</v>
      </c>
      <c r="AA692" s="326">
        <v>1019</v>
      </c>
      <c r="AB692" s="348">
        <f>Z692-AA692</f>
        <v>3629</v>
      </c>
      <c r="AC692" s="347"/>
      <c r="AD692" s="326"/>
      <c r="AE692" s="348"/>
      <c r="AF692" s="347"/>
      <c r="AG692" s="326"/>
      <c r="AH692" s="348"/>
      <c r="AI692" s="482">
        <v>29624</v>
      </c>
      <c r="AJ692" s="326">
        <v>14718</v>
      </c>
      <c r="AK692" s="3917">
        <v>0</v>
      </c>
      <c r="AL692" s="349">
        <f t="shared" si="191"/>
        <v>14906</v>
      </c>
      <c r="AM692" s="2002" t="s">
        <v>1061</v>
      </c>
      <c r="AN692" s="3357">
        <v>44635</v>
      </c>
      <c r="AO692" s="695" t="s">
        <v>9722</v>
      </c>
      <c r="AP692" s="2722" t="s">
        <v>9004</v>
      </c>
      <c r="AQ692" s="2723">
        <v>1.0956269999999999</v>
      </c>
      <c r="AR692" s="333">
        <v>0</v>
      </c>
      <c r="AS692" s="330">
        <v>0</v>
      </c>
      <c r="AT692" s="330">
        <v>0</v>
      </c>
      <c r="AU692" s="330">
        <v>0</v>
      </c>
      <c r="AV692" s="330">
        <v>0</v>
      </c>
      <c r="AW692" s="3156">
        <f>ROUND(AL692*AQ692/G692,0)</f>
        <v>15128</v>
      </c>
      <c r="AX692" s="3140"/>
      <c r="BA692" s="267"/>
      <c r="BB692" s="267"/>
      <c r="BC692" s="4117">
        <f t="shared" si="190"/>
        <v>14938</v>
      </c>
      <c r="BD692" s="4117">
        <f t="shared" si="188"/>
        <v>0</v>
      </c>
      <c r="BE692" s="5071"/>
    </row>
    <row r="693" spans="1:57" ht="105.75" customHeight="1">
      <c r="A693" s="2418" t="s">
        <v>11004</v>
      </c>
      <c r="B693" s="338" t="s">
        <v>11246</v>
      </c>
      <c r="C693" s="321">
        <v>0</v>
      </c>
      <c r="D693" s="323" t="s">
        <v>11247</v>
      </c>
      <c r="E693" s="3051" t="s">
        <v>6386</v>
      </c>
      <c r="F693" s="324" t="s">
        <v>11248</v>
      </c>
      <c r="G693" s="2669">
        <v>1.0956269999999999</v>
      </c>
      <c r="H693" s="332" t="s">
        <v>6177</v>
      </c>
      <c r="I693" s="339" t="s">
        <v>1433</v>
      </c>
      <c r="J693" s="322" t="s">
        <v>1434</v>
      </c>
      <c r="K693" s="340">
        <v>45695</v>
      </c>
      <c r="L693" s="339" t="s">
        <v>6178</v>
      </c>
      <c r="M693" s="322" t="s">
        <v>6179</v>
      </c>
      <c r="N693" s="339" t="s">
        <v>6180</v>
      </c>
      <c r="O693" s="332" t="s">
        <v>6181</v>
      </c>
      <c r="P693" s="345" t="s">
        <v>9465</v>
      </c>
      <c r="Q693" s="322" t="s">
        <v>6182</v>
      </c>
      <c r="R693" s="322" t="s">
        <v>6183</v>
      </c>
      <c r="S693" s="346"/>
      <c r="T693" s="347">
        <v>14755</v>
      </c>
      <c r="U693" s="326">
        <v>0</v>
      </c>
      <c r="V693" s="348">
        <f>T693-U693</f>
        <v>14755</v>
      </c>
      <c r="W693" s="347">
        <v>18445</v>
      </c>
      <c r="X693" s="326">
        <v>0</v>
      </c>
      <c r="Y693" s="348">
        <f>W693-X693</f>
        <v>18445</v>
      </c>
      <c r="Z693" s="347">
        <v>0</v>
      </c>
      <c r="AA693" s="326">
        <v>0</v>
      </c>
      <c r="AB693" s="348">
        <f>Z693-AA693</f>
        <v>0</v>
      </c>
      <c r="AC693" s="347"/>
      <c r="AD693" s="326"/>
      <c r="AE693" s="348"/>
      <c r="AF693" s="347"/>
      <c r="AG693" s="326"/>
      <c r="AH693" s="348"/>
      <c r="AI693" s="482">
        <v>6886</v>
      </c>
      <c r="AJ693" s="326">
        <f>U693+X693+AA693+AD693+AG693</f>
        <v>0</v>
      </c>
      <c r="AK693" s="3917">
        <v>0</v>
      </c>
      <c r="AL693" s="349">
        <f t="shared" si="191"/>
        <v>6886</v>
      </c>
      <c r="AM693" s="2002" t="s">
        <v>1061</v>
      </c>
      <c r="AN693" s="3357">
        <v>44636</v>
      </c>
      <c r="AO693" s="695" t="s">
        <v>9729</v>
      </c>
      <c r="AP693" s="3222" t="s">
        <v>9004</v>
      </c>
      <c r="AQ693" s="3223">
        <v>1.0956269999999999</v>
      </c>
      <c r="AR693" s="333">
        <v>0</v>
      </c>
      <c r="AS693" s="330">
        <v>0</v>
      </c>
      <c r="AT693" s="330">
        <v>0</v>
      </c>
      <c r="AU693" s="330">
        <v>0</v>
      </c>
      <c r="AV693" s="330">
        <v>0</v>
      </c>
      <c r="AW693" s="3156">
        <f>ROUND(AL693*AQ693/G693,0)</f>
        <v>6886</v>
      </c>
      <c r="AX693" s="3140"/>
      <c r="BB693" s="267"/>
      <c r="BC693" s="4117">
        <f t="shared" si="190"/>
        <v>0</v>
      </c>
      <c r="BD693" s="4117">
        <f t="shared" si="188"/>
        <v>0</v>
      </c>
      <c r="BE693" s="5071"/>
    </row>
    <row r="694" spans="1:57" ht="86.25">
      <c r="A694" s="2418" t="s">
        <v>11003</v>
      </c>
      <c r="B694" s="338" t="s">
        <v>11249</v>
      </c>
      <c r="C694" s="321">
        <v>0</v>
      </c>
      <c r="D694" s="323">
        <v>44078</v>
      </c>
      <c r="E694" s="3058" t="s">
        <v>7972</v>
      </c>
      <c r="F694" s="324" t="s">
        <v>7957</v>
      </c>
      <c r="G694" s="2621">
        <v>1.0795220000000001</v>
      </c>
      <c r="H694" s="332" t="s">
        <v>8037</v>
      </c>
      <c r="I694" s="339" t="s">
        <v>1433</v>
      </c>
      <c r="J694" s="322" t="s">
        <v>1434</v>
      </c>
      <c r="K694" s="340">
        <v>46233</v>
      </c>
      <c r="L694" s="339" t="s">
        <v>8031</v>
      </c>
      <c r="M694" s="322" t="s">
        <v>8032</v>
      </c>
      <c r="N694" s="339" t="s">
        <v>8034</v>
      </c>
      <c r="O694" s="332" t="s">
        <v>8035</v>
      </c>
      <c r="P694" s="667" t="s">
        <v>9082</v>
      </c>
      <c r="Q694" s="6094" t="s">
        <v>5708</v>
      </c>
      <c r="R694" s="322" t="s">
        <v>5350</v>
      </c>
      <c r="S694" s="346"/>
      <c r="T694" s="347"/>
      <c r="U694" s="326"/>
      <c r="V694" s="348"/>
      <c r="W694" s="347"/>
      <c r="X694" s="326"/>
      <c r="Y694" s="348"/>
      <c r="Z694" s="347"/>
      <c r="AA694" s="326"/>
      <c r="AB694" s="348"/>
      <c r="AC694" s="347"/>
      <c r="AD694" s="326"/>
      <c r="AE694" s="348"/>
      <c r="AF694" s="347"/>
      <c r="AG694" s="326"/>
      <c r="AH694" s="348"/>
      <c r="AI694" s="482">
        <v>0</v>
      </c>
      <c r="AJ694" s="326">
        <v>0</v>
      </c>
      <c r="AK694" s="3917">
        <v>0</v>
      </c>
      <c r="AL694" s="349">
        <f t="shared" si="191"/>
        <v>0</v>
      </c>
      <c r="AM694" s="5358" t="s">
        <v>9747</v>
      </c>
      <c r="AN694" s="3357">
        <v>44638</v>
      </c>
      <c r="AO694" s="695" t="s">
        <v>9753</v>
      </c>
      <c r="AP694" s="3696" t="s">
        <v>9004</v>
      </c>
      <c r="AQ694" s="3697">
        <v>1.0956269999999999</v>
      </c>
      <c r="AR694" s="333"/>
      <c r="AS694" s="330"/>
      <c r="AT694" s="330"/>
      <c r="AU694" s="330"/>
      <c r="AV694" s="330"/>
      <c r="AW694" s="3156">
        <v>548</v>
      </c>
      <c r="AX694" s="3140"/>
      <c r="BB694" s="267"/>
      <c r="BC694" s="4117">
        <f t="shared" si="190"/>
        <v>0</v>
      </c>
      <c r="BD694" s="4117">
        <f t="shared" si="188"/>
        <v>0</v>
      </c>
      <c r="BE694" s="5071"/>
    </row>
    <row r="695" spans="1:57" ht="102">
      <c r="A695" s="2418" t="s">
        <v>11004</v>
      </c>
      <c r="B695" s="338" t="s">
        <v>11250</v>
      </c>
      <c r="C695" s="321">
        <v>0</v>
      </c>
      <c r="D695" s="323">
        <v>43425</v>
      </c>
      <c r="E695" s="3051" t="s">
        <v>6386</v>
      </c>
      <c r="F695" s="324" t="s">
        <v>9289</v>
      </c>
      <c r="G695" s="2669">
        <v>1.0956269999999999</v>
      </c>
      <c r="H695" s="332" t="s">
        <v>9153</v>
      </c>
      <c r="I695" s="339" t="s">
        <v>1433</v>
      </c>
      <c r="J695" s="322" t="s">
        <v>1434</v>
      </c>
      <c r="K695" s="340">
        <v>45617</v>
      </c>
      <c r="L695" s="339" t="s">
        <v>6034</v>
      </c>
      <c r="M695" s="322" t="s">
        <v>4394</v>
      </c>
      <c r="N695" s="339" t="s">
        <v>6035</v>
      </c>
      <c r="O695" s="332" t="s">
        <v>6259</v>
      </c>
      <c r="P695" s="345" t="s">
        <v>9293</v>
      </c>
      <c r="Q695" s="322" t="s">
        <v>9154</v>
      </c>
      <c r="R695" s="322" t="s">
        <v>9155</v>
      </c>
      <c r="S695" s="346"/>
      <c r="T695" s="347">
        <v>59816</v>
      </c>
      <c r="U695" s="326">
        <v>0</v>
      </c>
      <c r="V695" s="348">
        <f>T695-U695</f>
        <v>59816</v>
      </c>
      <c r="W695" s="347">
        <v>76560</v>
      </c>
      <c r="X695" s="326">
        <v>0</v>
      </c>
      <c r="Y695" s="348">
        <f>W695-X695</f>
        <v>76560</v>
      </c>
      <c r="Z695" s="347">
        <v>7683</v>
      </c>
      <c r="AA695" s="326">
        <v>0</v>
      </c>
      <c r="AB695" s="348">
        <f>Z695-AA695</f>
        <v>7683</v>
      </c>
      <c r="AC695" s="347"/>
      <c r="AD695" s="326"/>
      <c r="AE695" s="348"/>
      <c r="AF695" s="347"/>
      <c r="AG695" s="326"/>
      <c r="AH695" s="348"/>
      <c r="AI695" s="482">
        <v>0</v>
      </c>
      <c r="AJ695" s="326">
        <f>U695+X695+AA695+AD695+AG695</f>
        <v>0</v>
      </c>
      <c r="AK695" s="3917">
        <v>0</v>
      </c>
      <c r="AL695" s="349">
        <f t="shared" si="191"/>
        <v>0</v>
      </c>
      <c r="AM695" s="2002" t="s">
        <v>9770</v>
      </c>
      <c r="AN695" s="3357">
        <v>44648</v>
      </c>
      <c r="AO695" s="695" t="s">
        <v>9783</v>
      </c>
      <c r="AP695" s="3222" t="s">
        <v>9004</v>
      </c>
      <c r="AQ695" s="3223">
        <v>1.0956269999999999</v>
      </c>
      <c r="AR695" s="3805">
        <v>0</v>
      </c>
      <c r="AS695" s="3806">
        <v>0</v>
      </c>
      <c r="AT695" s="3806">
        <v>0</v>
      </c>
      <c r="AU695" s="3806">
        <v>0</v>
      </c>
      <c r="AV695" s="3806">
        <v>0</v>
      </c>
      <c r="AW695" s="3156">
        <v>40000</v>
      </c>
      <c r="AX695" s="3140"/>
      <c r="BA695" s="267"/>
      <c r="BB695" s="267"/>
      <c r="BC695" s="4117">
        <f t="shared" si="190"/>
        <v>0</v>
      </c>
      <c r="BD695" s="4117">
        <f t="shared" si="188"/>
        <v>0</v>
      </c>
      <c r="BE695" s="5071"/>
    </row>
    <row r="696" spans="1:57" ht="115.5" thickBot="1">
      <c r="A696" s="5991" t="s">
        <v>11004</v>
      </c>
      <c r="B696" s="5506" t="s">
        <v>11251</v>
      </c>
      <c r="C696" s="5507">
        <v>0</v>
      </c>
      <c r="D696" s="5508">
        <v>43669</v>
      </c>
      <c r="E696" s="3792" t="s">
        <v>6386</v>
      </c>
      <c r="F696" s="3793" t="s">
        <v>5757</v>
      </c>
      <c r="G696" s="5002">
        <v>1.0247200000000001</v>
      </c>
      <c r="H696" s="5566" t="s">
        <v>6935</v>
      </c>
      <c r="I696" s="5513" t="s">
        <v>1433</v>
      </c>
      <c r="J696" s="5514" t="s">
        <v>1434</v>
      </c>
      <c r="K696" s="5567">
        <v>45856</v>
      </c>
      <c r="L696" s="5513" t="s">
        <v>5188</v>
      </c>
      <c r="M696" s="5514" t="s">
        <v>5763</v>
      </c>
      <c r="N696" s="5513" t="s">
        <v>6937</v>
      </c>
      <c r="O696" s="5566" t="s">
        <v>6936</v>
      </c>
      <c r="P696" s="5516" t="s">
        <v>9811</v>
      </c>
      <c r="Q696" s="5514" t="s">
        <v>9808</v>
      </c>
      <c r="R696" s="5514" t="s">
        <v>9675</v>
      </c>
      <c r="S696" s="5568"/>
      <c r="T696" s="5518"/>
      <c r="U696" s="5519"/>
      <c r="V696" s="5569"/>
      <c r="W696" s="5518"/>
      <c r="X696" s="5519"/>
      <c r="Y696" s="5569"/>
      <c r="Z696" s="5518"/>
      <c r="AA696" s="5519"/>
      <c r="AB696" s="5569"/>
      <c r="AC696" s="5521"/>
      <c r="AD696" s="5522"/>
      <c r="AE696" s="5570"/>
      <c r="AF696" s="5521"/>
      <c r="AG696" s="5522"/>
      <c r="AH696" s="5570"/>
      <c r="AI696" s="5524">
        <f>76198-58097</f>
        <v>18101</v>
      </c>
      <c r="AJ696" s="5519">
        <v>0</v>
      </c>
      <c r="AK696" s="5525">
        <v>0</v>
      </c>
      <c r="AL696" s="5571">
        <f t="shared" si="191"/>
        <v>18101</v>
      </c>
      <c r="AM696" s="5572" t="s">
        <v>9809</v>
      </c>
      <c r="AN696" s="5528">
        <v>44651</v>
      </c>
      <c r="AO696" s="5529" t="s">
        <v>9813</v>
      </c>
      <c r="AP696" s="3387" t="s">
        <v>9004</v>
      </c>
      <c r="AQ696" s="4753">
        <v>1.0956269999999999</v>
      </c>
      <c r="AR696" s="5532"/>
      <c r="AS696" s="5533"/>
      <c r="AT696" s="5533"/>
      <c r="AU696" s="5534"/>
      <c r="AV696" s="5534"/>
      <c r="AW696" s="5535">
        <f>ROUNDDOWN(AL696*AQ696/G696,0)</f>
        <v>19353</v>
      </c>
      <c r="AX696" s="5536"/>
      <c r="AY696" s="4031" t="s">
        <v>9730</v>
      </c>
      <c r="AZ696" s="3857">
        <f>SUM(AW689:AW696)</f>
        <v>107616</v>
      </c>
      <c r="BA696" s="4028">
        <f>AZ696</f>
        <v>107616</v>
      </c>
      <c r="BB696" s="267"/>
      <c r="BC696" s="4117">
        <f t="shared" si="190"/>
        <v>0</v>
      </c>
      <c r="BD696" s="4117">
        <f t="shared" si="188"/>
        <v>0</v>
      </c>
      <c r="BE696" s="267"/>
    </row>
    <row r="697" spans="1:57" ht="89.25">
      <c r="A697" s="6017" t="s">
        <v>11003</v>
      </c>
      <c r="B697" s="2298" t="s">
        <v>8795</v>
      </c>
      <c r="C697" s="2299">
        <v>0</v>
      </c>
      <c r="D697" s="2300">
        <v>44482</v>
      </c>
      <c r="E697" s="4812" t="s">
        <v>9156</v>
      </c>
      <c r="F697" s="2497" t="s">
        <v>9005</v>
      </c>
      <c r="G697" s="5387">
        <v>1.0956269999999999</v>
      </c>
      <c r="H697" s="2306" t="s">
        <v>9312</v>
      </c>
      <c r="I697" s="2303" t="s">
        <v>9311</v>
      </c>
      <c r="J697" s="2304" t="s">
        <v>4306</v>
      </c>
      <c r="K697" s="2305">
        <v>44840</v>
      </c>
      <c r="L697" s="2303" t="s">
        <v>9309</v>
      </c>
      <c r="M697" s="2304" t="s">
        <v>9310</v>
      </c>
      <c r="N697" s="2303" t="s">
        <v>9308</v>
      </c>
      <c r="O697" s="2306" t="s">
        <v>9307</v>
      </c>
      <c r="P697" s="2321"/>
      <c r="Q697" s="6096" t="s">
        <v>9047</v>
      </c>
      <c r="R697" s="2304" t="s">
        <v>129</v>
      </c>
      <c r="S697" s="2307"/>
      <c r="T697" s="2308"/>
      <c r="U697" s="2309"/>
      <c r="V697" s="2310"/>
      <c r="W697" s="2308"/>
      <c r="X697" s="2309"/>
      <c r="Y697" s="2310"/>
      <c r="Z697" s="2308"/>
      <c r="AA697" s="2309"/>
      <c r="AB697" s="2310"/>
      <c r="AC697" s="2308"/>
      <c r="AD697" s="2309"/>
      <c r="AE697" s="2310"/>
      <c r="AF697" s="2308"/>
      <c r="AG697" s="2309"/>
      <c r="AH697" s="2310"/>
      <c r="AI697" s="2311">
        <v>5567</v>
      </c>
      <c r="AJ697" s="2309">
        <v>0</v>
      </c>
      <c r="AK697" s="3914">
        <v>0</v>
      </c>
      <c r="AL697" s="2312">
        <f t="shared" si="191"/>
        <v>5567</v>
      </c>
      <c r="AM697" s="3491" t="s">
        <v>1061</v>
      </c>
      <c r="AN697" s="3492">
        <v>44658</v>
      </c>
      <c r="AO697" s="2492" t="s">
        <v>9824</v>
      </c>
      <c r="AP697" s="2905" t="s">
        <v>9004</v>
      </c>
      <c r="AQ697" s="2906">
        <v>1.0956269999999999</v>
      </c>
      <c r="AR697" s="2313"/>
      <c r="AS697" s="2314"/>
      <c r="AT697" s="2314"/>
      <c r="AU697" s="2314"/>
      <c r="AV697" s="2314"/>
      <c r="AW697" s="2883">
        <f>ROUND(AL697*AQ697/G697,0)</f>
        <v>5567</v>
      </c>
      <c r="AX697" s="2899"/>
      <c r="BA697" s="267"/>
      <c r="BB697" s="267"/>
      <c r="BC697" s="4117">
        <f t="shared" si="190"/>
        <v>0</v>
      </c>
      <c r="BD697" s="4117">
        <f t="shared" si="188"/>
        <v>0</v>
      </c>
      <c r="BE697" s="267"/>
    </row>
    <row r="698" spans="1:57" ht="63.75">
      <c r="A698" s="5981" t="s">
        <v>11004</v>
      </c>
      <c r="B698" s="1538" t="s">
        <v>11252</v>
      </c>
      <c r="C698" s="1509">
        <v>0</v>
      </c>
      <c r="D698" s="1510">
        <v>43767</v>
      </c>
      <c r="E698" s="2300" t="s">
        <v>7151</v>
      </c>
      <c r="F698" s="2497" t="s">
        <v>11223</v>
      </c>
      <c r="G698" s="2645">
        <v>1.0795220000000001</v>
      </c>
      <c r="H698" s="1513" t="s">
        <v>7277</v>
      </c>
      <c r="I698" s="1514" t="s">
        <v>1433</v>
      </c>
      <c r="J698" s="1515" t="s">
        <v>1434</v>
      </c>
      <c r="K698" s="3799" t="s">
        <v>7278</v>
      </c>
      <c r="L698" s="1514" t="s">
        <v>7279</v>
      </c>
      <c r="M698" s="1515" t="s">
        <v>3046</v>
      </c>
      <c r="N698" s="1514" t="s">
        <v>7280</v>
      </c>
      <c r="O698" s="1513" t="s">
        <v>7281</v>
      </c>
      <c r="P698" s="1517" t="s">
        <v>8485</v>
      </c>
      <c r="Q698" s="6094" t="s">
        <v>8816</v>
      </c>
      <c r="R698" s="1515" t="s">
        <v>7282</v>
      </c>
      <c r="S698" s="1518"/>
      <c r="T698" s="1519"/>
      <c r="U698" s="1504"/>
      <c r="V698" s="1520"/>
      <c r="W698" s="1519"/>
      <c r="X698" s="1504"/>
      <c r="Y698" s="1520"/>
      <c r="Z698" s="1519"/>
      <c r="AA698" s="1504"/>
      <c r="AB698" s="1520"/>
      <c r="AC698" s="1519"/>
      <c r="AD698" s="1504"/>
      <c r="AE698" s="1520"/>
      <c r="AF698" s="1519"/>
      <c r="AG698" s="1504"/>
      <c r="AH698" s="1520"/>
      <c r="AI698" s="1503">
        <v>8727</v>
      </c>
      <c r="AJ698" s="1504">
        <v>0</v>
      </c>
      <c r="AK698" s="3919">
        <v>0</v>
      </c>
      <c r="AL698" s="1505">
        <f t="shared" si="191"/>
        <v>8727</v>
      </c>
      <c r="AM698" s="1508" t="s">
        <v>9830</v>
      </c>
      <c r="AN698" s="3401">
        <v>44662</v>
      </c>
      <c r="AO698" s="3402" t="s">
        <v>9831</v>
      </c>
      <c r="AP698" s="3539" t="s">
        <v>7957</v>
      </c>
      <c r="AQ698" s="4189">
        <v>1.0795220000000001</v>
      </c>
      <c r="AR698" s="1506"/>
      <c r="AS698" s="1507"/>
      <c r="AT698" s="1507"/>
      <c r="AU698" s="1507"/>
      <c r="AV698" s="1507"/>
      <c r="AW698" s="3247">
        <f>ROUND(AL698*AQ698/G698,0)-20</f>
        <v>8707</v>
      </c>
      <c r="AX698" s="3146"/>
      <c r="BA698" s="267"/>
      <c r="BB698" s="267"/>
      <c r="BC698" s="4117">
        <f t="shared" si="190"/>
        <v>0</v>
      </c>
      <c r="BD698" s="4117">
        <f t="shared" si="188"/>
        <v>0</v>
      </c>
      <c r="BE698" s="267"/>
    </row>
    <row r="699" spans="1:57" ht="89.25">
      <c r="A699" s="5981" t="s">
        <v>11003</v>
      </c>
      <c r="B699" s="1538" t="s">
        <v>9858</v>
      </c>
      <c r="C699" s="1509">
        <v>0</v>
      </c>
      <c r="D699" s="1510">
        <v>44664</v>
      </c>
      <c r="E699" s="4344" t="s">
        <v>9156</v>
      </c>
      <c r="F699" s="2497" t="s">
        <v>9005</v>
      </c>
      <c r="G699" s="5387">
        <v>1.0956269999999999</v>
      </c>
      <c r="H699" s="1513" t="s">
        <v>9835</v>
      </c>
      <c r="I699" s="1514" t="s">
        <v>9836</v>
      </c>
      <c r="J699" s="4345" t="s">
        <v>4306</v>
      </c>
      <c r="K699" s="1516">
        <v>45395</v>
      </c>
      <c r="L699" s="1514" t="s">
        <v>9841</v>
      </c>
      <c r="M699" s="1515" t="s">
        <v>9842</v>
      </c>
      <c r="N699" s="1514" t="s">
        <v>9843</v>
      </c>
      <c r="O699" s="1513" t="s">
        <v>9844</v>
      </c>
      <c r="P699" s="1517"/>
      <c r="Q699" s="6094" t="s">
        <v>9047</v>
      </c>
      <c r="R699" s="1515" t="s">
        <v>945</v>
      </c>
      <c r="S699" s="1518"/>
      <c r="T699" s="1519"/>
      <c r="U699" s="1504"/>
      <c r="V699" s="1520"/>
      <c r="W699" s="1519"/>
      <c r="X699" s="1504"/>
      <c r="Y699" s="1520"/>
      <c r="Z699" s="1519"/>
      <c r="AA699" s="1504"/>
      <c r="AB699" s="1520"/>
      <c r="AC699" s="1519"/>
      <c r="AD699" s="1504"/>
      <c r="AE699" s="1520"/>
      <c r="AF699" s="1519"/>
      <c r="AG699" s="1504"/>
      <c r="AH699" s="1520"/>
      <c r="AI699" s="1503">
        <v>6534</v>
      </c>
      <c r="AJ699" s="1504">
        <v>0</v>
      </c>
      <c r="AK699" s="3919">
        <v>0</v>
      </c>
      <c r="AL699" s="1505">
        <f t="shared" si="191"/>
        <v>6534</v>
      </c>
      <c r="AM699" s="1508" t="s">
        <v>1061</v>
      </c>
      <c r="AN699" s="3401">
        <v>44671</v>
      </c>
      <c r="AO699" s="3402" t="s">
        <v>9860</v>
      </c>
      <c r="AP699" s="2905" t="s">
        <v>9004</v>
      </c>
      <c r="AQ699" s="2906">
        <v>1.0956269999999999</v>
      </c>
      <c r="AR699" s="1506"/>
      <c r="AS699" s="1507"/>
      <c r="AT699" s="1507"/>
      <c r="AU699" s="1507"/>
      <c r="AV699" s="1507"/>
      <c r="AW699" s="3247">
        <f>ROUND(AL699*AQ699/G699,0)</f>
        <v>6534</v>
      </c>
      <c r="AX699" s="3146"/>
      <c r="BA699" s="267"/>
      <c r="BB699" s="267"/>
      <c r="BC699" s="4117">
        <f t="shared" si="190"/>
        <v>0</v>
      </c>
      <c r="BD699" s="4117">
        <f t="shared" si="188"/>
        <v>0</v>
      </c>
      <c r="BE699" s="267"/>
    </row>
    <row r="700" spans="1:57" ht="90" thickBot="1">
      <c r="A700" s="6075" t="s">
        <v>11003</v>
      </c>
      <c r="B700" s="5573" t="s">
        <v>11242</v>
      </c>
      <c r="C700" s="5574">
        <v>0</v>
      </c>
      <c r="D700" s="5575">
        <v>44078</v>
      </c>
      <c r="E700" s="5576" t="s">
        <v>7972</v>
      </c>
      <c r="F700" s="5577" t="s">
        <v>7957</v>
      </c>
      <c r="G700" s="5578">
        <v>1.0795220000000001</v>
      </c>
      <c r="H700" s="5579" t="s">
        <v>8037</v>
      </c>
      <c r="I700" s="5580" t="s">
        <v>1433</v>
      </c>
      <c r="J700" s="5581" t="s">
        <v>1434</v>
      </c>
      <c r="K700" s="5582">
        <v>46233</v>
      </c>
      <c r="L700" s="5580" t="s">
        <v>8031</v>
      </c>
      <c r="M700" s="5581" t="s">
        <v>8032</v>
      </c>
      <c r="N700" s="5580" t="s">
        <v>8034</v>
      </c>
      <c r="O700" s="5579" t="s">
        <v>8035</v>
      </c>
      <c r="P700" s="5583" t="s">
        <v>9082</v>
      </c>
      <c r="Q700" s="6115" t="s">
        <v>5708</v>
      </c>
      <c r="R700" s="5581" t="s">
        <v>5350</v>
      </c>
      <c r="S700" s="5584"/>
      <c r="T700" s="5585"/>
      <c r="U700" s="5586"/>
      <c r="V700" s="5587"/>
      <c r="W700" s="5585"/>
      <c r="X700" s="5586"/>
      <c r="Y700" s="5587"/>
      <c r="Z700" s="5585"/>
      <c r="AA700" s="5586"/>
      <c r="AB700" s="5587"/>
      <c r="AC700" s="5585"/>
      <c r="AD700" s="5586"/>
      <c r="AE700" s="5587"/>
      <c r="AF700" s="5585"/>
      <c r="AG700" s="5586"/>
      <c r="AH700" s="5587"/>
      <c r="AI700" s="5588">
        <v>5485</v>
      </c>
      <c r="AJ700" s="5586">
        <v>0</v>
      </c>
      <c r="AK700" s="5589">
        <v>0</v>
      </c>
      <c r="AL700" s="5590">
        <f t="shared" si="191"/>
        <v>5485</v>
      </c>
      <c r="AM700" s="5591" t="s">
        <v>9873</v>
      </c>
      <c r="AN700" s="5592">
        <v>44675</v>
      </c>
      <c r="AO700" s="5593" t="s">
        <v>9874</v>
      </c>
      <c r="AP700" s="5594" t="s">
        <v>9004</v>
      </c>
      <c r="AQ700" s="5595">
        <v>1.0956269999999999</v>
      </c>
      <c r="AR700" s="5596"/>
      <c r="AS700" s="5597"/>
      <c r="AT700" s="5597"/>
      <c r="AU700" s="5597"/>
      <c r="AV700" s="5597"/>
      <c r="AW700" s="5598">
        <f>ROUND(AL700*AQ700/G700,0)+279-1462-548-548-548-548-548-548-548</f>
        <v>548</v>
      </c>
      <c r="AX700" s="5599"/>
      <c r="AY700" s="4029" t="s">
        <v>9825</v>
      </c>
      <c r="AZ700" s="3888">
        <f>SUM(AW697:AW700)</f>
        <v>21356</v>
      </c>
      <c r="BA700" s="4028">
        <f>AZ700</f>
        <v>21356</v>
      </c>
      <c r="BB700" s="267"/>
      <c r="BC700" s="4117">
        <f t="shared" si="190"/>
        <v>0</v>
      </c>
      <c r="BD700" s="4117">
        <f t="shared" si="188"/>
        <v>0</v>
      </c>
      <c r="BE700" s="267"/>
    </row>
    <row r="701" spans="1:57" ht="89.25">
      <c r="A701" s="2418" t="s">
        <v>11003</v>
      </c>
      <c r="B701" s="338" t="s">
        <v>9244</v>
      </c>
      <c r="C701" s="321">
        <v>0</v>
      </c>
      <c r="D701" s="323">
        <v>44601</v>
      </c>
      <c r="E701" s="3058" t="s">
        <v>9156</v>
      </c>
      <c r="F701" s="830" t="s">
        <v>9005</v>
      </c>
      <c r="G701" s="5356">
        <v>1.0956269999999999</v>
      </c>
      <c r="H701" s="332" t="s">
        <v>9628</v>
      </c>
      <c r="I701" s="339" t="s">
        <v>9629</v>
      </c>
      <c r="J701" s="2399" t="s">
        <v>4306</v>
      </c>
      <c r="K701" s="340">
        <v>45316</v>
      </c>
      <c r="L701" s="339" t="s">
        <v>9624</v>
      </c>
      <c r="M701" s="322" t="s">
        <v>9625</v>
      </c>
      <c r="N701" s="339" t="s">
        <v>9626</v>
      </c>
      <c r="O701" s="332" t="s">
        <v>9627</v>
      </c>
      <c r="P701" s="345"/>
      <c r="Q701" s="6094" t="s">
        <v>9047</v>
      </c>
      <c r="R701" s="322" t="s">
        <v>945</v>
      </c>
      <c r="S701" s="346"/>
      <c r="T701" s="347"/>
      <c r="U701" s="326"/>
      <c r="V701" s="348"/>
      <c r="W701" s="347"/>
      <c r="X701" s="326"/>
      <c r="Y701" s="348"/>
      <c r="Z701" s="347"/>
      <c r="AA701" s="326"/>
      <c r="AB701" s="348"/>
      <c r="AC701" s="820"/>
      <c r="AD701" s="821"/>
      <c r="AE701" s="822"/>
      <c r="AF701" s="820"/>
      <c r="AG701" s="821"/>
      <c r="AH701" s="822"/>
      <c r="AI701" s="482">
        <v>6534</v>
      </c>
      <c r="AJ701" s="326">
        <v>0</v>
      </c>
      <c r="AK701" s="3917">
        <v>0</v>
      </c>
      <c r="AL701" s="349">
        <f t="shared" si="191"/>
        <v>6534</v>
      </c>
      <c r="AM701" s="2002" t="s">
        <v>1061</v>
      </c>
      <c r="AN701" s="3357">
        <v>44684</v>
      </c>
      <c r="AO701" s="695" t="s">
        <v>9891</v>
      </c>
      <c r="AP701" s="3362" t="s">
        <v>9004</v>
      </c>
      <c r="AQ701" s="3555">
        <v>1.0956269999999999</v>
      </c>
      <c r="AR701" s="333"/>
      <c r="AS701" s="330"/>
      <c r="AT701" s="330"/>
      <c r="AU701" s="849"/>
      <c r="AV701" s="849"/>
      <c r="AW701" s="3156">
        <f t="shared" ref="AW701:AW707" si="194">ROUND(AL701*AQ701/G701,0)</f>
        <v>6534</v>
      </c>
      <c r="AX701" s="3140"/>
      <c r="BA701" s="267"/>
      <c r="BB701" s="267"/>
      <c r="BC701" s="4117">
        <f t="shared" ref="BC701:BC764" si="195">ROUND($AJ701*$AQ701/$G701,0)</f>
        <v>0</v>
      </c>
      <c r="BD701" s="4117">
        <f t="shared" ref="BD701:BD764" si="196">ROUND($AK701*$AQ701/$G701,0)</f>
        <v>0</v>
      </c>
      <c r="BE701" s="267"/>
    </row>
    <row r="702" spans="1:57" ht="63.75">
      <c r="A702" s="2418" t="s">
        <v>11003</v>
      </c>
      <c r="B702" s="338" t="s">
        <v>9705</v>
      </c>
      <c r="C702" s="321">
        <v>0</v>
      </c>
      <c r="D702" s="323">
        <v>44686</v>
      </c>
      <c r="E702" s="3058" t="s">
        <v>9156</v>
      </c>
      <c r="F702" s="830" t="s">
        <v>9005</v>
      </c>
      <c r="G702" s="5356">
        <v>1.0956269999999999</v>
      </c>
      <c r="H702" s="332" t="s">
        <v>9898</v>
      </c>
      <c r="I702" s="339" t="s">
        <v>1433</v>
      </c>
      <c r="J702" s="322" t="s">
        <v>1434</v>
      </c>
      <c r="K702" s="340">
        <v>46870</v>
      </c>
      <c r="L702" s="339" t="s">
        <v>9899</v>
      </c>
      <c r="M702" s="322" t="s">
        <v>9900</v>
      </c>
      <c r="N702" s="339" t="s">
        <v>9902</v>
      </c>
      <c r="O702" s="332" t="s">
        <v>9901</v>
      </c>
      <c r="P702" s="345"/>
      <c r="Q702" s="322" t="s">
        <v>9903</v>
      </c>
      <c r="R702" s="322" t="s">
        <v>9904</v>
      </c>
      <c r="S702" s="346"/>
      <c r="T702" s="347"/>
      <c r="U702" s="326"/>
      <c r="V702" s="348"/>
      <c r="W702" s="347"/>
      <c r="X702" s="326"/>
      <c r="Y702" s="348"/>
      <c r="Z702" s="347"/>
      <c r="AA702" s="326"/>
      <c r="AB702" s="348"/>
      <c r="AC702" s="820"/>
      <c r="AD702" s="821"/>
      <c r="AE702" s="822"/>
      <c r="AF702" s="820"/>
      <c r="AG702" s="821"/>
      <c r="AH702" s="822"/>
      <c r="AI702" s="482">
        <v>5882</v>
      </c>
      <c r="AJ702" s="326">
        <v>0</v>
      </c>
      <c r="AK702" s="3917">
        <v>0</v>
      </c>
      <c r="AL702" s="349">
        <f t="shared" si="191"/>
        <v>5882</v>
      </c>
      <c r="AM702" s="2002" t="s">
        <v>1061</v>
      </c>
      <c r="AN702" s="3357">
        <v>44687</v>
      </c>
      <c r="AO702" s="695" t="s">
        <v>9907</v>
      </c>
      <c r="AP702" s="3362" t="s">
        <v>9004</v>
      </c>
      <c r="AQ702" s="3555">
        <v>1.0956269999999999</v>
      </c>
      <c r="AR702" s="333"/>
      <c r="AS702" s="330"/>
      <c r="AT702" s="330"/>
      <c r="AU702" s="849"/>
      <c r="AV702" s="849"/>
      <c r="AW702" s="3156">
        <f t="shared" si="194"/>
        <v>5882</v>
      </c>
      <c r="AX702" s="3140"/>
      <c r="BA702" s="267"/>
      <c r="BB702" s="267"/>
      <c r="BC702" s="4117">
        <f t="shared" si="195"/>
        <v>0</v>
      </c>
      <c r="BD702" s="4117">
        <f t="shared" si="196"/>
        <v>0</v>
      </c>
      <c r="BE702" s="267"/>
    </row>
    <row r="703" spans="1:57" ht="89.25">
      <c r="A703" s="2418" t="s">
        <v>11003</v>
      </c>
      <c r="B703" s="338" t="s">
        <v>9922</v>
      </c>
      <c r="C703" s="321">
        <v>0</v>
      </c>
      <c r="D703" s="323">
        <v>44160</v>
      </c>
      <c r="E703" s="3058" t="s">
        <v>8170</v>
      </c>
      <c r="F703" s="324" t="s">
        <v>7957</v>
      </c>
      <c r="G703" s="2621">
        <v>1.0795220000000001</v>
      </c>
      <c r="H703" s="332" t="s">
        <v>8365</v>
      </c>
      <c r="I703" s="339" t="s">
        <v>8360</v>
      </c>
      <c r="J703" s="2399" t="s">
        <v>4306</v>
      </c>
      <c r="K703" s="340">
        <v>44890</v>
      </c>
      <c r="L703" s="339" t="s">
        <v>8361</v>
      </c>
      <c r="M703" s="322" t="s">
        <v>8362</v>
      </c>
      <c r="N703" s="339" t="s">
        <v>8363</v>
      </c>
      <c r="O703" s="332" t="s">
        <v>8364</v>
      </c>
      <c r="P703" s="345"/>
      <c r="Q703" s="6094" t="s">
        <v>5708</v>
      </c>
      <c r="R703" s="322" t="s">
        <v>5350</v>
      </c>
      <c r="S703" s="346"/>
      <c r="T703" s="347"/>
      <c r="U703" s="326"/>
      <c r="V703" s="348"/>
      <c r="W703" s="347"/>
      <c r="X703" s="326"/>
      <c r="Y703" s="348"/>
      <c r="Z703" s="347"/>
      <c r="AA703" s="326"/>
      <c r="AB703" s="348"/>
      <c r="AC703" s="347"/>
      <c r="AD703" s="326"/>
      <c r="AE703" s="348"/>
      <c r="AF703" s="347"/>
      <c r="AG703" s="326"/>
      <c r="AH703" s="348"/>
      <c r="AI703" s="482">
        <v>5484</v>
      </c>
      <c r="AJ703" s="326">
        <v>0</v>
      </c>
      <c r="AK703" s="3917">
        <v>0</v>
      </c>
      <c r="AL703" s="349">
        <f t="shared" si="191"/>
        <v>5484</v>
      </c>
      <c r="AM703" s="2002" t="s">
        <v>1061</v>
      </c>
      <c r="AN703" s="3357">
        <v>44693</v>
      </c>
      <c r="AO703" s="695" t="s">
        <v>9914</v>
      </c>
      <c r="AP703" s="3362" t="s">
        <v>9004</v>
      </c>
      <c r="AQ703" s="3555">
        <v>1.0956269999999999</v>
      </c>
      <c r="AR703" s="333"/>
      <c r="AS703" s="330"/>
      <c r="AT703" s="330"/>
      <c r="AU703" s="330"/>
      <c r="AV703" s="330"/>
      <c r="AW703" s="3156">
        <f t="shared" si="194"/>
        <v>5566</v>
      </c>
      <c r="AX703" s="3140"/>
      <c r="BB703" s="267"/>
      <c r="BC703" s="4117">
        <f t="shared" si="195"/>
        <v>0</v>
      </c>
      <c r="BD703" s="4117">
        <f t="shared" si="196"/>
        <v>0</v>
      </c>
      <c r="BE703" s="267"/>
    </row>
    <row r="704" spans="1:57" ht="102">
      <c r="A704" s="2418" t="s">
        <v>11003</v>
      </c>
      <c r="B704" s="338" t="s">
        <v>9252</v>
      </c>
      <c r="C704" s="321">
        <v>0</v>
      </c>
      <c r="D704" s="323">
        <v>44644</v>
      </c>
      <c r="E704" s="3058" t="s">
        <v>9156</v>
      </c>
      <c r="F704" s="830" t="s">
        <v>9005</v>
      </c>
      <c r="G704" s="5356">
        <v>1.0956269999999999</v>
      </c>
      <c r="H704" s="332" t="s">
        <v>9767</v>
      </c>
      <c r="I704" s="339" t="s">
        <v>9792</v>
      </c>
      <c r="J704" s="2399" t="s">
        <v>4306</v>
      </c>
      <c r="K704" s="340">
        <v>45375</v>
      </c>
      <c r="L704" s="339" t="s">
        <v>8739</v>
      </c>
      <c r="M704" s="322" t="s">
        <v>8740</v>
      </c>
      <c r="N704" s="339" t="s">
        <v>9768</v>
      </c>
      <c r="O704" s="332" t="s">
        <v>9769</v>
      </c>
      <c r="P704" s="345"/>
      <c r="Q704" s="6094" t="s">
        <v>9047</v>
      </c>
      <c r="R704" s="322" t="s">
        <v>945</v>
      </c>
      <c r="S704" s="346"/>
      <c r="T704" s="347"/>
      <c r="U704" s="326"/>
      <c r="V704" s="348"/>
      <c r="W704" s="347"/>
      <c r="X704" s="326"/>
      <c r="Y704" s="348"/>
      <c r="Z704" s="347"/>
      <c r="AA704" s="326"/>
      <c r="AB704" s="348"/>
      <c r="AC704" s="820"/>
      <c r="AD704" s="821"/>
      <c r="AE704" s="822"/>
      <c r="AF704" s="820"/>
      <c r="AG704" s="821"/>
      <c r="AH704" s="822"/>
      <c r="AI704" s="482">
        <v>5567</v>
      </c>
      <c r="AJ704" s="326">
        <v>0</v>
      </c>
      <c r="AK704" s="3917">
        <v>0</v>
      </c>
      <c r="AL704" s="349">
        <f t="shared" si="191"/>
        <v>5567</v>
      </c>
      <c r="AM704" s="2002" t="s">
        <v>1061</v>
      </c>
      <c r="AN704" s="3357">
        <v>44697</v>
      </c>
      <c r="AO704" s="695" t="s">
        <v>9928</v>
      </c>
      <c r="AP704" s="3362" t="s">
        <v>9004</v>
      </c>
      <c r="AQ704" s="3555">
        <v>1.0956269999999999</v>
      </c>
      <c r="AR704" s="333"/>
      <c r="AS704" s="330"/>
      <c r="AT704" s="330"/>
      <c r="AU704" s="849"/>
      <c r="AV704" s="849"/>
      <c r="AW704" s="3156">
        <f t="shared" si="194"/>
        <v>5567</v>
      </c>
      <c r="AX704" s="3140"/>
      <c r="BB704" s="267"/>
      <c r="BC704" s="4117">
        <f t="shared" si="195"/>
        <v>0</v>
      </c>
      <c r="BD704" s="4117">
        <f t="shared" si="196"/>
        <v>0</v>
      </c>
      <c r="BE704" s="267"/>
    </row>
    <row r="705" spans="1:57" ht="102">
      <c r="A705" s="2418" t="s">
        <v>11003</v>
      </c>
      <c r="B705" s="338" t="s">
        <v>11134</v>
      </c>
      <c r="C705" s="321">
        <v>0</v>
      </c>
      <c r="D705" s="323">
        <v>43941</v>
      </c>
      <c r="E705" s="3058" t="s">
        <v>7151</v>
      </c>
      <c r="F705" s="324" t="s">
        <v>7957</v>
      </c>
      <c r="G705" s="2621">
        <v>1.0795220000000001</v>
      </c>
      <c r="H705" s="332" t="s">
        <v>7981</v>
      </c>
      <c r="I705" s="339" t="s">
        <v>7806</v>
      </c>
      <c r="J705" s="2399" t="s">
        <v>4306</v>
      </c>
      <c r="K705" s="340">
        <v>44671</v>
      </c>
      <c r="L705" s="339" t="s">
        <v>7807</v>
      </c>
      <c r="M705" s="322" t="s">
        <v>7808</v>
      </c>
      <c r="N705" s="339" t="s">
        <v>7809</v>
      </c>
      <c r="O705" s="322" t="s">
        <v>7808</v>
      </c>
      <c r="P705" s="5171" t="s">
        <v>8017</v>
      </c>
      <c r="Q705" s="6094" t="s">
        <v>5708</v>
      </c>
      <c r="R705" s="322" t="s">
        <v>5350</v>
      </c>
      <c r="S705" s="346"/>
      <c r="T705" s="347"/>
      <c r="U705" s="326"/>
      <c r="V705" s="348"/>
      <c r="W705" s="347"/>
      <c r="X705" s="326"/>
      <c r="Y705" s="348"/>
      <c r="Z705" s="347"/>
      <c r="AA705" s="326"/>
      <c r="AB705" s="348"/>
      <c r="AC705" s="347"/>
      <c r="AD705" s="326"/>
      <c r="AE705" s="348"/>
      <c r="AF705" s="347"/>
      <c r="AG705" s="326"/>
      <c r="AH705" s="348"/>
      <c r="AI705" s="482">
        <v>3218</v>
      </c>
      <c r="AJ705" s="326">
        <v>0</v>
      </c>
      <c r="AK705" s="3917">
        <v>0</v>
      </c>
      <c r="AL705" s="349">
        <f t="shared" si="191"/>
        <v>3218</v>
      </c>
      <c r="AM705" s="2002" t="s">
        <v>1061</v>
      </c>
      <c r="AN705" s="3357" t="s">
        <v>9950</v>
      </c>
      <c r="AO705" s="695" t="s">
        <v>9951</v>
      </c>
      <c r="AP705" s="3696" t="s">
        <v>7957</v>
      </c>
      <c r="AQ705" s="3697">
        <v>1.0795220000000001</v>
      </c>
      <c r="AR705" s="333"/>
      <c r="AS705" s="330"/>
      <c r="AT705" s="330"/>
      <c r="AU705" s="330"/>
      <c r="AV705" s="330"/>
      <c r="AW705" s="3156">
        <f t="shared" si="194"/>
        <v>3218</v>
      </c>
      <c r="AX705" s="3140"/>
      <c r="BA705" s="267"/>
      <c r="BB705" s="267"/>
      <c r="BC705" s="4117">
        <f t="shared" si="195"/>
        <v>0</v>
      </c>
      <c r="BD705" s="4117">
        <f t="shared" si="196"/>
        <v>0</v>
      </c>
      <c r="BE705" s="267"/>
    </row>
    <row r="706" spans="1:57" ht="114.75">
      <c r="A706" s="2418" t="s">
        <v>11003</v>
      </c>
      <c r="B706" s="338" t="s">
        <v>9941</v>
      </c>
      <c r="C706" s="321">
        <v>0</v>
      </c>
      <c r="D706" s="323">
        <v>44637</v>
      </c>
      <c r="E706" s="3058" t="s">
        <v>9156</v>
      </c>
      <c r="F706" s="830" t="s">
        <v>9005</v>
      </c>
      <c r="G706" s="5356">
        <v>1.0956269999999999</v>
      </c>
      <c r="H706" s="332" t="s">
        <v>9736</v>
      </c>
      <c r="I706" s="339" t="s">
        <v>9731</v>
      </c>
      <c r="J706" s="2399" t="s">
        <v>4306</v>
      </c>
      <c r="K706" s="340">
        <v>45360</v>
      </c>
      <c r="L706" s="339" t="s">
        <v>9732</v>
      </c>
      <c r="M706" s="322" t="s">
        <v>9733</v>
      </c>
      <c r="N706" s="339" t="s">
        <v>9735</v>
      </c>
      <c r="O706" s="332" t="s">
        <v>9734</v>
      </c>
      <c r="P706" s="345" t="s">
        <v>9859</v>
      </c>
      <c r="Q706" s="322" t="s">
        <v>9737</v>
      </c>
      <c r="R706" s="322" t="s">
        <v>129</v>
      </c>
      <c r="S706" s="346"/>
      <c r="T706" s="347"/>
      <c r="U706" s="326"/>
      <c r="V706" s="348"/>
      <c r="W706" s="347"/>
      <c r="X706" s="326"/>
      <c r="Y706" s="348"/>
      <c r="Z706" s="347"/>
      <c r="AA706" s="326"/>
      <c r="AB706" s="348"/>
      <c r="AC706" s="347"/>
      <c r="AD706" s="326"/>
      <c r="AE706" s="348"/>
      <c r="AF706" s="347"/>
      <c r="AG706" s="326"/>
      <c r="AH706" s="348"/>
      <c r="AI706" s="482">
        <f>(ROUNDUP(26345*1.05,0))-20747</f>
        <v>6916</v>
      </c>
      <c r="AJ706" s="326">
        <v>0</v>
      </c>
      <c r="AK706" s="3917">
        <v>0</v>
      </c>
      <c r="AL706" s="349">
        <f t="shared" si="191"/>
        <v>6916</v>
      </c>
      <c r="AM706" s="2002" t="s">
        <v>9099</v>
      </c>
      <c r="AN706" s="3357" t="s">
        <v>9950</v>
      </c>
      <c r="AO706" s="695" t="s">
        <v>9952</v>
      </c>
      <c r="AP706" s="3696" t="s">
        <v>9004</v>
      </c>
      <c r="AQ706" s="3697">
        <v>1.0956269999999999</v>
      </c>
      <c r="AR706" s="333"/>
      <c r="AS706" s="330"/>
      <c r="AT706" s="330"/>
      <c r="AU706" s="330"/>
      <c r="AV706" s="330"/>
      <c r="AW706" s="3156">
        <f t="shared" si="194"/>
        <v>6916</v>
      </c>
      <c r="AX706" s="3140"/>
      <c r="BA706" s="267"/>
      <c r="BB706" s="267"/>
      <c r="BC706" s="4117">
        <f t="shared" si="195"/>
        <v>0</v>
      </c>
      <c r="BD706" s="4117">
        <f t="shared" si="196"/>
        <v>0</v>
      </c>
      <c r="BE706" s="267"/>
    </row>
    <row r="707" spans="1:57" ht="102">
      <c r="A707" s="5966" t="s">
        <v>11004</v>
      </c>
      <c r="B707" s="338" t="s">
        <v>11133</v>
      </c>
      <c r="C707" s="321">
        <v>0</v>
      </c>
      <c r="D707" s="323">
        <v>43668</v>
      </c>
      <c r="E707" s="3701" t="s">
        <v>6386</v>
      </c>
      <c r="F707" s="830" t="s">
        <v>6893</v>
      </c>
      <c r="G707" s="2620">
        <v>1.047839</v>
      </c>
      <c r="H707" s="332" t="s">
        <v>6909</v>
      </c>
      <c r="I707" s="339" t="s">
        <v>6911</v>
      </c>
      <c r="J707" s="322" t="s">
        <v>4306</v>
      </c>
      <c r="K707" s="340">
        <v>44399</v>
      </c>
      <c r="L707" s="339" t="s">
        <v>6913</v>
      </c>
      <c r="M707" s="322" t="s">
        <v>6914</v>
      </c>
      <c r="N707" s="339" t="s">
        <v>6915</v>
      </c>
      <c r="O707" s="332" t="s">
        <v>6916</v>
      </c>
      <c r="P707" s="667" t="s">
        <v>7739</v>
      </c>
      <c r="Q707" s="6094" t="s">
        <v>5708</v>
      </c>
      <c r="R707" s="322" t="s">
        <v>5350</v>
      </c>
      <c r="S707" s="346"/>
      <c r="T707" s="347"/>
      <c r="U707" s="326"/>
      <c r="V707" s="348"/>
      <c r="W707" s="347"/>
      <c r="X707" s="326"/>
      <c r="Y707" s="348"/>
      <c r="Z707" s="347"/>
      <c r="AA707" s="326"/>
      <c r="AB707" s="348"/>
      <c r="AC707" s="347"/>
      <c r="AD707" s="326"/>
      <c r="AE707" s="348"/>
      <c r="AF707" s="347"/>
      <c r="AG707" s="326"/>
      <c r="AH707" s="348"/>
      <c r="AI707" s="482">
        <v>3125</v>
      </c>
      <c r="AJ707" s="326">
        <v>0</v>
      </c>
      <c r="AK707" s="3917">
        <v>0</v>
      </c>
      <c r="AL707" s="349">
        <f t="shared" si="191"/>
        <v>3125</v>
      </c>
      <c r="AM707" s="2002" t="s">
        <v>1061</v>
      </c>
      <c r="AN707" s="3357">
        <v>44707</v>
      </c>
      <c r="AO707" s="695" t="s">
        <v>9954</v>
      </c>
      <c r="AP707" s="3222" t="s">
        <v>6894</v>
      </c>
      <c r="AQ707" s="3223">
        <v>1.047839</v>
      </c>
      <c r="AR707" s="333"/>
      <c r="AS707" s="330"/>
      <c r="AT707" s="330"/>
      <c r="AU707" s="330"/>
      <c r="AV707" s="330"/>
      <c r="AW707" s="3156">
        <f t="shared" si="194"/>
        <v>3125</v>
      </c>
      <c r="AX707" s="3140"/>
      <c r="BA707" s="267"/>
      <c r="BB707" s="267"/>
      <c r="BC707" s="4117">
        <f t="shared" si="195"/>
        <v>0</v>
      </c>
      <c r="BD707" s="4117">
        <f t="shared" si="196"/>
        <v>0</v>
      </c>
      <c r="BE707" s="267"/>
    </row>
    <row r="708" spans="1:57" ht="76.5">
      <c r="A708" s="2418" t="s">
        <v>11003</v>
      </c>
      <c r="B708" s="338" t="s">
        <v>9953</v>
      </c>
      <c r="C708" s="321">
        <v>0</v>
      </c>
      <c r="D708" s="323">
        <v>44648</v>
      </c>
      <c r="E708" s="3058" t="s">
        <v>9156</v>
      </c>
      <c r="F708" s="830" t="s">
        <v>9005</v>
      </c>
      <c r="G708" s="5356">
        <v>1.0956269999999999</v>
      </c>
      <c r="H708" s="332" t="s">
        <v>9784</v>
      </c>
      <c r="I708" s="339" t="s">
        <v>1433</v>
      </c>
      <c r="J708" s="322" t="s">
        <v>1434</v>
      </c>
      <c r="K708" s="340" t="s">
        <v>5777</v>
      </c>
      <c r="L708" s="339" t="s">
        <v>9785</v>
      </c>
      <c r="M708" s="322" t="s">
        <v>9660</v>
      </c>
      <c r="N708" s="339" t="s">
        <v>9787</v>
      </c>
      <c r="O708" s="332" t="s">
        <v>9786</v>
      </c>
      <c r="P708" s="345" t="s">
        <v>9789</v>
      </c>
      <c r="Q708" s="322" t="s">
        <v>9324</v>
      </c>
      <c r="R708" s="322" t="s">
        <v>9788</v>
      </c>
      <c r="S708" s="346"/>
      <c r="T708" s="347"/>
      <c r="U708" s="326"/>
      <c r="V708" s="348"/>
      <c r="W708" s="347"/>
      <c r="X708" s="326"/>
      <c r="Y708" s="348"/>
      <c r="Z708" s="347"/>
      <c r="AA708" s="326"/>
      <c r="AB708" s="348"/>
      <c r="AC708" s="820"/>
      <c r="AD708" s="821"/>
      <c r="AE708" s="822"/>
      <c r="AF708" s="820"/>
      <c r="AG708" s="821"/>
      <c r="AH708" s="822"/>
      <c r="AI708" s="482">
        <v>0</v>
      </c>
      <c r="AJ708" s="326">
        <v>0</v>
      </c>
      <c r="AK708" s="3917">
        <v>0</v>
      </c>
      <c r="AL708" s="349">
        <f t="shared" si="191"/>
        <v>0</v>
      </c>
      <c r="AM708" s="2002" t="s">
        <v>4488</v>
      </c>
      <c r="AN708" s="3357">
        <v>44707</v>
      </c>
      <c r="AO708" s="695" t="s">
        <v>9955</v>
      </c>
      <c r="AP708" s="3362" t="s">
        <v>9004</v>
      </c>
      <c r="AQ708" s="3555">
        <v>1.0956269999999999</v>
      </c>
      <c r="AR708" s="333"/>
      <c r="AS708" s="330"/>
      <c r="AT708" s="330"/>
      <c r="AU708" s="849"/>
      <c r="AV708" s="849"/>
      <c r="AW708" s="3156">
        <v>5000</v>
      </c>
      <c r="AX708" s="3140"/>
      <c r="BB708" s="267"/>
      <c r="BC708" s="4117">
        <f t="shared" si="195"/>
        <v>0</v>
      </c>
      <c r="BD708" s="4117">
        <f t="shared" si="196"/>
        <v>0</v>
      </c>
      <c r="BE708" s="267"/>
    </row>
    <row r="709" spans="1:57" ht="77.25" thickBot="1">
      <c r="A709" s="6076" t="s">
        <v>11003</v>
      </c>
      <c r="B709" s="5600" t="s">
        <v>9957</v>
      </c>
      <c r="C709" s="5601">
        <v>0</v>
      </c>
      <c r="D709" s="5602">
        <v>44648</v>
      </c>
      <c r="E709" s="5603" t="s">
        <v>9156</v>
      </c>
      <c r="F709" s="3793" t="s">
        <v>9005</v>
      </c>
      <c r="G709" s="5368">
        <v>1.0956269999999999</v>
      </c>
      <c r="H709" s="5604" t="s">
        <v>9784</v>
      </c>
      <c r="I709" s="5605" t="s">
        <v>1433</v>
      </c>
      <c r="J709" s="5606" t="s">
        <v>1434</v>
      </c>
      <c r="K709" s="5607" t="s">
        <v>5777</v>
      </c>
      <c r="L709" s="5605" t="s">
        <v>9785</v>
      </c>
      <c r="M709" s="5606" t="s">
        <v>9660</v>
      </c>
      <c r="N709" s="5605" t="s">
        <v>9787</v>
      </c>
      <c r="O709" s="5604" t="s">
        <v>9786</v>
      </c>
      <c r="P709" s="5608" t="s">
        <v>9789</v>
      </c>
      <c r="Q709" s="5606" t="s">
        <v>9324</v>
      </c>
      <c r="R709" s="5606" t="s">
        <v>9788</v>
      </c>
      <c r="S709" s="5609"/>
      <c r="T709" s="5610"/>
      <c r="U709" s="5611"/>
      <c r="V709" s="5612"/>
      <c r="W709" s="5610"/>
      <c r="X709" s="5611"/>
      <c r="Y709" s="5612"/>
      <c r="Z709" s="5610"/>
      <c r="AA709" s="5611"/>
      <c r="AB709" s="5612"/>
      <c r="AC709" s="5610"/>
      <c r="AD709" s="5611"/>
      <c r="AE709" s="5612"/>
      <c r="AF709" s="5610"/>
      <c r="AG709" s="5611"/>
      <c r="AH709" s="5612"/>
      <c r="AI709" s="5613">
        <v>7888</v>
      </c>
      <c r="AJ709" s="5611">
        <v>0</v>
      </c>
      <c r="AK709" s="5614">
        <v>0</v>
      </c>
      <c r="AL709" s="5615">
        <f t="shared" si="191"/>
        <v>7888</v>
      </c>
      <c r="AM709" s="5616" t="s">
        <v>9956</v>
      </c>
      <c r="AN709" s="5617">
        <v>44708</v>
      </c>
      <c r="AO709" s="5618" t="s">
        <v>9963</v>
      </c>
      <c r="AP709" s="3387" t="s">
        <v>9004</v>
      </c>
      <c r="AQ709" s="4753">
        <v>1.0956269999999999</v>
      </c>
      <c r="AR709" s="5619"/>
      <c r="AS709" s="5620"/>
      <c r="AT709" s="5620"/>
      <c r="AU709" s="5621"/>
      <c r="AV709" s="5621"/>
      <c r="AW709" s="5622">
        <f>ROUND(AL709*AQ709/G709,0)-5000</f>
        <v>2888</v>
      </c>
      <c r="AX709" s="5623"/>
      <c r="AY709" s="4031" t="s">
        <v>9915</v>
      </c>
      <c r="AZ709" s="3857">
        <f>SUM(AW701:AW709)</f>
        <v>44696</v>
      </c>
      <c r="BA709" s="1663">
        <f>AZ709</f>
        <v>44696</v>
      </c>
      <c r="BB709" s="267"/>
      <c r="BC709" s="4117">
        <f t="shared" si="195"/>
        <v>0</v>
      </c>
      <c r="BD709" s="4117">
        <f t="shared" si="196"/>
        <v>0</v>
      </c>
      <c r="BE709" s="267"/>
    </row>
    <row r="710" spans="1:57" ht="102">
      <c r="A710" s="6017" t="s">
        <v>11004</v>
      </c>
      <c r="B710" s="2298" t="s">
        <v>11132</v>
      </c>
      <c r="C710" s="2299">
        <v>0</v>
      </c>
      <c r="D710" s="2300">
        <v>43794</v>
      </c>
      <c r="E710" s="4812" t="s">
        <v>7151</v>
      </c>
      <c r="F710" s="2497" t="s">
        <v>6893</v>
      </c>
      <c r="G710" s="3110">
        <v>1.047839</v>
      </c>
      <c r="H710" s="2306" t="s">
        <v>7379</v>
      </c>
      <c r="I710" s="2303" t="s">
        <v>7380</v>
      </c>
      <c r="J710" s="2304" t="s">
        <v>4306</v>
      </c>
      <c r="K710" s="2305">
        <v>44525</v>
      </c>
      <c r="L710" s="2303" t="s">
        <v>7381</v>
      </c>
      <c r="M710" s="2304" t="s">
        <v>7382</v>
      </c>
      <c r="N710" s="2303" t="s">
        <v>7383</v>
      </c>
      <c r="O710" s="2306" t="s">
        <v>7384</v>
      </c>
      <c r="P710" s="5624" t="s">
        <v>7816</v>
      </c>
      <c r="Q710" s="6096" t="s">
        <v>5708</v>
      </c>
      <c r="R710" s="2304" t="s">
        <v>5350</v>
      </c>
      <c r="S710" s="2307"/>
      <c r="T710" s="2308"/>
      <c r="U710" s="2309"/>
      <c r="V710" s="2310"/>
      <c r="W710" s="2308"/>
      <c r="X710" s="2309"/>
      <c r="Y710" s="2310"/>
      <c r="Z710" s="2308"/>
      <c r="AA710" s="2309"/>
      <c r="AB710" s="2310"/>
      <c r="AC710" s="2308"/>
      <c r="AD710" s="2309"/>
      <c r="AE710" s="2310"/>
      <c r="AF710" s="2308"/>
      <c r="AG710" s="2309"/>
      <c r="AH710" s="2310"/>
      <c r="AI710" s="2311">
        <v>3125</v>
      </c>
      <c r="AJ710" s="2309">
        <v>0</v>
      </c>
      <c r="AK710" s="3914">
        <v>0</v>
      </c>
      <c r="AL710" s="2312">
        <f>AI710-AJ710-AK710</f>
        <v>3125</v>
      </c>
      <c r="AM710" s="3491" t="s">
        <v>909</v>
      </c>
      <c r="AN710" s="3492">
        <v>44714</v>
      </c>
      <c r="AO710" s="2492" t="s">
        <v>9965</v>
      </c>
      <c r="AP710" s="3539" t="s">
        <v>6894</v>
      </c>
      <c r="AQ710" s="4189">
        <v>1.047839</v>
      </c>
      <c r="AR710" s="2313"/>
      <c r="AS710" s="2314"/>
      <c r="AT710" s="2314"/>
      <c r="AU710" s="2314"/>
      <c r="AV710" s="2314"/>
      <c r="AW710" s="2883">
        <f>ROUND(AL710*AQ710/G710,0)</f>
        <v>3125</v>
      </c>
      <c r="AX710" s="2899"/>
      <c r="BA710" s="267"/>
      <c r="BB710" s="267"/>
      <c r="BC710" s="4117">
        <f t="shared" si="195"/>
        <v>0</v>
      </c>
      <c r="BD710" s="4117">
        <f t="shared" si="196"/>
        <v>0</v>
      </c>
      <c r="BE710" s="267"/>
    </row>
    <row r="711" spans="1:57" ht="89.25">
      <c r="A711" s="5978" t="s">
        <v>11036</v>
      </c>
      <c r="B711" s="1538" t="s">
        <v>11131</v>
      </c>
      <c r="C711" s="1509">
        <v>0</v>
      </c>
      <c r="D711" s="1510" t="s">
        <v>11130</v>
      </c>
      <c r="E711" s="3053" t="s">
        <v>6385</v>
      </c>
      <c r="F711" s="1511" t="s">
        <v>11127</v>
      </c>
      <c r="G711" s="2663">
        <v>1.047839</v>
      </c>
      <c r="H711" s="1513" t="s">
        <v>4939</v>
      </c>
      <c r="I711" s="1514" t="s">
        <v>4940</v>
      </c>
      <c r="J711" s="1515" t="s">
        <v>4306</v>
      </c>
      <c r="K711" s="1516">
        <v>43726</v>
      </c>
      <c r="L711" s="1514" t="s">
        <v>4941</v>
      </c>
      <c r="M711" s="1515" t="s">
        <v>4942</v>
      </c>
      <c r="N711" s="1514" t="s">
        <v>4943</v>
      </c>
      <c r="O711" s="1513" t="s">
        <v>6245</v>
      </c>
      <c r="P711" s="2215" t="s">
        <v>7740</v>
      </c>
      <c r="Q711" s="6094" t="s">
        <v>4878</v>
      </c>
      <c r="R711" s="1515" t="s">
        <v>1046</v>
      </c>
      <c r="S711" s="1518"/>
      <c r="T711" s="1519">
        <v>2304</v>
      </c>
      <c r="U711" s="1504">
        <v>0</v>
      </c>
      <c r="V711" s="1520">
        <f>T711-U711</f>
        <v>2304</v>
      </c>
      <c r="W711" s="1519">
        <v>2881</v>
      </c>
      <c r="X711" s="1504">
        <v>0</v>
      </c>
      <c r="Y711" s="1520">
        <f>W711-X711</f>
        <v>2881</v>
      </c>
      <c r="Z711" s="1519">
        <v>823</v>
      </c>
      <c r="AA711" s="1504">
        <v>0</v>
      </c>
      <c r="AB711" s="1520">
        <f>Z711-AA711</f>
        <v>823</v>
      </c>
      <c r="AC711" s="1519"/>
      <c r="AD711" s="1504"/>
      <c r="AE711" s="1520"/>
      <c r="AF711" s="1519"/>
      <c r="AG711" s="1504"/>
      <c r="AH711" s="1520"/>
      <c r="AI711" s="1503">
        <v>3111</v>
      </c>
      <c r="AJ711" s="1504">
        <f>U711+X711+AA711+AD711+AG711</f>
        <v>0</v>
      </c>
      <c r="AK711" s="3919">
        <v>0</v>
      </c>
      <c r="AL711" s="1505">
        <f>AI711-AJ711-AK711</f>
        <v>3111</v>
      </c>
      <c r="AM711" s="1508" t="s">
        <v>9972</v>
      </c>
      <c r="AN711" s="3401">
        <v>44714</v>
      </c>
      <c r="AO711" s="3402" t="s">
        <v>9973</v>
      </c>
      <c r="AP711" s="3251" t="s">
        <v>6894</v>
      </c>
      <c r="AQ711" s="3248">
        <v>1.047839</v>
      </c>
      <c r="AR711" s="1506">
        <v>0</v>
      </c>
      <c r="AS711" s="1507">
        <v>0</v>
      </c>
      <c r="AT711" s="1507">
        <v>0</v>
      </c>
      <c r="AU711" s="1507">
        <v>0</v>
      </c>
      <c r="AV711" s="1507">
        <v>0</v>
      </c>
      <c r="AW711" s="3247">
        <f>ROUND(AL711*AQ711/G711,0)</f>
        <v>3111</v>
      </c>
      <c r="AX711" s="3146"/>
      <c r="BB711" s="267"/>
      <c r="BC711" s="4117">
        <f t="shared" si="195"/>
        <v>0</v>
      </c>
      <c r="BD711" s="4117">
        <f t="shared" si="196"/>
        <v>0</v>
      </c>
      <c r="BE711" s="267"/>
    </row>
    <row r="712" spans="1:57" ht="114.75">
      <c r="A712" s="5981" t="s">
        <v>11003</v>
      </c>
      <c r="B712" s="1538" t="s">
        <v>11128</v>
      </c>
      <c r="C712" s="1509">
        <v>0</v>
      </c>
      <c r="D712" s="1510" t="s">
        <v>11129</v>
      </c>
      <c r="E712" s="4344" t="s">
        <v>8170</v>
      </c>
      <c r="F712" s="1511" t="s">
        <v>7957</v>
      </c>
      <c r="G712" s="2663">
        <v>1.0795220000000001</v>
      </c>
      <c r="H712" s="1513" t="s">
        <v>8837</v>
      </c>
      <c r="I712" s="1514" t="s">
        <v>1433</v>
      </c>
      <c r="J712" s="1515" t="s">
        <v>1434</v>
      </c>
      <c r="K712" s="1516">
        <v>46524</v>
      </c>
      <c r="L712" s="1514" t="s">
        <v>8835</v>
      </c>
      <c r="M712" s="1515" t="s">
        <v>8836</v>
      </c>
      <c r="N712" s="1514" t="s">
        <v>8908</v>
      </c>
      <c r="O712" s="1513" t="s">
        <v>8907</v>
      </c>
      <c r="P712" s="1517" t="s">
        <v>9974</v>
      </c>
      <c r="Q712" s="1515" t="s">
        <v>8838</v>
      </c>
      <c r="R712" s="1515" t="s">
        <v>8909</v>
      </c>
      <c r="S712" s="1518"/>
      <c r="T712" s="1519"/>
      <c r="U712" s="1504"/>
      <c r="V712" s="1520"/>
      <c r="W712" s="1519"/>
      <c r="X712" s="1504"/>
      <c r="Y712" s="1520"/>
      <c r="Z712" s="1519"/>
      <c r="AA712" s="1504"/>
      <c r="AB712" s="1520"/>
      <c r="AC712" s="1519"/>
      <c r="AD712" s="1504"/>
      <c r="AE712" s="1520"/>
      <c r="AF712" s="1519"/>
      <c r="AG712" s="1504"/>
      <c r="AH712" s="1520"/>
      <c r="AI712" s="1503">
        <v>0</v>
      </c>
      <c r="AJ712" s="1504">
        <v>0</v>
      </c>
      <c r="AK712" s="3919">
        <v>0</v>
      </c>
      <c r="AL712" s="1505">
        <f t="shared" ref="AL712" si="197">AI712-AJ712-AK712</f>
        <v>0</v>
      </c>
      <c r="AM712" s="4219" t="s">
        <v>9975</v>
      </c>
      <c r="AN712" s="3401">
        <v>44719</v>
      </c>
      <c r="AO712" s="3402" t="s">
        <v>9977</v>
      </c>
      <c r="AP712" s="3539" t="s">
        <v>7957</v>
      </c>
      <c r="AQ712" s="4189">
        <v>1.0795220000000001</v>
      </c>
      <c r="AR712" s="1506"/>
      <c r="AS712" s="1507"/>
      <c r="AT712" s="1507"/>
      <c r="AU712" s="1507"/>
      <c r="AV712" s="1507"/>
      <c r="AW712" s="3247">
        <v>850</v>
      </c>
      <c r="AX712" s="3146"/>
      <c r="BA712" s="267"/>
      <c r="BB712" s="267"/>
      <c r="BC712" s="4117">
        <f t="shared" si="195"/>
        <v>0</v>
      </c>
      <c r="BD712" s="4117">
        <f t="shared" si="196"/>
        <v>0</v>
      </c>
      <c r="BE712" s="267"/>
    </row>
    <row r="713" spans="1:57" ht="102">
      <c r="A713" s="5981" t="s">
        <v>11022</v>
      </c>
      <c r="B713" s="1538" t="s">
        <v>11033</v>
      </c>
      <c r="C713" s="1509">
        <v>0</v>
      </c>
      <c r="D713" s="1510">
        <v>44460</v>
      </c>
      <c r="E713" s="4344" t="s">
        <v>9156</v>
      </c>
      <c r="F713" s="2497" t="s">
        <v>9005</v>
      </c>
      <c r="G713" s="5387">
        <v>1.0956269999999999</v>
      </c>
      <c r="H713" s="1513" t="s">
        <v>9264</v>
      </c>
      <c r="I713" s="1514" t="s">
        <v>1433</v>
      </c>
      <c r="J713" s="1515" t="s">
        <v>1434</v>
      </c>
      <c r="K713" s="1516">
        <v>46647</v>
      </c>
      <c r="L713" s="1514" t="s">
        <v>9265</v>
      </c>
      <c r="M713" s="1515" t="s">
        <v>9266</v>
      </c>
      <c r="N713" s="1514" t="s">
        <v>9267</v>
      </c>
      <c r="O713" s="1513" t="s">
        <v>9268</v>
      </c>
      <c r="P713" s="1517"/>
      <c r="Q713" s="1515" t="s">
        <v>9269</v>
      </c>
      <c r="R713" s="1515" t="s">
        <v>9270</v>
      </c>
      <c r="S713" s="1518"/>
      <c r="T713" s="1519"/>
      <c r="U713" s="1504"/>
      <c r="V713" s="1520"/>
      <c r="W713" s="1519"/>
      <c r="X713" s="1504"/>
      <c r="Y713" s="1520"/>
      <c r="Z713" s="1519"/>
      <c r="AA713" s="1504"/>
      <c r="AB713" s="1520"/>
      <c r="AC713" s="1519"/>
      <c r="AD713" s="1504"/>
      <c r="AE713" s="1520"/>
      <c r="AF713" s="1519"/>
      <c r="AG713" s="1504"/>
      <c r="AH713" s="1520"/>
      <c r="AI713" s="1503">
        <v>437</v>
      </c>
      <c r="AJ713" s="1504">
        <v>0</v>
      </c>
      <c r="AK713" s="3919">
        <v>0</v>
      </c>
      <c r="AL713" s="1505">
        <f t="shared" ref="AL713:AL720" si="198">AI713-AJ713-AK713</f>
        <v>437</v>
      </c>
      <c r="AM713" s="1508" t="s">
        <v>1061</v>
      </c>
      <c r="AN713" s="3401">
        <v>44719</v>
      </c>
      <c r="AO713" s="3402" t="s">
        <v>9978</v>
      </c>
      <c r="AP713" s="2905" t="s">
        <v>9004</v>
      </c>
      <c r="AQ713" s="2906">
        <v>1.0956269999999999</v>
      </c>
      <c r="AR713" s="1506"/>
      <c r="AS713" s="1507"/>
      <c r="AT713" s="1507"/>
      <c r="AU713" s="1507"/>
      <c r="AV713" s="1507"/>
      <c r="AW713" s="3247">
        <f>ROUND(AL713*AQ713/G713,0)</f>
        <v>437</v>
      </c>
      <c r="AX713" s="3146"/>
      <c r="BB713" s="267"/>
      <c r="BC713" s="4117">
        <f t="shared" si="195"/>
        <v>0</v>
      </c>
      <c r="BD713" s="4117">
        <f t="shared" si="196"/>
        <v>0</v>
      </c>
      <c r="BE713" s="267"/>
    </row>
    <row r="714" spans="1:57" ht="89.25">
      <c r="A714" s="5981" t="s">
        <v>11003</v>
      </c>
      <c r="B714" s="1538" t="s">
        <v>9706</v>
      </c>
      <c r="C714" s="1509">
        <v>0</v>
      </c>
      <c r="D714" s="1510">
        <v>44692</v>
      </c>
      <c r="E714" s="4344" t="s">
        <v>9156</v>
      </c>
      <c r="F714" s="2497" t="s">
        <v>9005</v>
      </c>
      <c r="G714" s="5387">
        <v>1.0956269999999999</v>
      </c>
      <c r="H714" s="1513" t="s">
        <v>9908</v>
      </c>
      <c r="I714" s="1514" t="s">
        <v>9913</v>
      </c>
      <c r="J714" s="4345" t="s">
        <v>4306</v>
      </c>
      <c r="K714" s="1516">
        <v>45415</v>
      </c>
      <c r="L714" s="1514" t="s">
        <v>9909</v>
      </c>
      <c r="M714" s="1515" t="s">
        <v>9910</v>
      </c>
      <c r="N714" s="1514" t="s">
        <v>9911</v>
      </c>
      <c r="O714" s="1513" t="s">
        <v>9910</v>
      </c>
      <c r="P714" s="1517"/>
      <c r="Q714" s="6094" t="s">
        <v>9071</v>
      </c>
      <c r="R714" s="1515" t="s">
        <v>581</v>
      </c>
      <c r="S714" s="1518"/>
      <c r="T714" s="1519"/>
      <c r="U714" s="1504"/>
      <c r="V714" s="1520"/>
      <c r="W714" s="1519"/>
      <c r="X714" s="1504"/>
      <c r="Y714" s="1520"/>
      <c r="Z714" s="1519"/>
      <c r="AA714" s="1504"/>
      <c r="AB714" s="1520"/>
      <c r="AC714" s="1519"/>
      <c r="AD714" s="1504"/>
      <c r="AE714" s="1520"/>
      <c r="AF714" s="1519"/>
      <c r="AG714" s="1504"/>
      <c r="AH714" s="1520"/>
      <c r="AI714" s="1503">
        <v>5567</v>
      </c>
      <c r="AJ714" s="1504">
        <v>0</v>
      </c>
      <c r="AK714" s="3919">
        <v>0</v>
      </c>
      <c r="AL714" s="1505">
        <f t="shared" si="198"/>
        <v>5567</v>
      </c>
      <c r="AM714" s="1508" t="s">
        <v>909</v>
      </c>
      <c r="AN714" s="3401">
        <v>44720</v>
      </c>
      <c r="AO714" s="3402" t="s">
        <v>9986</v>
      </c>
      <c r="AP714" s="2905" t="s">
        <v>9004</v>
      </c>
      <c r="AQ714" s="2906">
        <v>1.0956269999999999</v>
      </c>
      <c r="AR714" s="1506"/>
      <c r="AS714" s="1507"/>
      <c r="AT714" s="1507"/>
      <c r="AU714" s="1507"/>
      <c r="AV714" s="1507"/>
      <c r="AW714" s="3247">
        <f>ROUND(AL714*AQ714/G714,0)</f>
        <v>5567</v>
      </c>
      <c r="AX714" s="3146"/>
      <c r="BA714" s="267"/>
      <c r="BB714" s="267"/>
      <c r="BC714" s="4117">
        <f t="shared" si="195"/>
        <v>0</v>
      </c>
      <c r="BD714" s="4117">
        <f t="shared" si="196"/>
        <v>0</v>
      </c>
      <c r="BE714" s="267"/>
    </row>
    <row r="715" spans="1:57" ht="89.25">
      <c r="A715" s="5981" t="s">
        <v>11003</v>
      </c>
      <c r="B715" s="1538" t="s">
        <v>10027</v>
      </c>
      <c r="C715" s="1509">
        <v>0</v>
      </c>
      <c r="D715" s="1510">
        <v>44356</v>
      </c>
      <c r="E715" s="4344" t="s">
        <v>8170</v>
      </c>
      <c r="F715" s="1511" t="s">
        <v>7957</v>
      </c>
      <c r="G715" s="2663">
        <v>1.0795220000000001</v>
      </c>
      <c r="H715" s="1513" t="s">
        <v>8878</v>
      </c>
      <c r="I715" s="1514" t="s">
        <v>8879</v>
      </c>
      <c r="J715" s="4345" t="s">
        <v>4306</v>
      </c>
      <c r="K715" s="1516">
        <v>45086</v>
      </c>
      <c r="L715" s="1514" t="s">
        <v>8881</v>
      </c>
      <c r="M715" s="1515" t="s">
        <v>8883</v>
      </c>
      <c r="N715" s="1514" t="s">
        <v>8885</v>
      </c>
      <c r="O715" s="1515" t="s">
        <v>8883</v>
      </c>
      <c r="P715" s="1517" t="s">
        <v>9984</v>
      </c>
      <c r="Q715" s="6094" t="s">
        <v>5708</v>
      </c>
      <c r="R715" s="1515" t="s">
        <v>5350</v>
      </c>
      <c r="S715" s="1518"/>
      <c r="T715" s="1519"/>
      <c r="U715" s="1504"/>
      <c r="V715" s="1520"/>
      <c r="W715" s="1519"/>
      <c r="X715" s="1504"/>
      <c r="Y715" s="1520"/>
      <c r="Z715" s="1519"/>
      <c r="AA715" s="1504"/>
      <c r="AB715" s="1520"/>
      <c r="AC715" s="1519"/>
      <c r="AD715" s="1504"/>
      <c r="AE715" s="1520"/>
      <c r="AF715" s="1519"/>
      <c r="AG715" s="1504"/>
      <c r="AH715" s="1520"/>
      <c r="AI715" s="1503">
        <v>6437</v>
      </c>
      <c r="AJ715" s="1504">
        <v>0</v>
      </c>
      <c r="AK715" s="3919">
        <v>0</v>
      </c>
      <c r="AL715" s="1505">
        <f t="shared" si="198"/>
        <v>6437</v>
      </c>
      <c r="AM715" s="4219" t="s">
        <v>9985</v>
      </c>
      <c r="AN715" s="5626">
        <v>44720</v>
      </c>
      <c r="AO715" s="3402" t="s">
        <v>9987</v>
      </c>
      <c r="AP715" s="3539" t="s">
        <v>7957</v>
      </c>
      <c r="AQ715" s="4189">
        <v>1.0795220000000001</v>
      </c>
      <c r="AR715" s="1506"/>
      <c r="AS715" s="1507"/>
      <c r="AT715" s="1507"/>
      <c r="AU715" s="1507"/>
      <c r="AV715" s="1507"/>
      <c r="AW715" s="3247">
        <f>ROUND(AL715*AQ715/G715,0)-1800-1420</f>
        <v>3217</v>
      </c>
      <c r="AX715" s="3146"/>
      <c r="BA715" s="267"/>
      <c r="BB715" s="267"/>
      <c r="BC715" s="4117">
        <f t="shared" si="195"/>
        <v>0</v>
      </c>
      <c r="BD715" s="4117">
        <f t="shared" si="196"/>
        <v>0</v>
      </c>
      <c r="BE715" s="267"/>
    </row>
    <row r="716" spans="1:57" ht="102">
      <c r="A716" s="5981" t="s">
        <v>11004</v>
      </c>
      <c r="B716" s="1538" t="s">
        <v>10004</v>
      </c>
      <c r="C716" s="1509">
        <v>0</v>
      </c>
      <c r="D716" s="1510">
        <v>43592</v>
      </c>
      <c r="E716" s="3053" t="s">
        <v>6386</v>
      </c>
      <c r="F716" s="1511" t="s">
        <v>8470</v>
      </c>
      <c r="G716" s="2805">
        <v>1.0795220000000001</v>
      </c>
      <c r="H716" s="1513" t="s">
        <v>6664</v>
      </c>
      <c r="I716" s="1514" t="s">
        <v>6666</v>
      </c>
      <c r="J716" s="1515" t="s">
        <v>4306</v>
      </c>
      <c r="K716" s="1516">
        <v>44323</v>
      </c>
      <c r="L716" s="1514" t="s">
        <v>6668</v>
      </c>
      <c r="M716" s="1515" t="s">
        <v>4355</v>
      </c>
      <c r="N716" s="1514" t="s">
        <v>6669</v>
      </c>
      <c r="O716" s="1513" t="s">
        <v>6670</v>
      </c>
      <c r="P716" s="1517" t="s">
        <v>7778</v>
      </c>
      <c r="Q716" s="6094" t="s">
        <v>5708</v>
      </c>
      <c r="R716" s="1515" t="s">
        <v>5350</v>
      </c>
      <c r="S716" s="1518"/>
      <c r="T716" s="1519">
        <v>2444</v>
      </c>
      <c r="U716" s="1504">
        <v>0</v>
      </c>
      <c r="V716" s="1520">
        <f>T716-U716</f>
        <v>2444</v>
      </c>
      <c r="W716" s="1519">
        <v>3056</v>
      </c>
      <c r="X716" s="1504">
        <v>0</v>
      </c>
      <c r="Y716" s="1520">
        <f>W716-X716</f>
        <v>3056</v>
      </c>
      <c r="Z716" s="1519">
        <v>0</v>
      </c>
      <c r="AA716" s="1504">
        <v>0</v>
      </c>
      <c r="AB716" s="1520">
        <f>Z716-AA716</f>
        <v>0</v>
      </c>
      <c r="AC716" s="1519"/>
      <c r="AD716" s="1504"/>
      <c r="AE716" s="1520"/>
      <c r="AF716" s="1519"/>
      <c r="AG716" s="1504"/>
      <c r="AH716" s="1520"/>
      <c r="AI716" s="1503">
        <v>2896</v>
      </c>
      <c r="AJ716" s="1504">
        <f>U716+X716+AA716+AD716+AG716</f>
        <v>0</v>
      </c>
      <c r="AK716" s="3919">
        <v>0</v>
      </c>
      <c r="AL716" s="1505">
        <f t="shared" si="198"/>
        <v>2896</v>
      </c>
      <c r="AM716" s="1508" t="s">
        <v>10005</v>
      </c>
      <c r="AN716" s="3401">
        <v>44725</v>
      </c>
      <c r="AO716" s="3402" t="s">
        <v>10006</v>
      </c>
      <c r="AP716" s="3251" t="s">
        <v>7957</v>
      </c>
      <c r="AQ716" s="3248">
        <v>1.0795220000000001</v>
      </c>
      <c r="AR716" s="1506">
        <v>0</v>
      </c>
      <c r="AS716" s="1507">
        <v>0</v>
      </c>
      <c r="AT716" s="1507">
        <v>0</v>
      </c>
      <c r="AU716" s="1507">
        <v>0</v>
      </c>
      <c r="AV716" s="1507">
        <v>0</v>
      </c>
      <c r="AW716" s="3247">
        <f t="shared" ref="AW716:AW721" si="199">ROUND(AL716*AQ716/G716,0)</f>
        <v>2896</v>
      </c>
      <c r="AX716" s="3146"/>
      <c r="BB716" s="267"/>
      <c r="BC716" s="4117">
        <f t="shared" si="195"/>
        <v>0</v>
      </c>
      <c r="BD716" s="4117">
        <f t="shared" si="196"/>
        <v>0</v>
      </c>
      <c r="BE716" s="267"/>
    </row>
    <row r="717" spans="1:57" ht="102">
      <c r="A717" s="5978" t="s">
        <v>11036</v>
      </c>
      <c r="B717" s="1538" t="s">
        <v>10022</v>
      </c>
      <c r="C717" s="1509">
        <v>0</v>
      </c>
      <c r="D717" s="1510" t="s">
        <v>11126</v>
      </c>
      <c r="E717" s="3053" t="s">
        <v>6385</v>
      </c>
      <c r="F717" s="1511" t="s">
        <v>11127</v>
      </c>
      <c r="G717" s="2805">
        <v>1.047839</v>
      </c>
      <c r="H717" s="1513" t="s">
        <v>5010</v>
      </c>
      <c r="I717" s="1514" t="s">
        <v>5037</v>
      </c>
      <c r="J717" s="1515" t="s">
        <v>4306</v>
      </c>
      <c r="K717" s="1516">
        <v>43750</v>
      </c>
      <c r="L717" s="1514" t="s">
        <v>5013</v>
      </c>
      <c r="M717" s="1515" t="s">
        <v>5011</v>
      </c>
      <c r="N717" s="1514" t="s">
        <v>5012</v>
      </c>
      <c r="O717" s="1515" t="s">
        <v>5011</v>
      </c>
      <c r="P717" s="1517" t="s">
        <v>10023</v>
      </c>
      <c r="Q717" s="6094" t="s">
        <v>4878</v>
      </c>
      <c r="R717" s="1515" t="s">
        <v>1046</v>
      </c>
      <c r="S717" s="1518"/>
      <c r="T717" s="1519">
        <v>2304</v>
      </c>
      <c r="U717" s="1504">
        <v>0</v>
      </c>
      <c r="V717" s="1520">
        <f>T717-U717</f>
        <v>2304</v>
      </c>
      <c r="W717" s="1519">
        <v>2881</v>
      </c>
      <c r="X717" s="1504">
        <v>0</v>
      </c>
      <c r="Y717" s="1520">
        <f>W717-X717</f>
        <v>2881</v>
      </c>
      <c r="Z717" s="1519">
        <v>823</v>
      </c>
      <c r="AA717" s="1504">
        <v>0</v>
      </c>
      <c r="AB717" s="1520">
        <f>Z717-AA717</f>
        <v>823</v>
      </c>
      <c r="AC717" s="1519"/>
      <c r="AD717" s="1504"/>
      <c r="AE717" s="1520"/>
      <c r="AF717" s="1519"/>
      <c r="AG717" s="1504"/>
      <c r="AH717" s="1520"/>
      <c r="AI717" s="1503">
        <v>3111</v>
      </c>
      <c r="AJ717" s="1504">
        <f>U717+X717+AA717+AD717+AG717</f>
        <v>0</v>
      </c>
      <c r="AK717" s="3919">
        <v>0</v>
      </c>
      <c r="AL717" s="1505">
        <f t="shared" si="198"/>
        <v>3111</v>
      </c>
      <c r="AM717" s="1508" t="s">
        <v>10005</v>
      </c>
      <c r="AN717" s="3401">
        <v>44726</v>
      </c>
      <c r="AO717" s="3402" t="s">
        <v>10039</v>
      </c>
      <c r="AP717" s="3251" t="s">
        <v>6894</v>
      </c>
      <c r="AQ717" s="3248">
        <v>1.047839</v>
      </c>
      <c r="AR717" s="1506">
        <v>0</v>
      </c>
      <c r="AS717" s="1507">
        <v>0</v>
      </c>
      <c r="AT717" s="1507">
        <v>0</v>
      </c>
      <c r="AU717" s="1507">
        <v>0</v>
      </c>
      <c r="AV717" s="1507">
        <v>0</v>
      </c>
      <c r="AW717" s="3247">
        <f>ROUND(AL717*AQ717/G717,0)+0.09</f>
        <v>3111.09</v>
      </c>
      <c r="AX717" s="3146"/>
      <c r="BA717" s="267"/>
      <c r="BB717" s="267"/>
      <c r="BC717" s="4117">
        <f t="shared" si="195"/>
        <v>0</v>
      </c>
      <c r="BD717" s="4117">
        <f t="shared" si="196"/>
        <v>0</v>
      </c>
      <c r="BE717" s="267"/>
    </row>
    <row r="718" spans="1:57" ht="102">
      <c r="A718" s="5981" t="s">
        <v>11003</v>
      </c>
      <c r="B718" s="1538" t="s">
        <v>10025</v>
      </c>
      <c r="C718" s="1509">
        <v>0</v>
      </c>
      <c r="D718" s="1510">
        <v>44145</v>
      </c>
      <c r="E718" s="4344" t="s">
        <v>8170</v>
      </c>
      <c r="F718" s="1511" t="s">
        <v>7957</v>
      </c>
      <c r="G718" s="2663">
        <v>1.0795220000000001</v>
      </c>
      <c r="H718" s="1513" t="s">
        <v>8275</v>
      </c>
      <c r="I718" s="1514" t="s">
        <v>8276</v>
      </c>
      <c r="J718" s="4345" t="s">
        <v>4306</v>
      </c>
      <c r="K718" s="1516">
        <v>44875</v>
      </c>
      <c r="L718" s="1514" t="s">
        <v>8277</v>
      </c>
      <c r="M718" s="1515" t="s">
        <v>8278</v>
      </c>
      <c r="N718" s="1514" t="s">
        <v>8279</v>
      </c>
      <c r="O718" s="1515" t="s">
        <v>8278</v>
      </c>
      <c r="P718" s="2215" t="s">
        <v>8715</v>
      </c>
      <c r="Q718" s="6094" t="s">
        <v>5708</v>
      </c>
      <c r="R718" s="1515" t="s">
        <v>5350</v>
      </c>
      <c r="S718" s="1518"/>
      <c r="T718" s="1519"/>
      <c r="U718" s="1504"/>
      <c r="V718" s="1520"/>
      <c r="W718" s="1519"/>
      <c r="X718" s="1504"/>
      <c r="Y718" s="1520"/>
      <c r="Z718" s="1519"/>
      <c r="AA718" s="1504"/>
      <c r="AB718" s="1520"/>
      <c r="AC718" s="1519"/>
      <c r="AD718" s="1504"/>
      <c r="AE718" s="1520"/>
      <c r="AF718" s="1519"/>
      <c r="AG718" s="1504"/>
      <c r="AH718" s="1520"/>
      <c r="AI718" s="1503">
        <v>3219</v>
      </c>
      <c r="AJ718" s="1504">
        <v>0</v>
      </c>
      <c r="AK718" s="3919">
        <v>0</v>
      </c>
      <c r="AL718" s="1505">
        <f>AI718-AJ718-AK718</f>
        <v>3219</v>
      </c>
      <c r="AM718" s="1508" t="s">
        <v>10005</v>
      </c>
      <c r="AN718" s="3401">
        <v>44726</v>
      </c>
      <c r="AO718" s="3402" t="s">
        <v>10041</v>
      </c>
      <c r="AP718" s="3539" t="s">
        <v>7957</v>
      </c>
      <c r="AQ718" s="4189">
        <v>1.0795220000000001</v>
      </c>
      <c r="AR718" s="1506"/>
      <c r="AS718" s="1507"/>
      <c r="AT718" s="1507"/>
      <c r="AU718" s="1507"/>
      <c r="AV718" s="1507"/>
      <c r="AW718" s="3247">
        <f>ROUND(AL718*AQ718/G718,0)</f>
        <v>3219</v>
      </c>
      <c r="AX718" s="3146"/>
      <c r="BA718" s="267"/>
      <c r="BB718" s="267"/>
      <c r="BC718" s="4117">
        <f t="shared" si="195"/>
        <v>0</v>
      </c>
      <c r="BD718" s="4117">
        <f t="shared" si="196"/>
        <v>0</v>
      </c>
      <c r="BE718" s="267"/>
    </row>
    <row r="719" spans="1:57" ht="76.5">
      <c r="A719" s="5978" t="s">
        <v>11036</v>
      </c>
      <c r="B719" s="1538" t="s">
        <v>10028</v>
      </c>
      <c r="C719" s="1509">
        <v>0</v>
      </c>
      <c r="D719" s="1510">
        <v>43325</v>
      </c>
      <c r="E719" s="3053" t="s">
        <v>6385</v>
      </c>
      <c r="F719" s="1511" t="s">
        <v>5757</v>
      </c>
      <c r="G719" s="2663">
        <v>1.0247219999999999</v>
      </c>
      <c r="H719" s="5627" t="s">
        <v>5816</v>
      </c>
      <c r="I719" s="1514" t="s">
        <v>5817</v>
      </c>
      <c r="J719" s="1515" t="s">
        <v>4306</v>
      </c>
      <c r="K719" s="1516">
        <v>44056</v>
      </c>
      <c r="L719" s="1514" t="s">
        <v>5818</v>
      </c>
      <c r="M719" s="1515" t="s">
        <v>5819</v>
      </c>
      <c r="N719" s="1514" t="s">
        <v>5820</v>
      </c>
      <c r="O719" s="1513" t="s">
        <v>6174</v>
      </c>
      <c r="P719" s="1517"/>
      <c r="Q719" s="6094" t="s">
        <v>5708</v>
      </c>
      <c r="R719" s="1515" t="s">
        <v>5350</v>
      </c>
      <c r="S719" s="1518"/>
      <c r="T719" s="1519">
        <v>2344</v>
      </c>
      <c r="U719" s="1504">
        <v>0</v>
      </c>
      <c r="V719" s="1520">
        <f>T719-U719</f>
        <v>2344</v>
      </c>
      <c r="W719" s="1519">
        <v>2930</v>
      </c>
      <c r="X719" s="1504">
        <v>0</v>
      </c>
      <c r="Y719" s="1520">
        <f>W719-X719</f>
        <v>2930</v>
      </c>
      <c r="Z719" s="1519">
        <v>837</v>
      </c>
      <c r="AA719" s="1504">
        <v>0</v>
      </c>
      <c r="AB719" s="1520">
        <f>Z719-AA719</f>
        <v>837</v>
      </c>
      <c r="AC719" s="1519"/>
      <c r="AD719" s="1504"/>
      <c r="AE719" s="1520"/>
      <c r="AF719" s="1519"/>
      <c r="AG719" s="1504"/>
      <c r="AH719" s="1520"/>
      <c r="AI719" s="1503">
        <f>T719+W719+Z719+AC719+AF719</f>
        <v>6111</v>
      </c>
      <c r="AJ719" s="1504">
        <f>U719+X719+AA719+AD719+AG719</f>
        <v>0</v>
      </c>
      <c r="AK719" s="3919">
        <v>0</v>
      </c>
      <c r="AL719" s="1505">
        <f>AI719-AJ719-AK719</f>
        <v>6111</v>
      </c>
      <c r="AM719" s="1508" t="s">
        <v>10005</v>
      </c>
      <c r="AN719" s="3401">
        <v>44726</v>
      </c>
      <c r="AO719" s="3402" t="s">
        <v>10043</v>
      </c>
      <c r="AP719" s="2664" t="s">
        <v>9004</v>
      </c>
      <c r="AQ719" s="2806">
        <v>1.0956269999999999</v>
      </c>
      <c r="AR719" s="1506">
        <v>0</v>
      </c>
      <c r="AS719" s="1507">
        <v>0</v>
      </c>
      <c r="AT719" s="1507">
        <v>0</v>
      </c>
      <c r="AU719" s="1507">
        <v>0</v>
      </c>
      <c r="AV719" s="1507">
        <v>0</v>
      </c>
      <c r="AW719" s="3247">
        <f>ROUND(AL719*AQ719/G719,0)</f>
        <v>6534</v>
      </c>
      <c r="AX719" s="3146"/>
      <c r="BA719" s="267"/>
      <c r="BB719" s="267"/>
      <c r="BC719" s="4117">
        <f t="shared" si="195"/>
        <v>0</v>
      </c>
      <c r="BD719" s="4117">
        <f t="shared" si="196"/>
        <v>0</v>
      </c>
      <c r="BE719" s="267"/>
    </row>
    <row r="720" spans="1:57" ht="89.25">
      <c r="A720" s="5981" t="s">
        <v>11004</v>
      </c>
      <c r="B720" s="1538" t="s">
        <v>10024</v>
      </c>
      <c r="C720" s="1509">
        <v>0</v>
      </c>
      <c r="D720" s="1510">
        <v>43815</v>
      </c>
      <c r="E720" s="4344" t="s">
        <v>7151</v>
      </c>
      <c r="F720" s="1511" t="s">
        <v>10044</v>
      </c>
      <c r="G720" s="2805">
        <v>1.0795220000000001</v>
      </c>
      <c r="H720" s="1513" t="s">
        <v>7483</v>
      </c>
      <c r="I720" s="1514" t="s">
        <v>7484</v>
      </c>
      <c r="J720" s="4345" t="s">
        <v>4306</v>
      </c>
      <c r="K720" s="1516">
        <v>44546</v>
      </c>
      <c r="L720" s="1514" t="s">
        <v>7485</v>
      </c>
      <c r="M720" s="1515" t="s">
        <v>7486</v>
      </c>
      <c r="N720" s="1514" t="s">
        <v>7487</v>
      </c>
      <c r="O720" s="1513" t="s">
        <v>7488</v>
      </c>
      <c r="P720" s="5266" t="s">
        <v>8418</v>
      </c>
      <c r="Q720" s="6094" t="s">
        <v>5708</v>
      </c>
      <c r="R720" s="1515" t="s">
        <v>5350</v>
      </c>
      <c r="S720" s="1518"/>
      <c r="T720" s="1519"/>
      <c r="U720" s="1504"/>
      <c r="V720" s="1520"/>
      <c r="W720" s="1519"/>
      <c r="X720" s="1504"/>
      <c r="Y720" s="1520"/>
      <c r="Z720" s="1519"/>
      <c r="AA720" s="1504"/>
      <c r="AB720" s="1520"/>
      <c r="AC720" s="1519"/>
      <c r="AD720" s="1504"/>
      <c r="AE720" s="1520"/>
      <c r="AF720" s="1519"/>
      <c r="AG720" s="1504"/>
      <c r="AH720" s="1520"/>
      <c r="AI720" s="1503">
        <v>2897</v>
      </c>
      <c r="AJ720" s="1504">
        <v>0</v>
      </c>
      <c r="AK720" s="3919">
        <v>0</v>
      </c>
      <c r="AL720" s="1505">
        <f t="shared" si="198"/>
        <v>2897</v>
      </c>
      <c r="AM720" s="1508" t="s">
        <v>10005</v>
      </c>
      <c r="AN720" s="3401">
        <v>44726</v>
      </c>
      <c r="AO720" s="3402" t="s">
        <v>10040</v>
      </c>
      <c r="AP720" s="3539" t="s">
        <v>7957</v>
      </c>
      <c r="AQ720" s="4189">
        <v>1.0795220000000001</v>
      </c>
      <c r="AR720" s="1506"/>
      <c r="AS720" s="1507"/>
      <c r="AT720" s="1507"/>
      <c r="AU720" s="1507"/>
      <c r="AV720" s="1507"/>
      <c r="AW720" s="3247">
        <f t="shared" si="199"/>
        <v>2897</v>
      </c>
      <c r="AX720" s="3146"/>
      <c r="BA720" s="267"/>
      <c r="BB720" s="267"/>
      <c r="BC720" s="4117">
        <f t="shared" si="195"/>
        <v>0</v>
      </c>
      <c r="BD720" s="4117">
        <f t="shared" si="196"/>
        <v>0</v>
      </c>
      <c r="BE720" s="267"/>
    </row>
    <row r="721" spans="1:61" ht="102">
      <c r="A721" s="5981" t="s">
        <v>11004</v>
      </c>
      <c r="B721" s="1538" t="s">
        <v>10026</v>
      </c>
      <c r="C721" s="1509">
        <v>0</v>
      </c>
      <c r="D721" s="1510" t="s">
        <v>11124</v>
      </c>
      <c r="E721" s="3053" t="s">
        <v>6386</v>
      </c>
      <c r="F721" s="1511" t="s">
        <v>11125</v>
      </c>
      <c r="G721" s="2805">
        <v>1.047839</v>
      </c>
      <c r="H721" s="1513" t="s">
        <v>6281</v>
      </c>
      <c r="I721" s="1514" t="s">
        <v>6284</v>
      </c>
      <c r="J721" s="1515" t="s">
        <v>4306</v>
      </c>
      <c r="K721" s="1516">
        <v>44238</v>
      </c>
      <c r="L721" s="1514" t="s">
        <v>6285</v>
      </c>
      <c r="M721" s="1515" t="s">
        <v>6286</v>
      </c>
      <c r="N721" s="1514" t="s">
        <v>6287</v>
      </c>
      <c r="O721" s="1513" t="s">
        <v>6286</v>
      </c>
      <c r="P721" s="1517" t="s">
        <v>8860</v>
      </c>
      <c r="Q721" s="6094" t="s">
        <v>5708</v>
      </c>
      <c r="R721" s="1515" t="s">
        <v>5350</v>
      </c>
      <c r="S721" s="1518"/>
      <c r="T721" s="1519">
        <v>2444</v>
      </c>
      <c r="U721" s="1504">
        <v>0</v>
      </c>
      <c r="V721" s="1520">
        <f>T721-U721</f>
        <v>2444</v>
      </c>
      <c r="W721" s="1519">
        <v>3056</v>
      </c>
      <c r="X721" s="1504">
        <v>0</v>
      </c>
      <c r="Y721" s="1520">
        <f>W721-X721</f>
        <v>3056</v>
      </c>
      <c r="Z721" s="1519">
        <v>0</v>
      </c>
      <c r="AA721" s="1504">
        <v>0</v>
      </c>
      <c r="AB721" s="1520">
        <f>Z721-AA721</f>
        <v>0</v>
      </c>
      <c r="AC721" s="1519"/>
      <c r="AD721" s="1504"/>
      <c r="AE721" s="1520"/>
      <c r="AF721" s="1519"/>
      <c r="AG721" s="1504"/>
      <c r="AH721" s="1520"/>
      <c r="AI721" s="1503">
        <v>2812</v>
      </c>
      <c r="AJ721" s="1504">
        <f>U721+X721+AA721+AD721+AG721</f>
        <v>0</v>
      </c>
      <c r="AK721" s="3919">
        <v>0</v>
      </c>
      <c r="AL721" s="1505">
        <f>AI721-AJ721-AK721</f>
        <v>2812</v>
      </c>
      <c r="AM721" s="1508" t="s">
        <v>10005</v>
      </c>
      <c r="AN721" s="3401">
        <v>44726</v>
      </c>
      <c r="AO721" s="3402" t="s">
        <v>10042</v>
      </c>
      <c r="AP721" s="3251" t="s">
        <v>6894</v>
      </c>
      <c r="AQ721" s="3248">
        <v>1.047839</v>
      </c>
      <c r="AR721" s="1506">
        <v>0</v>
      </c>
      <c r="AS721" s="1507">
        <v>0</v>
      </c>
      <c r="AT721" s="1507">
        <v>0</v>
      </c>
      <c r="AU721" s="1507">
        <v>0</v>
      </c>
      <c r="AV721" s="1507">
        <v>0</v>
      </c>
      <c r="AW721" s="3247">
        <f t="shared" si="199"/>
        <v>2812</v>
      </c>
      <c r="AX721" s="3146"/>
      <c r="BB721" s="267"/>
      <c r="BC721" s="4117">
        <f t="shared" si="195"/>
        <v>0</v>
      </c>
      <c r="BD721" s="4117">
        <f t="shared" si="196"/>
        <v>0</v>
      </c>
      <c r="BE721" s="267"/>
    </row>
    <row r="722" spans="1:61" ht="63.75">
      <c r="A722" s="6077" t="s">
        <v>11003</v>
      </c>
      <c r="B722" s="5628" t="s">
        <v>9990</v>
      </c>
      <c r="C722" s="5629">
        <v>0</v>
      </c>
      <c r="D722" s="5630">
        <v>44379</v>
      </c>
      <c r="E722" s="5631" t="s">
        <v>8170</v>
      </c>
      <c r="F722" s="5632" t="s">
        <v>7957</v>
      </c>
      <c r="G722" s="5633">
        <v>1.0795220000000001</v>
      </c>
      <c r="H722" s="5627" t="s">
        <v>9989</v>
      </c>
      <c r="I722" s="5634" t="s">
        <v>1433</v>
      </c>
      <c r="J722" s="5635" t="s">
        <v>1434</v>
      </c>
      <c r="K722" s="5636">
        <v>46569</v>
      </c>
      <c r="L722" s="5634" t="s">
        <v>8995</v>
      </c>
      <c r="M722" s="5635" t="s">
        <v>8996</v>
      </c>
      <c r="N722" s="5634" t="s">
        <v>8998</v>
      </c>
      <c r="O722" s="5627" t="s">
        <v>8997</v>
      </c>
      <c r="P722" s="5637"/>
      <c r="Q722" s="5635" t="s">
        <v>8576</v>
      </c>
      <c r="R722" s="5635" t="s">
        <v>6842</v>
      </c>
      <c r="S722" s="5638"/>
      <c r="T722" s="5639"/>
      <c r="U722" s="5640"/>
      <c r="V722" s="5641"/>
      <c r="W722" s="5639"/>
      <c r="X722" s="5640"/>
      <c r="Y722" s="5641"/>
      <c r="Z722" s="5639"/>
      <c r="AA722" s="5640"/>
      <c r="AB722" s="5641"/>
      <c r="AC722" s="5639"/>
      <c r="AD722" s="5640"/>
      <c r="AE722" s="5641"/>
      <c r="AF722" s="5639"/>
      <c r="AG722" s="5640"/>
      <c r="AH722" s="5641"/>
      <c r="AI722" s="5642">
        <v>18136</v>
      </c>
      <c r="AJ722" s="5640">
        <v>0</v>
      </c>
      <c r="AK722" s="5643">
        <v>0</v>
      </c>
      <c r="AL722" s="5644">
        <f>AI722-AJ722-AK722</f>
        <v>18136</v>
      </c>
      <c r="AM722" s="5651" t="s">
        <v>1061</v>
      </c>
      <c r="AN722" s="5652">
        <v>44732</v>
      </c>
      <c r="AO722" s="5653" t="s">
        <v>10045</v>
      </c>
      <c r="AP722" s="5645" t="s">
        <v>9004</v>
      </c>
      <c r="AQ722" s="5646">
        <v>1.0956269999999999</v>
      </c>
      <c r="AR722" s="5647"/>
      <c r="AS722" s="5648"/>
      <c r="AT722" s="5648"/>
      <c r="AU722" s="5648"/>
      <c r="AV722" s="5648"/>
      <c r="AW722" s="5649">
        <f>ROUND(AL722*AQ722/G722,0)</f>
        <v>18407</v>
      </c>
      <c r="AX722" s="5650"/>
      <c r="BA722" s="267"/>
      <c r="BB722" s="267"/>
      <c r="BC722" s="4117">
        <f t="shared" si="195"/>
        <v>0</v>
      </c>
      <c r="BD722" s="4117">
        <f t="shared" si="196"/>
        <v>0</v>
      </c>
      <c r="BE722" s="267"/>
    </row>
    <row r="723" spans="1:61" ht="89.25">
      <c r="A723" s="5981" t="s">
        <v>11003</v>
      </c>
      <c r="B723" s="1538" t="s">
        <v>10007</v>
      </c>
      <c r="C723" s="1509">
        <v>0</v>
      </c>
      <c r="D723" s="1510" t="s">
        <v>10008</v>
      </c>
      <c r="E723" s="4344" t="s">
        <v>9156</v>
      </c>
      <c r="F723" s="2497" t="s">
        <v>9005</v>
      </c>
      <c r="G723" s="5387">
        <v>1.0956269999999999</v>
      </c>
      <c r="H723" s="1513" t="s">
        <v>9979</v>
      </c>
      <c r="I723" s="1514" t="s">
        <v>9980</v>
      </c>
      <c r="J723" s="4345" t="s">
        <v>4306</v>
      </c>
      <c r="K723" s="1516">
        <v>45450</v>
      </c>
      <c r="L723" s="1514" t="s">
        <v>9981</v>
      </c>
      <c r="M723" s="1515" t="s">
        <v>9982</v>
      </c>
      <c r="N723" s="1514" t="s">
        <v>9983</v>
      </c>
      <c r="O723" s="1515" t="s">
        <v>9982</v>
      </c>
      <c r="P723" s="1517" t="s">
        <v>10009</v>
      </c>
      <c r="Q723" s="6094" t="s">
        <v>10010</v>
      </c>
      <c r="R723" s="1515" t="s">
        <v>10011</v>
      </c>
      <c r="S723" s="1518"/>
      <c r="T723" s="1519"/>
      <c r="U723" s="1504"/>
      <c r="V723" s="1520"/>
      <c r="W723" s="1519"/>
      <c r="X723" s="1504"/>
      <c r="Y723" s="1520"/>
      <c r="Z723" s="1519"/>
      <c r="AA723" s="1504"/>
      <c r="AB723" s="1520"/>
      <c r="AC723" s="1519"/>
      <c r="AD723" s="1504"/>
      <c r="AE723" s="1520"/>
      <c r="AF723" s="1519"/>
      <c r="AG723" s="1504"/>
      <c r="AH723" s="1520"/>
      <c r="AI723" s="1503">
        <v>1086</v>
      </c>
      <c r="AJ723" s="1504">
        <v>0</v>
      </c>
      <c r="AK723" s="3919">
        <v>0</v>
      </c>
      <c r="AL723" s="1505">
        <f>AI723-AJ723-AK723</f>
        <v>1086</v>
      </c>
      <c r="AM723" s="5651" t="s">
        <v>1061</v>
      </c>
      <c r="AN723" s="5652">
        <v>44732</v>
      </c>
      <c r="AO723" s="5653" t="s">
        <v>10046</v>
      </c>
      <c r="AP723" s="2905" t="s">
        <v>9004</v>
      </c>
      <c r="AQ723" s="2906">
        <v>1.0956269999999999</v>
      </c>
      <c r="AR723" s="1506"/>
      <c r="AS723" s="1507"/>
      <c r="AT723" s="1507"/>
      <c r="AU723" s="1507"/>
      <c r="AV723" s="1507"/>
      <c r="AW723" s="3247">
        <f>ROUND(AL723*AQ723/G723,0)</f>
        <v>1086</v>
      </c>
      <c r="AX723" s="3146"/>
      <c r="BB723" s="267"/>
      <c r="BC723" s="4117">
        <f t="shared" si="195"/>
        <v>0</v>
      </c>
      <c r="BD723" s="4117">
        <f t="shared" si="196"/>
        <v>0</v>
      </c>
      <c r="BE723" s="267"/>
    </row>
    <row r="724" spans="1:61" ht="76.5">
      <c r="A724" s="5981" t="s">
        <v>11003</v>
      </c>
      <c r="B724" s="1538" t="s">
        <v>9710</v>
      </c>
      <c r="C724" s="1509">
        <v>0</v>
      </c>
      <c r="D724" s="1510">
        <v>44707</v>
      </c>
      <c r="E724" s="4344" t="s">
        <v>9156</v>
      </c>
      <c r="F724" s="2497" t="s">
        <v>9005</v>
      </c>
      <c r="G724" s="5387">
        <v>1.0956269999999999</v>
      </c>
      <c r="H724" s="1513" t="s">
        <v>9962</v>
      </c>
      <c r="I724" s="1514" t="s">
        <v>5753</v>
      </c>
      <c r="J724" s="1515" t="s">
        <v>2712</v>
      </c>
      <c r="K724" s="1516">
        <v>46162</v>
      </c>
      <c r="L724" s="1514" t="s">
        <v>9958</v>
      </c>
      <c r="M724" s="1515" t="s">
        <v>9959</v>
      </c>
      <c r="N724" s="1514" t="s">
        <v>9960</v>
      </c>
      <c r="O724" s="1513" t="s">
        <v>9961</v>
      </c>
      <c r="P724" s="1517"/>
      <c r="Q724" s="1515" t="s">
        <v>8325</v>
      </c>
      <c r="R724" s="1515" t="s">
        <v>8326</v>
      </c>
      <c r="S724" s="1518"/>
      <c r="T724" s="1519"/>
      <c r="U724" s="1504"/>
      <c r="V724" s="1520"/>
      <c r="W724" s="1519"/>
      <c r="X724" s="1504"/>
      <c r="Y724" s="1520"/>
      <c r="Z724" s="1519"/>
      <c r="AA724" s="1504"/>
      <c r="AB724" s="1520"/>
      <c r="AC724" s="1519"/>
      <c r="AD724" s="1504"/>
      <c r="AE724" s="1520"/>
      <c r="AF724" s="1519"/>
      <c r="AG724" s="1504"/>
      <c r="AH724" s="1520"/>
      <c r="AI724" s="1503">
        <v>18406</v>
      </c>
      <c r="AJ724" s="1504">
        <v>0</v>
      </c>
      <c r="AK724" s="3919">
        <v>0</v>
      </c>
      <c r="AL724" s="1505">
        <f>AI724-AJ724-AK724</f>
        <v>18406</v>
      </c>
      <c r="AM724" s="1508" t="s">
        <v>1061</v>
      </c>
      <c r="AN724" s="3401">
        <v>44734</v>
      </c>
      <c r="AO724" s="3402" t="s">
        <v>10067</v>
      </c>
      <c r="AP724" s="2905" t="s">
        <v>9004</v>
      </c>
      <c r="AQ724" s="2906">
        <v>1.0956269999999999</v>
      </c>
      <c r="AR724" s="1506"/>
      <c r="AS724" s="1507"/>
      <c r="AT724" s="1507"/>
      <c r="AU724" s="1507"/>
      <c r="AV724" s="1507"/>
      <c r="AW724" s="3247">
        <f>ROUND(AL724*AQ724/G724,0)</f>
        <v>18406</v>
      </c>
      <c r="AX724" s="3146"/>
      <c r="BA724" s="267"/>
      <c r="BB724" s="267"/>
      <c r="BC724" s="4117">
        <f t="shared" si="195"/>
        <v>0</v>
      </c>
      <c r="BD724" s="4117">
        <f t="shared" si="196"/>
        <v>0</v>
      </c>
      <c r="BE724" s="267"/>
    </row>
    <row r="725" spans="1:61" ht="89.25">
      <c r="A725" s="5981" t="s">
        <v>11003</v>
      </c>
      <c r="B725" s="1538" t="s">
        <v>8804</v>
      </c>
      <c r="C725" s="1509">
        <v>0</v>
      </c>
      <c r="D725" s="1510">
        <v>44552</v>
      </c>
      <c r="E725" s="4344" t="s">
        <v>9156</v>
      </c>
      <c r="F725" s="2497" t="s">
        <v>9005</v>
      </c>
      <c r="G725" s="5387">
        <v>1.0956269999999999</v>
      </c>
      <c r="H725" s="1513" t="s">
        <v>9543</v>
      </c>
      <c r="I725" s="1514" t="s">
        <v>9536</v>
      </c>
      <c r="J725" s="4345" t="s">
        <v>4306</v>
      </c>
      <c r="K725" s="1516">
        <v>45282</v>
      </c>
      <c r="L725" s="1514" t="s">
        <v>313</v>
      </c>
      <c r="M725" s="1515" t="s">
        <v>8832</v>
      </c>
      <c r="N725" s="1514" t="s">
        <v>9537</v>
      </c>
      <c r="O725" s="1513" t="s">
        <v>9538</v>
      </c>
      <c r="P725" s="1517"/>
      <c r="Q725" s="6094" t="s">
        <v>9047</v>
      </c>
      <c r="R725" s="1515" t="s">
        <v>945</v>
      </c>
      <c r="S725" s="1518"/>
      <c r="T725" s="1519"/>
      <c r="U725" s="1504"/>
      <c r="V725" s="1520"/>
      <c r="W725" s="1519"/>
      <c r="X725" s="1504"/>
      <c r="Y725" s="1520"/>
      <c r="Z725" s="1519"/>
      <c r="AA725" s="1504"/>
      <c r="AB725" s="1520"/>
      <c r="AC725" s="1519"/>
      <c r="AD725" s="1504"/>
      <c r="AE725" s="1520"/>
      <c r="AF725" s="1519"/>
      <c r="AG725" s="1504"/>
      <c r="AH725" s="1520"/>
      <c r="AI725" s="1503">
        <v>6534</v>
      </c>
      <c r="AJ725" s="1504">
        <v>0</v>
      </c>
      <c r="AK725" s="3919">
        <v>0</v>
      </c>
      <c r="AL725" s="1505">
        <f>AI725-AJ725-AK725</f>
        <v>6534</v>
      </c>
      <c r="AM725" s="1508" t="s">
        <v>1061</v>
      </c>
      <c r="AN725" s="3401">
        <v>44736</v>
      </c>
      <c r="AO725" s="3402" t="s">
        <v>10080</v>
      </c>
      <c r="AP725" s="2905" t="s">
        <v>9004</v>
      </c>
      <c r="AQ725" s="2906">
        <v>1.0956269999999999</v>
      </c>
      <c r="AR725" s="1506"/>
      <c r="AS725" s="1507"/>
      <c r="AT725" s="1507"/>
      <c r="AU725" s="1507"/>
      <c r="AV725" s="1507"/>
      <c r="AW725" s="3247">
        <f>ROUND(AL725*AQ725/G725,0)</f>
        <v>6534</v>
      </c>
      <c r="AX725" s="3146"/>
      <c r="BB725" s="267"/>
      <c r="BC725" s="4117">
        <f t="shared" si="195"/>
        <v>0</v>
      </c>
      <c r="BD725" s="4117">
        <f t="shared" si="196"/>
        <v>0</v>
      </c>
      <c r="BE725" s="267"/>
    </row>
    <row r="726" spans="1:61" ht="126" customHeight="1">
      <c r="A726" s="5981" t="s">
        <v>11004</v>
      </c>
      <c r="B726" s="1538" t="s">
        <v>10099</v>
      </c>
      <c r="C726" s="1509">
        <v>1</v>
      </c>
      <c r="D726" s="1510" t="s">
        <v>11121</v>
      </c>
      <c r="E726" s="3053" t="s">
        <v>6385</v>
      </c>
      <c r="F726" s="1511" t="s">
        <v>11120</v>
      </c>
      <c r="G726" s="2663">
        <v>1.0795220000000001</v>
      </c>
      <c r="H726" s="1513" t="s">
        <v>5332</v>
      </c>
      <c r="I726" s="1514" t="s">
        <v>1433</v>
      </c>
      <c r="J726" s="1515" t="s">
        <v>1434</v>
      </c>
      <c r="K726" s="1516">
        <v>44670</v>
      </c>
      <c r="L726" s="1514" t="s">
        <v>313</v>
      </c>
      <c r="M726" s="1515" t="s">
        <v>5333</v>
      </c>
      <c r="N726" s="1514" t="s">
        <v>5334</v>
      </c>
      <c r="O726" s="1513" t="s">
        <v>6311</v>
      </c>
      <c r="P726" s="1517" t="s">
        <v>9988</v>
      </c>
      <c r="Q726" s="1515" t="s">
        <v>5454</v>
      </c>
      <c r="R726" s="1515" t="s">
        <v>5335</v>
      </c>
      <c r="S726" s="1518"/>
      <c r="T726" s="1519">
        <v>40242</v>
      </c>
      <c r="U726" s="1504">
        <v>0</v>
      </c>
      <c r="V726" s="1520">
        <f t="shared" ref="V726" si="200">T726-U726</f>
        <v>40242</v>
      </c>
      <c r="W726" s="1519">
        <v>7102</v>
      </c>
      <c r="X726" s="1504">
        <v>0</v>
      </c>
      <c r="Y726" s="1520">
        <f t="shared" ref="Y726" si="201">W726-X726</f>
        <v>7102</v>
      </c>
      <c r="Z726" s="1519">
        <v>486</v>
      </c>
      <c r="AA726" s="1504">
        <v>0</v>
      </c>
      <c r="AB726" s="1520">
        <f t="shared" ref="AB726" si="202">Z726-AA726</f>
        <v>486</v>
      </c>
      <c r="AC726" s="1519"/>
      <c r="AD726" s="1504"/>
      <c r="AE726" s="1520"/>
      <c r="AF726" s="1519"/>
      <c r="AG726" s="1504"/>
      <c r="AH726" s="1520"/>
      <c r="AI726" s="1503">
        <v>0</v>
      </c>
      <c r="AJ726" s="1504">
        <f t="shared" ref="AJ726" si="203">U726+X726+AA726+AD726+AG726</f>
        <v>0</v>
      </c>
      <c r="AK726" s="3919">
        <v>0</v>
      </c>
      <c r="AL726" s="1505">
        <f t="shared" ref="AL726" si="204">AI726-AJ726-AK726</f>
        <v>0</v>
      </c>
      <c r="AM726" s="1508" t="s">
        <v>10100</v>
      </c>
      <c r="AN726" s="3401">
        <v>44739</v>
      </c>
      <c r="AO726" s="3402" t="s">
        <v>10083</v>
      </c>
      <c r="AP726" s="3251" t="s">
        <v>7957</v>
      </c>
      <c r="AQ726" s="3248">
        <v>1.0795220000000001</v>
      </c>
      <c r="AR726" s="1506">
        <v>0</v>
      </c>
      <c r="AS726" s="1507">
        <v>0</v>
      </c>
      <c r="AT726" s="1507">
        <v>0</v>
      </c>
      <c r="AU726" s="1507">
        <v>0</v>
      </c>
      <c r="AV726" s="1507">
        <v>0</v>
      </c>
      <c r="AW726" s="3247">
        <v>5000</v>
      </c>
      <c r="AX726" s="3146"/>
      <c r="BA726" s="267"/>
      <c r="BB726" s="267"/>
      <c r="BC726" s="4117">
        <f t="shared" si="195"/>
        <v>0</v>
      </c>
      <c r="BD726" s="4117">
        <f t="shared" si="196"/>
        <v>0</v>
      </c>
      <c r="BE726" s="267"/>
    </row>
    <row r="727" spans="1:61" ht="102.75" thickBot="1">
      <c r="A727" s="6078" t="s">
        <v>11005</v>
      </c>
      <c r="B727" s="5573" t="s">
        <v>10097</v>
      </c>
      <c r="C727" s="5655">
        <v>0</v>
      </c>
      <c r="D727" s="5656" t="s">
        <v>11123</v>
      </c>
      <c r="E727" s="5656" t="s">
        <v>6386</v>
      </c>
      <c r="F727" s="5657" t="s">
        <v>11122</v>
      </c>
      <c r="G727" s="5658">
        <v>1.047839</v>
      </c>
      <c r="H727" s="5659" t="s">
        <v>6821</v>
      </c>
      <c r="I727" s="5580" t="s">
        <v>6826</v>
      </c>
      <c r="J727" s="5660" t="s">
        <v>4306</v>
      </c>
      <c r="K727" s="5661">
        <v>44371</v>
      </c>
      <c r="L727" s="5580" t="s">
        <v>6825</v>
      </c>
      <c r="M727" s="5660" t="s">
        <v>6824</v>
      </c>
      <c r="N727" s="5580" t="s">
        <v>6823</v>
      </c>
      <c r="O727" s="5660" t="s">
        <v>6824</v>
      </c>
      <c r="P727" s="5583" t="s">
        <v>7739</v>
      </c>
      <c r="Q727" s="6116" t="s">
        <v>5708</v>
      </c>
      <c r="R727" s="5660" t="s">
        <v>5350</v>
      </c>
      <c r="S727" s="5662"/>
      <c r="T727" s="5585">
        <v>2444</v>
      </c>
      <c r="U727" s="5663">
        <v>0</v>
      </c>
      <c r="V727" s="5664">
        <f>T727-U727</f>
        <v>2444</v>
      </c>
      <c r="W727" s="5585">
        <v>3056</v>
      </c>
      <c r="X727" s="5663">
        <v>0</v>
      </c>
      <c r="Y727" s="5664">
        <f>W727-X727</f>
        <v>3056</v>
      </c>
      <c r="Z727" s="5585">
        <v>611</v>
      </c>
      <c r="AA727" s="5663">
        <v>0</v>
      </c>
      <c r="AB727" s="5664">
        <f>Z727-AA727</f>
        <v>611</v>
      </c>
      <c r="AC727" s="5585"/>
      <c r="AD727" s="5663"/>
      <c r="AE727" s="5664"/>
      <c r="AF727" s="5585"/>
      <c r="AG727" s="5663"/>
      <c r="AH727" s="5664"/>
      <c r="AI727" s="5588">
        <v>3125</v>
      </c>
      <c r="AJ727" s="5663">
        <f>U727+X727+AA727+AD727+AG727</f>
        <v>0</v>
      </c>
      <c r="AK727" s="5665">
        <v>0</v>
      </c>
      <c r="AL727" s="5666">
        <f>AI727-AJ727-AK727</f>
        <v>3125</v>
      </c>
      <c r="AM727" s="5667" t="s">
        <v>5540</v>
      </c>
      <c r="AN727" s="5668">
        <v>44741</v>
      </c>
      <c r="AO727" s="5669" t="s">
        <v>10098</v>
      </c>
      <c r="AP727" s="5670" t="s">
        <v>10873</v>
      </c>
      <c r="AQ727" s="5671">
        <v>1.047839</v>
      </c>
      <c r="AR727" s="5596">
        <v>0</v>
      </c>
      <c r="AS727" s="5672">
        <v>0</v>
      </c>
      <c r="AT727" s="5672">
        <v>0</v>
      </c>
      <c r="AU727" s="5672">
        <v>0</v>
      </c>
      <c r="AV727" s="5672">
        <v>0</v>
      </c>
      <c r="AW727" s="5673">
        <v>3887</v>
      </c>
      <c r="AX727" s="5599"/>
      <c r="AY727" s="4029" t="s">
        <v>9966</v>
      </c>
      <c r="AZ727" s="3888">
        <f>SUM(AW710:AW727)</f>
        <v>91096.09</v>
      </c>
      <c r="BA727" s="2119">
        <f>AZ727</f>
        <v>91096.09</v>
      </c>
      <c r="BB727" s="307"/>
      <c r="BC727" s="4118">
        <f t="shared" si="195"/>
        <v>0</v>
      </c>
      <c r="BD727" s="4118">
        <f t="shared" si="196"/>
        <v>0</v>
      </c>
      <c r="BE727" s="4955"/>
      <c r="BF727" s="4722">
        <f>SUM(BA593:BA727)</f>
        <v>1841003.09</v>
      </c>
      <c r="BG727" s="4673">
        <f>SUM(BC593:BC727)</f>
        <v>14938</v>
      </c>
      <c r="BH727" s="4673">
        <f>SUM(BD593:BD727)</f>
        <v>22054</v>
      </c>
      <c r="BI727" s="4674">
        <f>SUM(BE593:BE727)</f>
        <v>0</v>
      </c>
    </row>
    <row r="728" spans="1:61" ht="114.75">
      <c r="A728" s="2418" t="s">
        <v>11003</v>
      </c>
      <c r="B728" s="338" t="s">
        <v>10124</v>
      </c>
      <c r="C728" s="321">
        <v>0</v>
      </c>
      <c r="D728" s="323">
        <v>44637</v>
      </c>
      <c r="E728" s="3058" t="s">
        <v>9156</v>
      </c>
      <c r="F728" s="830" t="s">
        <v>9005</v>
      </c>
      <c r="G728" s="5356">
        <v>1.0956269999999999</v>
      </c>
      <c r="H728" s="332" t="s">
        <v>9736</v>
      </c>
      <c r="I728" s="339" t="s">
        <v>9731</v>
      </c>
      <c r="J728" s="2399" t="s">
        <v>4306</v>
      </c>
      <c r="K728" s="340">
        <v>45360</v>
      </c>
      <c r="L728" s="339" t="s">
        <v>9732</v>
      </c>
      <c r="M728" s="322" t="s">
        <v>9733</v>
      </c>
      <c r="N728" s="339" t="s">
        <v>9735</v>
      </c>
      <c r="O728" s="332" t="s">
        <v>9734</v>
      </c>
      <c r="P728" s="345" t="s">
        <v>10123</v>
      </c>
      <c r="Q728" s="322" t="s">
        <v>9737</v>
      </c>
      <c r="R728" s="322" t="s">
        <v>129</v>
      </c>
      <c r="S728" s="346"/>
      <c r="T728" s="347"/>
      <c r="U728" s="326"/>
      <c r="V728" s="348"/>
      <c r="W728" s="347"/>
      <c r="X728" s="326"/>
      <c r="Y728" s="348"/>
      <c r="Z728" s="347"/>
      <c r="AA728" s="326"/>
      <c r="AB728" s="348"/>
      <c r="AC728" s="820"/>
      <c r="AD728" s="821"/>
      <c r="AE728" s="822"/>
      <c r="AF728" s="820"/>
      <c r="AG728" s="821"/>
      <c r="AH728" s="822"/>
      <c r="AI728" s="482"/>
      <c r="AJ728" s="326">
        <v>0</v>
      </c>
      <c r="AK728" s="3917">
        <v>0</v>
      </c>
      <c r="AL728" s="349">
        <f t="shared" ref="AL728" si="205">AI728-AJ728-AK728</f>
        <v>0</v>
      </c>
      <c r="AM728" s="5360" t="s">
        <v>10177</v>
      </c>
      <c r="AN728" s="3357">
        <v>44746</v>
      </c>
      <c r="AO728" s="695" t="s">
        <v>10125</v>
      </c>
      <c r="AP728" s="3696" t="s">
        <v>9004</v>
      </c>
      <c r="AQ728" s="3697">
        <v>1.0956269999999999</v>
      </c>
      <c r="AR728" s="333"/>
      <c r="AS728" s="330"/>
      <c r="AT728" s="330"/>
      <c r="AU728" s="849"/>
      <c r="AV728" s="849"/>
      <c r="AW728" s="3156">
        <v>1728.89</v>
      </c>
      <c r="AX728" s="3140"/>
      <c r="BA728" s="267"/>
      <c r="BB728" s="267"/>
      <c r="BC728" s="5677">
        <f t="shared" si="195"/>
        <v>0</v>
      </c>
      <c r="BD728" s="5677">
        <f t="shared" si="196"/>
        <v>0</v>
      </c>
      <c r="BE728" s="5678"/>
      <c r="BF728" s="267"/>
      <c r="BG728" s="267"/>
      <c r="BH728" s="267"/>
    </row>
    <row r="729" spans="1:61" ht="89.25">
      <c r="A729" s="2418" t="s">
        <v>11003</v>
      </c>
      <c r="B729" s="5676" t="s">
        <v>10132</v>
      </c>
      <c r="C729" s="321">
        <v>0</v>
      </c>
      <c r="D729" s="323">
        <v>44426</v>
      </c>
      <c r="E729" s="3058" t="s">
        <v>8170</v>
      </c>
      <c r="F729" s="830" t="s">
        <v>9005</v>
      </c>
      <c r="G729" s="5356">
        <v>1.0956269999999999</v>
      </c>
      <c r="H729" s="332" t="s">
        <v>9119</v>
      </c>
      <c r="I729" s="339" t="s">
        <v>9118</v>
      </c>
      <c r="J729" s="2399" t="s">
        <v>4306</v>
      </c>
      <c r="K729" s="340">
        <v>45148</v>
      </c>
      <c r="L729" s="339" t="s">
        <v>9116</v>
      </c>
      <c r="M729" s="322" t="s">
        <v>9138</v>
      </c>
      <c r="N729" s="339" t="s">
        <v>9117</v>
      </c>
      <c r="O729" s="332" t="s">
        <v>9114</v>
      </c>
      <c r="P729" s="345"/>
      <c r="Q729" s="6094" t="s">
        <v>9047</v>
      </c>
      <c r="R729" s="322" t="s">
        <v>5350</v>
      </c>
      <c r="S729" s="346"/>
      <c r="T729" s="347"/>
      <c r="U729" s="326"/>
      <c r="V729" s="348"/>
      <c r="W729" s="347"/>
      <c r="X729" s="326"/>
      <c r="Y729" s="348"/>
      <c r="Z729" s="347"/>
      <c r="AA729" s="326"/>
      <c r="AB729" s="348"/>
      <c r="AC729" s="347"/>
      <c r="AD729" s="326"/>
      <c r="AE729" s="348"/>
      <c r="AF729" s="347"/>
      <c r="AG729" s="326"/>
      <c r="AH729" s="348"/>
      <c r="AI729" s="482">
        <v>5566</v>
      </c>
      <c r="AJ729" s="326">
        <v>0</v>
      </c>
      <c r="AK729" s="3917">
        <v>0</v>
      </c>
      <c r="AL729" s="349">
        <f>AI729-AJ729-AK729</f>
        <v>5566</v>
      </c>
      <c r="AM729" s="2002" t="s">
        <v>1061</v>
      </c>
      <c r="AN729" s="3357">
        <v>44755</v>
      </c>
      <c r="AO729" s="695" t="s">
        <v>10146</v>
      </c>
      <c r="AP729" s="3362" t="s">
        <v>10102</v>
      </c>
      <c r="AQ729" s="3555">
        <v>1.1100000000000001</v>
      </c>
      <c r="AR729" s="333"/>
      <c r="AS729" s="330"/>
      <c r="AT729" s="330"/>
      <c r="AU729" s="330"/>
      <c r="AV729" s="330"/>
      <c r="AW729" s="3156">
        <f>ROUND(AL729*AQ729/G729,0)</f>
        <v>5639</v>
      </c>
      <c r="AX729" s="3140"/>
      <c r="BA729" s="267"/>
      <c r="BB729" s="267"/>
      <c r="BC729" s="4117">
        <f t="shared" si="195"/>
        <v>0</v>
      </c>
      <c r="BD729" s="4117">
        <f t="shared" si="196"/>
        <v>0</v>
      </c>
      <c r="BE729" s="5071"/>
      <c r="BF729" s="267"/>
      <c r="BG729" s="267"/>
      <c r="BH729" s="267"/>
    </row>
    <row r="730" spans="1:61" ht="76.5">
      <c r="A730" s="6079" t="s">
        <v>11003</v>
      </c>
      <c r="B730" s="5679" t="s">
        <v>9780</v>
      </c>
      <c r="C730" s="5680">
        <v>0</v>
      </c>
      <c r="D730" s="5681">
        <v>44756</v>
      </c>
      <c r="E730" s="5682" t="s">
        <v>9156</v>
      </c>
      <c r="F730" s="5683" t="s">
        <v>10101</v>
      </c>
      <c r="G730" s="5684">
        <v>1.1100000000000001</v>
      </c>
      <c r="H730" s="5685" t="s">
        <v>10133</v>
      </c>
      <c r="I730" s="5686" t="s">
        <v>10134</v>
      </c>
      <c r="J730" s="5687" t="s">
        <v>1434</v>
      </c>
      <c r="K730" s="5688" t="s">
        <v>7664</v>
      </c>
      <c r="L730" s="5686" t="s">
        <v>10135</v>
      </c>
      <c r="M730" s="5687" t="s">
        <v>9660</v>
      </c>
      <c r="N730" s="5686" t="s">
        <v>10137</v>
      </c>
      <c r="O730" s="5685" t="s">
        <v>10136</v>
      </c>
      <c r="P730" s="5689"/>
      <c r="Q730" s="5687" t="s">
        <v>10138</v>
      </c>
      <c r="R730" s="5687" t="s">
        <v>7830</v>
      </c>
      <c r="S730" s="5690"/>
      <c r="T730" s="5691"/>
      <c r="U730" s="5692"/>
      <c r="V730" s="5693"/>
      <c r="W730" s="5691"/>
      <c r="X730" s="5692"/>
      <c r="Y730" s="5693"/>
      <c r="Z730" s="5691"/>
      <c r="AA730" s="5692"/>
      <c r="AB730" s="5693"/>
      <c r="AC730" s="5694"/>
      <c r="AD730" s="5695"/>
      <c r="AE730" s="5696"/>
      <c r="AF730" s="5694"/>
      <c r="AG730" s="5695"/>
      <c r="AH730" s="5696"/>
      <c r="AI730" s="5697">
        <v>4825</v>
      </c>
      <c r="AJ730" s="5692">
        <v>0</v>
      </c>
      <c r="AK730" s="5698">
        <v>0</v>
      </c>
      <c r="AL730" s="5699">
        <f>AI730-AJ730-AK730</f>
        <v>4825</v>
      </c>
      <c r="AM730" s="5700" t="s">
        <v>1061</v>
      </c>
      <c r="AN730" s="5701">
        <v>44763</v>
      </c>
      <c r="AO730" s="5702" t="s">
        <v>10162</v>
      </c>
      <c r="AP730" s="5703" t="s">
        <v>10102</v>
      </c>
      <c r="AQ730" s="5704">
        <v>1.1100000000000001</v>
      </c>
      <c r="AR730" s="5705"/>
      <c r="AS730" s="5706"/>
      <c r="AT730" s="5706"/>
      <c r="AU730" s="5707"/>
      <c r="AV730" s="5707"/>
      <c r="AW730" s="5708">
        <f>ROUND(AL730*AQ730/G730,0)</f>
        <v>4825</v>
      </c>
      <c r="AX730" s="5709"/>
      <c r="BB730" s="267"/>
      <c r="BC730" s="4117">
        <f t="shared" si="195"/>
        <v>0</v>
      </c>
      <c r="BD730" s="4117">
        <f t="shared" si="196"/>
        <v>0</v>
      </c>
      <c r="BE730" s="5071"/>
      <c r="BF730" s="267"/>
      <c r="BG730" s="267"/>
      <c r="BH730" s="267"/>
    </row>
    <row r="731" spans="1:61" ht="114.75">
      <c r="A731" s="6079" t="s">
        <v>11003</v>
      </c>
      <c r="B731" s="827" t="s">
        <v>10176</v>
      </c>
      <c r="C731" s="828">
        <v>0</v>
      </c>
      <c r="D731" s="829">
        <v>44637</v>
      </c>
      <c r="E731" s="831" t="s">
        <v>9156</v>
      </c>
      <c r="F731" s="830" t="s">
        <v>9005</v>
      </c>
      <c r="G731" s="5356">
        <v>1.0956269999999999</v>
      </c>
      <c r="H731" s="832" t="s">
        <v>9736</v>
      </c>
      <c r="I731" s="833" t="s">
        <v>9731</v>
      </c>
      <c r="J731" s="834" t="s">
        <v>4306</v>
      </c>
      <c r="K731" s="835">
        <v>45360</v>
      </c>
      <c r="L731" s="833" t="s">
        <v>9732</v>
      </c>
      <c r="M731" s="834" t="s">
        <v>9733</v>
      </c>
      <c r="N731" s="833" t="s">
        <v>9735</v>
      </c>
      <c r="O731" s="832" t="s">
        <v>9734</v>
      </c>
      <c r="P731" s="836" t="s">
        <v>10175</v>
      </c>
      <c r="Q731" s="834" t="s">
        <v>9737</v>
      </c>
      <c r="R731" s="834" t="s">
        <v>129</v>
      </c>
      <c r="S731" s="837"/>
      <c r="T731" s="838"/>
      <c r="U731" s="839"/>
      <c r="V731" s="840"/>
      <c r="W731" s="838"/>
      <c r="X731" s="839"/>
      <c r="Y731" s="840"/>
      <c r="Z731" s="838"/>
      <c r="AA731" s="839"/>
      <c r="AB731" s="840"/>
      <c r="AC731" s="823"/>
      <c r="AD731" s="824"/>
      <c r="AE731" s="825"/>
      <c r="AF731" s="823"/>
      <c r="AG731" s="824"/>
      <c r="AH731" s="825"/>
      <c r="AI731" s="841"/>
      <c r="AJ731" s="839">
        <v>0</v>
      </c>
      <c r="AK731" s="3906">
        <v>0</v>
      </c>
      <c r="AL731" s="869">
        <f t="shared" ref="AL731:AL732" si="206">AI731-AJ731-AK731</f>
        <v>0</v>
      </c>
      <c r="AM731" s="3605" t="s">
        <v>10177</v>
      </c>
      <c r="AN731" s="3360">
        <v>44764</v>
      </c>
      <c r="AO731" s="3361" t="s">
        <v>10179</v>
      </c>
      <c r="AP731" s="3696" t="s">
        <v>9004</v>
      </c>
      <c r="AQ731" s="3697">
        <v>1.0956269999999999</v>
      </c>
      <c r="AR731" s="846"/>
      <c r="AS731" s="847"/>
      <c r="AT731" s="847"/>
      <c r="AU731" s="848"/>
      <c r="AV731" s="848"/>
      <c r="AW731" s="2872">
        <v>1728.89</v>
      </c>
      <c r="AX731" s="2891"/>
      <c r="BA731" s="267"/>
      <c r="BB731" s="267"/>
      <c r="BC731" s="4117">
        <f t="shared" si="195"/>
        <v>0</v>
      </c>
      <c r="BD731" s="4117">
        <f t="shared" si="196"/>
        <v>0</v>
      </c>
      <c r="BE731" s="5071"/>
      <c r="BF731" s="267"/>
      <c r="BG731" s="267"/>
      <c r="BH731" s="267"/>
    </row>
    <row r="732" spans="1:61" ht="76.5">
      <c r="A732" s="5966" t="s">
        <v>11004</v>
      </c>
      <c r="B732" s="338" t="s">
        <v>10178</v>
      </c>
      <c r="C732" s="321">
        <v>0</v>
      </c>
      <c r="D732" s="323">
        <v>43679</v>
      </c>
      <c r="E732" s="829" t="s">
        <v>6386</v>
      </c>
      <c r="F732" s="830" t="s">
        <v>6893</v>
      </c>
      <c r="G732" s="2620">
        <v>1.047839</v>
      </c>
      <c r="H732" s="332" t="s">
        <v>7099</v>
      </c>
      <c r="I732" s="339" t="s">
        <v>7100</v>
      </c>
      <c r="J732" s="322" t="s">
        <v>4306</v>
      </c>
      <c r="K732" s="340">
        <v>44410</v>
      </c>
      <c r="L732" s="339" t="s">
        <v>7101</v>
      </c>
      <c r="M732" s="322" t="s">
        <v>7102</v>
      </c>
      <c r="N732" s="339" t="s">
        <v>7103</v>
      </c>
      <c r="O732" s="332" t="s">
        <v>7105</v>
      </c>
      <c r="P732" s="345"/>
      <c r="Q732" s="6094" t="s">
        <v>5708</v>
      </c>
      <c r="R732" s="322" t="s">
        <v>5350</v>
      </c>
      <c r="S732" s="346"/>
      <c r="T732" s="347"/>
      <c r="U732" s="326"/>
      <c r="V732" s="348"/>
      <c r="W732" s="347"/>
      <c r="X732" s="326"/>
      <c r="Y732" s="348"/>
      <c r="Z732" s="347"/>
      <c r="AA732" s="326"/>
      <c r="AB732" s="348"/>
      <c r="AC732" s="347"/>
      <c r="AD732" s="326"/>
      <c r="AE732" s="348"/>
      <c r="AF732" s="347"/>
      <c r="AG732" s="326"/>
      <c r="AH732" s="348"/>
      <c r="AI732" s="482"/>
      <c r="AJ732" s="326">
        <v>0</v>
      </c>
      <c r="AK732" s="3917">
        <v>0</v>
      </c>
      <c r="AL732" s="349">
        <f t="shared" si="206"/>
        <v>0</v>
      </c>
      <c r="AM732" s="2002" t="s">
        <v>7481</v>
      </c>
      <c r="AN732" s="3357">
        <v>44764</v>
      </c>
      <c r="AO732" s="695" t="s">
        <v>10180</v>
      </c>
      <c r="AP732" s="3362" t="s">
        <v>10102</v>
      </c>
      <c r="AQ732" s="3555">
        <v>1.1100000000000001</v>
      </c>
      <c r="AR732" s="333"/>
      <c r="AS732" s="330"/>
      <c r="AT732" s="330"/>
      <c r="AU732" s="330"/>
      <c r="AV732" s="330"/>
      <c r="AW732" s="3156">
        <v>4350</v>
      </c>
      <c r="AX732" s="3140"/>
      <c r="BA732" s="267"/>
      <c r="BB732" s="267"/>
      <c r="BC732" s="4117">
        <f t="shared" si="195"/>
        <v>0</v>
      </c>
      <c r="BD732" s="4117">
        <f t="shared" si="196"/>
        <v>0</v>
      </c>
      <c r="BE732" s="5071"/>
      <c r="BF732" s="267"/>
      <c r="BG732" s="267"/>
      <c r="BH732" s="267"/>
    </row>
    <row r="733" spans="1:61" ht="127.5">
      <c r="A733" s="2418" t="s">
        <v>4276</v>
      </c>
      <c r="B733" s="338" t="s">
        <v>10183</v>
      </c>
      <c r="C733" s="321">
        <v>0</v>
      </c>
      <c r="D733" s="323">
        <v>44522</v>
      </c>
      <c r="E733" s="3058" t="s">
        <v>9156</v>
      </c>
      <c r="F733" s="830" t="s">
        <v>9005</v>
      </c>
      <c r="G733" s="5356">
        <v>1.0956269999999999</v>
      </c>
      <c r="H733" s="332" t="s">
        <v>9443</v>
      </c>
      <c r="I733" s="339" t="s">
        <v>5753</v>
      </c>
      <c r="J733" s="322" t="s">
        <v>2712</v>
      </c>
      <c r="K733" s="340">
        <v>45979</v>
      </c>
      <c r="L733" s="339" t="s">
        <v>9444</v>
      </c>
      <c r="M733" s="322" t="s">
        <v>9445</v>
      </c>
      <c r="N733" s="339" t="s">
        <v>9446</v>
      </c>
      <c r="O733" s="332" t="s">
        <v>9650</v>
      </c>
      <c r="P733" s="345"/>
      <c r="Q733" s="322" t="s">
        <v>8777</v>
      </c>
      <c r="R733" s="322" t="s">
        <v>8778</v>
      </c>
      <c r="S733" s="346"/>
      <c r="T733" s="347"/>
      <c r="U733" s="326"/>
      <c r="V733" s="348"/>
      <c r="W733" s="347"/>
      <c r="X733" s="326"/>
      <c r="Y733" s="348"/>
      <c r="Z733" s="347"/>
      <c r="AA733" s="326"/>
      <c r="AB733" s="348"/>
      <c r="AC733" s="347"/>
      <c r="AD733" s="326"/>
      <c r="AE733" s="348"/>
      <c r="AF733" s="347"/>
      <c r="AG733" s="326"/>
      <c r="AH733" s="348"/>
      <c r="AI733" s="482">
        <v>15682</v>
      </c>
      <c r="AJ733" s="326">
        <v>0</v>
      </c>
      <c r="AK733" s="3917">
        <v>0</v>
      </c>
      <c r="AL733" s="349">
        <f>AI733-AJ733-AK733</f>
        <v>15682</v>
      </c>
      <c r="AM733" s="2002" t="s">
        <v>1061</v>
      </c>
      <c r="AN733" s="3357">
        <v>44771</v>
      </c>
      <c r="AO733" s="695" t="s">
        <v>10184</v>
      </c>
      <c r="AP733" s="3362" t="s">
        <v>10102</v>
      </c>
      <c r="AQ733" s="3555">
        <v>1.1100000000000001</v>
      </c>
      <c r="AR733" s="333"/>
      <c r="AS733" s="330"/>
      <c r="AT733" s="330"/>
      <c r="AU733" s="330"/>
      <c r="AV733" s="330"/>
      <c r="AW733" s="3156">
        <f>ROUND(AL733*AQ733/G733,0)</f>
        <v>15888</v>
      </c>
      <c r="AX733" s="3140"/>
      <c r="BB733" s="267"/>
      <c r="BC733" s="4117">
        <f t="shared" si="195"/>
        <v>0</v>
      </c>
      <c r="BD733" s="4117">
        <f t="shared" si="196"/>
        <v>0</v>
      </c>
      <c r="BE733" s="5071"/>
      <c r="BF733" s="267"/>
      <c r="BG733" s="267"/>
      <c r="BH733" s="267"/>
    </row>
    <row r="734" spans="1:61" ht="89.25">
      <c r="A734" s="2418" t="s">
        <v>11003</v>
      </c>
      <c r="B734" s="338" t="s">
        <v>9778</v>
      </c>
      <c r="C734" s="321">
        <v>0</v>
      </c>
      <c r="D734" s="323">
        <v>44753</v>
      </c>
      <c r="E734" s="3058" t="s">
        <v>9156</v>
      </c>
      <c r="F734" s="830" t="s">
        <v>10101</v>
      </c>
      <c r="G734" s="5356">
        <v>1.1100000000000001</v>
      </c>
      <c r="H734" s="332" t="s">
        <v>10110</v>
      </c>
      <c r="I734" s="339" t="s">
        <v>10113</v>
      </c>
      <c r="J734" s="2399" t="s">
        <v>4306</v>
      </c>
      <c r="K734" s="340">
        <v>45484</v>
      </c>
      <c r="L734" s="339" t="s">
        <v>10120</v>
      </c>
      <c r="M734" s="322" t="s">
        <v>10121</v>
      </c>
      <c r="N734" s="339" t="s">
        <v>10122</v>
      </c>
      <c r="O734" s="322" t="s">
        <v>10121</v>
      </c>
      <c r="P734" s="345"/>
      <c r="Q734" s="6094" t="s">
        <v>9071</v>
      </c>
      <c r="R734" s="322" t="s">
        <v>581</v>
      </c>
      <c r="S734" s="346"/>
      <c r="T734" s="347"/>
      <c r="U734" s="326"/>
      <c r="V734" s="348"/>
      <c r="W734" s="347"/>
      <c r="X734" s="326"/>
      <c r="Y734" s="348"/>
      <c r="Z734" s="347"/>
      <c r="AA734" s="326"/>
      <c r="AB734" s="348"/>
      <c r="AC734" s="820"/>
      <c r="AD734" s="821"/>
      <c r="AE734" s="822"/>
      <c r="AF734" s="820"/>
      <c r="AG734" s="821"/>
      <c r="AH734" s="822"/>
      <c r="AI734" s="482">
        <v>6620</v>
      </c>
      <c r="AJ734" s="326">
        <v>0</v>
      </c>
      <c r="AK734" s="3917">
        <v>0</v>
      </c>
      <c r="AL734" s="349">
        <f>AI734-AJ734-AK734</f>
        <v>6620</v>
      </c>
      <c r="AM734" s="2002" t="s">
        <v>1061</v>
      </c>
      <c r="AN734" s="3357">
        <v>44771</v>
      </c>
      <c r="AO734" s="695" t="s">
        <v>10185</v>
      </c>
      <c r="AP734" s="3362" t="s">
        <v>10102</v>
      </c>
      <c r="AQ734" s="3555">
        <v>1.1100000000000001</v>
      </c>
      <c r="AR734" s="333"/>
      <c r="AS734" s="330"/>
      <c r="AT734" s="330"/>
      <c r="AU734" s="849"/>
      <c r="AV734" s="849"/>
      <c r="AW734" s="3156">
        <f>ROUND(AL734*AQ734/G734,0)</f>
        <v>6620</v>
      </c>
      <c r="AX734" s="3140"/>
      <c r="BB734" s="267"/>
      <c r="BC734" s="4117">
        <f t="shared" si="195"/>
        <v>0</v>
      </c>
      <c r="BD734" s="4117">
        <f t="shared" si="196"/>
        <v>0</v>
      </c>
      <c r="BE734" s="5071"/>
      <c r="BF734" s="267"/>
      <c r="BG734" s="267"/>
      <c r="BH734" s="267"/>
    </row>
    <row r="735" spans="1:61" ht="153.75" thickBot="1">
      <c r="A735" s="6080" t="s">
        <v>11004</v>
      </c>
      <c r="B735" s="5600" t="s">
        <v>10188</v>
      </c>
      <c r="C735" s="5710">
        <v>1</v>
      </c>
      <c r="D735" s="5711" t="s">
        <v>11121</v>
      </c>
      <c r="E735" s="5711" t="s">
        <v>6385</v>
      </c>
      <c r="F735" s="5712" t="s">
        <v>11120</v>
      </c>
      <c r="G735" s="5713">
        <v>1.0795220000000001</v>
      </c>
      <c r="H735" s="5714" t="s">
        <v>5332</v>
      </c>
      <c r="I735" s="5605" t="s">
        <v>1433</v>
      </c>
      <c r="J735" s="5715" t="s">
        <v>1434</v>
      </c>
      <c r="K735" s="5716">
        <v>44670</v>
      </c>
      <c r="L735" s="5605" t="s">
        <v>313</v>
      </c>
      <c r="M735" s="5715" t="s">
        <v>5333</v>
      </c>
      <c r="N735" s="5605" t="s">
        <v>5334</v>
      </c>
      <c r="O735" s="5714" t="s">
        <v>6311</v>
      </c>
      <c r="P735" s="5608" t="s">
        <v>10189</v>
      </c>
      <c r="Q735" s="5715" t="s">
        <v>5454</v>
      </c>
      <c r="R735" s="5715" t="s">
        <v>5335</v>
      </c>
      <c r="S735" s="5717"/>
      <c r="T735" s="5610">
        <v>40242</v>
      </c>
      <c r="U735" s="5718">
        <v>0</v>
      </c>
      <c r="V735" s="5719">
        <f t="shared" ref="V735" si="207">T735-U735</f>
        <v>40242</v>
      </c>
      <c r="W735" s="5610">
        <v>7102</v>
      </c>
      <c r="X735" s="5718">
        <v>0</v>
      </c>
      <c r="Y735" s="5719">
        <f t="shared" ref="Y735" si="208">W735-X735</f>
        <v>7102</v>
      </c>
      <c r="Z735" s="5610">
        <v>486</v>
      </c>
      <c r="AA735" s="5718">
        <v>0</v>
      </c>
      <c r="AB735" s="5719">
        <f t="shared" ref="AB735" si="209">Z735-AA735</f>
        <v>486</v>
      </c>
      <c r="AC735" s="5610"/>
      <c r="AD735" s="5718"/>
      <c r="AE735" s="5719"/>
      <c r="AF735" s="5610"/>
      <c r="AG735" s="5718"/>
      <c r="AH735" s="5719"/>
      <c r="AI735" s="5613"/>
      <c r="AJ735" s="5718">
        <f t="shared" ref="AJ735" si="210">U735+X735+AA735+AD735+AG735</f>
        <v>0</v>
      </c>
      <c r="AK735" s="5720">
        <v>0</v>
      </c>
      <c r="AL735" s="5721">
        <f t="shared" ref="AL735" si="211">AI735-AJ735-AK735</f>
        <v>0</v>
      </c>
      <c r="AM735" s="5616" t="s">
        <v>10190</v>
      </c>
      <c r="AN735" s="5722">
        <v>44771</v>
      </c>
      <c r="AO735" s="5723" t="s">
        <v>10191</v>
      </c>
      <c r="AP735" s="5724" t="s">
        <v>7957</v>
      </c>
      <c r="AQ735" s="5725">
        <v>1.0795220000000001</v>
      </c>
      <c r="AR735" s="5619">
        <v>0</v>
      </c>
      <c r="AS735" s="5726">
        <v>0</v>
      </c>
      <c r="AT735" s="5726">
        <v>0</v>
      </c>
      <c r="AU735" s="5726">
        <v>0</v>
      </c>
      <c r="AV735" s="5726">
        <v>0</v>
      </c>
      <c r="AW735" s="5727">
        <v>10000</v>
      </c>
      <c r="AX735" s="5623"/>
      <c r="AY735" s="4031" t="s">
        <v>10163</v>
      </c>
      <c r="AZ735" s="3857">
        <f>SUM(AW728:AW735)</f>
        <v>50779.78</v>
      </c>
      <c r="BA735" s="1663">
        <f>AZ735</f>
        <v>50779.78</v>
      </c>
      <c r="BB735" s="267"/>
      <c r="BC735" s="4117">
        <f t="shared" si="195"/>
        <v>0</v>
      </c>
      <c r="BD735" s="4117">
        <f t="shared" si="196"/>
        <v>0</v>
      </c>
      <c r="BE735" s="5071"/>
      <c r="BF735" s="267"/>
      <c r="BG735" s="267"/>
      <c r="BH735" s="267"/>
    </row>
    <row r="736" spans="1:61" ht="89.25">
      <c r="A736" s="5981" t="s">
        <v>4276</v>
      </c>
      <c r="B736" s="1538" t="s">
        <v>8650</v>
      </c>
      <c r="C736" s="1509">
        <v>0</v>
      </c>
      <c r="D736" s="1510">
        <v>42906</v>
      </c>
      <c r="E736" s="3053" t="s">
        <v>6385</v>
      </c>
      <c r="F736" s="1511" t="s">
        <v>4154</v>
      </c>
      <c r="G736" s="2663">
        <v>1.0111000000000001</v>
      </c>
      <c r="H736" s="1513" t="s">
        <v>8649</v>
      </c>
      <c r="I736" s="1514" t="s">
        <v>1433</v>
      </c>
      <c r="J736" s="1515" t="s">
        <v>1434</v>
      </c>
      <c r="K736" s="1516" t="s">
        <v>9025</v>
      </c>
      <c r="L736" s="1514" t="s">
        <v>4662</v>
      </c>
      <c r="M736" s="1515" t="s">
        <v>1957</v>
      </c>
      <c r="N736" s="1514" t="s">
        <v>8648</v>
      </c>
      <c r="O736" s="1513" t="s">
        <v>8647</v>
      </c>
      <c r="P736" s="2215" t="s">
        <v>10186</v>
      </c>
      <c r="Q736" s="1515" t="s">
        <v>4665</v>
      </c>
      <c r="R736" s="1515" t="s">
        <v>4664</v>
      </c>
      <c r="S736" s="1518" t="s">
        <v>10187</v>
      </c>
      <c r="T736" s="1519">
        <v>75701</v>
      </c>
      <c r="U736" s="1504">
        <v>0</v>
      </c>
      <c r="V736" s="1520">
        <f>T736-U736</f>
        <v>75701</v>
      </c>
      <c r="W736" s="1519">
        <v>118907</v>
      </c>
      <c r="X736" s="1504">
        <v>0</v>
      </c>
      <c r="Y736" s="1520">
        <f>W736-X736</f>
        <v>118907</v>
      </c>
      <c r="Z736" s="1519">
        <v>23781</v>
      </c>
      <c r="AA736" s="1504">
        <v>0</v>
      </c>
      <c r="AB736" s="1520">
        <f>Z736-AA736</f>
        <v>23781</v>
      </c>
      <c r="AC736" s="1519"/>
      <c r="AD736" s="1504"/>
      <c r="AE736" s="1520"/>
      <c r="AF736" s="1519"/>
      <c r="AG736" s="1504"/>
      <c r="AH736" s="1520"/>
      <c r="AI736" s="1503">
        <v>237813</v>
      </c>
      <c r="AJ736" s="1504">
        <f>U736+X736+AA736+AD736+AG736</f>
        <v>0</v>
      </c>
      <c r="AK736" s="3919">
        <v>19424</v>
      </c>
      <c r="AL736" s="1505">
        <f t="shared" ref="AL736:AL741" si="212">AI736-AJ736-AK736</f>
        <v>218389</v>
      </c>
      <c r="AM736" s="1508" t="s">
        <v>1061</v>
      </c>
      <c r="AN736" s="3401">
        <v>44774</v>
      </c>
      <c r="AO736" s="3402" t="s">
        <v>10194</v>
      </c>
      <c r="AP736" s="2664" t="s">
        <v>10102</v>
      </c>
      <c r="AQ736" s="2806">
        <v>1.1100000000000001</v>
      </c>
      <c r="AR736" s="1506">
        <v>0</v>
      </c>
      <c r="AS736" s="1507">
        <v>0</v>
      </c>
      <c r="AT736" s="1507">
        <v>0</v>
      </c>
      <c r="AU736" s="1507">
        <v>0</v>
      </c>
      <c r="AV736" s="1507">
        <v>0</v>
      </c>
      <c r="AW736" s="3247">
        <f>ROUND(AL736*AQ736/G736,0)</f>
        <v>239751</v>
      </c>
      <c r="AX736" s="3146"/>
      <c r="BB736" s="267"/>
      <c r="BC736" s="4117">
        <f t="shared" si="195"/>
        <v>0</v>
      </c>
      <c r="BD736" s="4117">
        <f t="shared" si="196"/>
        <v>21324</v>
      </c>
      <c r="BE736" s="5071"/>
      <c r="BF736" s="267"/>
      <c r="BG736" s="267"/>
      <c r="BH736" s="267"/>
    </row>
    <row r="737" spans="1:60" ht="76.5">
      <c r="A737" s="5981" t="s">
        <v>4276</v>
      </c>
      <c r="B737" s="1538" t="s">
        <v>8800</v>
      </c>
      <c r="C737" s="1509">
        <v>0</v>
      </c>
      <c r="D737" s="1510">
        <v>44523</v>
      </c>
      <c r="E737" s="4344" t="s">
        <v>9156</v>
      </c>
      <c r="F737" s="2497" t="s">
        <v>9005</v>
      </c>
      <c r="G737" s="5387">
        <v>1.0956269999999999</v>
      </c>
      <c r="H737" s="1513" t="s">
        <v>9447</v>
      </c>
      <c r="I737" s="1514" t="s">
        <v>9449</v>
      </c>
      <c r="J737" s="4345" t="s">
        <v>4306</v>
      </c>
      <c r="K737" s="1516">
        <v>45253</v>
      </c>
      <c r="L737" s="1514" t="s">
        <v>8739</v>
      </c>
      <c r="M737" s="1515" t="s">
        <v>8740</v>
      </c>
      <c r="N737" s="1514" t="s">
        <v>9450</v>
      </c>
      <c r="O737" s="1513" t="s">
        <v>9451</v>
      </c>
      <c r="P737" s="1517"/>
      <c r="Q737" s="6094" t="s">
        <v>9047</v>
      </c>
      <c r="R737" s="1515" t="s">
        <v>945</v>
      </c>
      <c r="S737" s="1518"/>
      <c r="T737" s="1519"/>
      <c r="U737" s="1504"/>
      <c r="V737" s="1520"/>
      <c r="W737" s="1519"/>
      <c r="X737" s="1504"/>
      <c r="Y737" s="1520"/>
      <c r="Z737" s="1519"/>
      <c r="AA737" s="1504"/>
      <c r="AB737" s="1520"/>
      <c r="AC737" s="1519"/>
      <c r="AD737" s="1504"/>
      <c r="AE737" s="1520"/>
      <c r="AF737" s="1519"/>
      <c r="AG737" s="1504"/>
      <c r="AH737" s="1520"/>
      <c r="AI737" s="1503">
        <v>6534</v>
      </c>
      <c r="AJ737" s="1504">
        <v>0</v>
      </c>
      <c r="AK737" s="3919">
        <v>0</v>
      </c>
      <c r="AL737" s="1505">
        <f t="shared" si="212"/>
        <v>6534</v>
      </c>
      <c r="AM737" s="1508" t="s">
        <v>1061</v>
      </c>
      <c r="AN737" s="3401">
        <v>44775</v>
      </c>
      <c r="AO737" s="3402" t="s">
        <v>10195</v>
      </c>
      <c r="AP737" s="2905" t="s">
        <v>10102</v>
      </c>
      <c r="AQ737" s="2906">
        <v>1.1100000000000001</v>
      </c>
      <c r="AR737" s="1506"/>
      <c r="AS737" s="1507"/>
      <c r="AT737" s="1507"/>
      <c r="AU737" s="1507"/>
      <c r="AV737" s="1507"/>
      <c r="AW737" s="3247">
        <f>ROUND(AL737*AQ737/G737,0)</f>
        <v>6620</v>
      </c>
      <c r="AX737" s="3146"/>
      <c r="BA737" s="267"/>
      <c r="BB737" s="267"/>
      <c r="BC737" s="4117">
        <f t="shared" si="195"/>
        <v>0</v>
      </c>
      <c r="BD737" s="4117">
        <f t="shared" si="196"/>
        <v>0</v>
      </c>
      <c r="BE737" s="5071"/>
      <c r="BF737" s="267"/>
      <c r="BG737" s="267"/>
      <c r="BH737" s="267"/>
    </row>
    <row r="738" spans="1:60" ht="76.5">
      <c r="A738" s="6017" t="s">
        <v>4276</v>
      </c>
      <c r="B738" s="1538" t="s">
        <v>10196</v>
      </c>
      <c r="C738" s="1509">
        <v>0</v>
      </c>
      <c r="D738" s="1510">
        <v>43679</v>
      </c>
      <c r="E738" s="2300" t="s">
        <v>6386</v>
      </c>
      <c r="F738" s="2497" t="s">
        <v>6893</v>
      </c>
      <c r="G738" s="3110">
        <v>1.047839</v>
      </c>
      <c r="H738" s="1513" t="s">
        <v>7099</v>
      </c>
      <c r="I738" s="1514" t="s">
        <v>7100</v>
      </c>
      <c r="J738" s="1515" t="s">
        <v>4306</v>
      </c>
      <c r="K738" s="1516">
        <v>44410</v>
      </c>
      <c r="L738" s="1514" t="s">
        <v>7101</v>
      </c>
      <c r="M738" s="1515" t="s">
        <v>7102</v>
      </c>
      <c r="N738" s="1514" t="s">
        <v>7103</v>
      </c>
      <c r="O738" s="1513" t="s">
        <v>7105</v>
      </c>
      <c r="P738" s="1517" t="s">
        <v>10181</v>
      </c>
      <c r="Q738" s="6094" t="s">
        <v>5708</v>
      </c>
      <c r="R738" s="1515" t="s">
        <v>5350</v>
      </c>
      <c r="S738" s="1518"/>
      <c r="T738" s="1519"/>
      <c r="U738" s="1504"/>
      <c r="V738" s="1520"/>
      <c r="W738" s="1519"/>
      <c r="X738" s="1504"/>
      <c r="Y738" s="1520"/>
      <c r="Z738" s="1519"/>
      <c r="AA738" s="1504"/>
      <c r="AB738" s="1520"/>
      <c r="AC738" s="1519"/>
      <c r="AD738" s="1504"/>
      <c r="AE738" s="1520"/>
      <c r="AF738" s="1519"/>
      <c r="AG738" s="1504"/>
      <c r="AH738" s="1520"/>
      <c r="AI738" s="1503">
        <v>6249</v>
      </c>
      <c r="AJ738" s="1504">
        <v>0</v>
      </c>
      <c r="AK738" s="3919">
        <v>0</v>
      </c>
      <c r="AL738" s="1505">
        <f t="shared" si="212"/>
        <v>6249</v>
      </c>
      <c r="AM738" s="5263" t="s">
        <v>10198</v>
      </c>
      <c r="AN738" s="3587">
        <v>44776</v>
      </c>
      <c r="AO738" s="5728" t="s">
        <v>10199</v>
      </c>
      <c r="AP738" s="2905" t="s">
        <v>10197</v>
      </c>
      <c r="AQ738" s="2906">
        <v>1.1100000000000001</v>
      </c>
      <c r="AR738" s="1506"/>
      <c r="AS738" s="1507"/>
      <c r="AT738" s="1507"/>
      <c r="AU738" s="1507"/>
      <c r="AV738" s="1507"/>
      <c r="AW738" s="3247">
        <f>2475</f>
        <v>2475</v>
      </c>
      <c r="AX738" s="3146"/>
      <c r="BA738" s="267"/>
      <c r="BB738" s="267"/>
      <c r="BC738" s="4117">
        <f t="shared" si="195"/>
        <v>0</v>
      </c>
      <c r="BD738" s="4117">
        <f t="shared" si="196"/>
        <v>0</v>
      </c>
      <c r="BE738" s="5071"/>
      <c r="BF738" s="267"/>
      <c r="BG738" s="267"/>
      <c r="BH738" s="267"/>
    </row>
    <row r="739" spans="1:60" ht="89.25">
      <c r="A739" s="5981" t="s">
        <v>4276</v>
      </c>
      <c r="B739" s="5628" t="s">
        <v>10202</v>
      </c>
      <c r="C739" s="1509">
        <v>0</v>
      </c>
      <c r="D739" s="1510">
        <v>44314</v>
      </c>
      <c r="E739" s="4344" t="s">
        <v>8170</v>
      </c>
      <c r="F739" s="1511" t="s">
        <v>7957</v>
      </c>
      <c r="G739" s="2663">
        <v>1.0795220000000001</v>
      </c>
      <c r="H739" s="5140" t="s">
        <v>8751</v>
      </c>
      <c r="I739" s="5051" t="s">
        <v>8752</v>
      </c>
      <c r="J739" s="4345" t="s">
        <v>4306</v>
      </c>
      <c r="K739" s="1516">
        <v>45044</v>
      </c>
      <c r="L739" s="1514" t="s">
        <v>8753</v>
      </c>
      <c r="M739" s="1515" t="s">
        <v>8754</v>
      </c>
      <c r="N739" s="1514" t="s">
        <v>8755</v>
      </c>
      <c r="O739" s="1513" t="s">
        <v>8756</v>
      </c>
      <c r="P739" s="1517"/>
      <c r="Q739" s="6094" t="s">
        <v>5708</v>
      </c>
      <c r="R739" s="1515" t="s">
        <v>5350</v>
      </c>
      <c r="S739" s="1518"/>
      <c r="T739" s="1519"/>
      <c r="U739" s="1504"/>
      <c r="V739" s="1520"/>
      <c r="W739" s="1519"/>
      <c r="X739" s="1504"/>
      <c r="Y739" s="1520"/>
      <c r="Z739" s="1519"/>
      <c r="AA739" s="1504"/>
      <c r="AB739" s="1520"/>
      <c r="AC739" s="1519"/>
      <c r="AD739" s="1504"/>
      <c r="AE739" s="1520"/>
      <c r="AF739" s="1519"/>
      <c r="AG739" s="1504"/>
      <c r="AH739" s="1520"/>
      <c r="AI739" s="1503">
        <v>6437</v>
      </c>
      <c r="AJ739" s="1504">
        <v>0</v>
      </c>
      <c r="AK739" s="3919">
        <v>0</v>
      </c>
      <c r="AL739" s="1505">
        <f t="shared" si="212"/>
        <v>6437</v>
      </c>
      <c r="AM739" s="1508" t="s">
        <v>1061</v>
      </c>
      <c r="AN739" s="3401">
        <v>44776</v>
      </c>
      <c r="AO739" s="3402" t="s">
        <v>10200</v>
      </c>
      <c r="AP739" s="2905" t="s">
        <v>10102</v>
      </c>
      <c r="AQ739" s="2906">
        <v>1.1100000000000001</v>
      </c>
      <c r="AR739" s="1506"/>
      <c r="AS739" s="1507"/>
      <c r="AT739" s="1507"/>
      <c r="AU739" s="1507"/>
      <c r="AV739" s="1507"/>
      <c r="AW739" s="3247">
        <f>ROUND(AL739*AQ739/G739,0)</f>
        <v>6619</v>
      </c>
      <c r="AX739" s="3146"/>
      <c r="BA739" s="267"/>
      <c r="BB739" s="267"/>
      <c r="BC739" s="4117">
        <f t="shared" si="195"/>
        <v>0</v>
      </c>
      <c r="BD739" s="4117">
        <f t="shared" si="196"/>
        <v>0</v>
      </c>
      <c r="BE739" s="5071"/>
      <c r="BF739" s="267"/>
      <c r="BG739" s="267"/>
      <c r="BH739" s="267"/>
    </row>
    <row r="740" spans="1:60" ht="102">
      <c r="A740" s="5981" t="s">
        <v>4276</v>
      </c>
      <c r="B740" s="1538" t="s">
        <v>10203</v>
      </c>
      <c r="C740" s="1509">
        <v>0</v>
      </c>
      <c r="D740" s="1510">
        <v>44235</v>
      </c>
      <c r="E740" s="4344" t="s">
        <v>8170</v>
      </c>
      <c r="F740" s="1511" t="s">
        <v>7957</v>
      </c>
      <c r="G740" s="2663">
        <v>1.0795220000000001</v>
      </c>
      <c r="H740" s="1513" t="s">
        <v>8527</v>
      </c>
      <c r="I740" s="1514" t="s">
        <v>1433</v>
      </c>
      <c r="J740" s="1515" t="s">
        <v>1434</v>
      </c>
      <c r="K740" s="1516">
        <v>46420</v>
      </c>
      <c r="L740" s="1514" t="s">
        <v>8521</v>
      </c>
      <c r="M740" s="1515" t="s">
        <v>7838</v>
      </c>
      <c r="N740" s="1514" t="s">
        <v>8523</v>
      </c>
      <c r="O740" s="1513" t="s">
        <v>8522</v>
      </c>
      <c r="P740" s="1517"/>
      <c r="Q740" s="1515" t="s">
        <v>8526</v>
      </c>
      <c r="R740" s="1515" t="s">
        <v>8524</v>
      </c>
      <c r="S740" s="1518" t="s">
        <v>8525</v>
      </c>
      <c r="T740" s="1519"/>
      <c r="U740" s="1504"/>
      <c r="V740" s="1520"/>
      <c r="W740" s="1519"/>
      <c r="X740" s="1504"/>
      <c r="Y740" s="1520"/>
      <c r="Z740" s="1519"/>
      <c r="AA740" s="1504"/>
      <c r="AB740" s="1520"/>
      <c r="AC740" s="1519"/>
      <c r="AD740" s="1504"/>
      <c r="AE740" s="1520"/>
      <c r="AF740" s="1519"/>
      <c r="AG740" s="1504"/>
      <c r="AH740" s="1520"/>
      <c r="AI740" s="1503">
        <v>27933</v>
      </c>
      <c r="AJ740" s="1504">
        <v>0</v>
      </c>
      <c r="AK740" s="3919">
        <v>1015</v>
      </c>
      <c r="AL740" s="1505">
        <f t="shared" si="212"/>
        <v>26918</v>
      </c>
      <c r="AM740" s="1508" t="s">
        <v>1061</v>
      </c>
      <c r="AN740" s="3401">
        <v>44777</v>
      </c>
      <c r="AO740" s="3402" t="s">
        <v>10201</v>
      </c>
      <c r="AP740" s="2905" t="s">
        <v>10102</v>
      </c>
      <c r="AQ740" s="2906">
        <v>1.1100000000000001</v>
      </c>
      <c r="AR740" s="1506"/>
      <c r="AS740" s="1507"/>
      <c r="AT740" s="1507"/>
      <c r="AU740" s="1507"/>
      <c r="AV740" s="1507"/>
      <c r="AW740" s="3247">
        <f>ROUND(AL740*AQ740/G740,0)</f>
        <v>27678</v>
      </c>
      <c r="AX740" s="3146"/>
      <c r="BA740" s="267"/>
      <c r="BB740" s="267"/>
      <c r="BC740" s="4117">
        <f t="shared" si="195"/>
        <v>0</v>
      </c>
      <c r="BD740" s="4117">
        <f t="shared" si="196"/>
        <v>1044</v>
      </c>
      <c r="BE740" s="5071"/>
      <c r="BF740" s="267"/>
      <c r="BG740" s="267"/>
      <c r="BH740" s="267"/>
    </row>
    <row r="741" spans="1:60" ht="89.25">
      <c r="A741" s="5981" t="s">
        <v>4276</v>
      </c>
      <c r="B741" s="1538" t="s">
        <v>10182</v>
      </c>
      <c r="C741" s="1509">
        <v>0</v>
      </c>
      <c r="D741" s="1510">
        <v>44216</v>
      </c>
      <c r="E741" s="4344" t="s">
        <v>8170</v>
      </c>
      <c r="F741" s="1511" t="s">
        <v>7957</v>
      </c>
      <c r="G741" s="2663">
        <v>1.0795220000000001</v>
      </c>
      <c r="H741" s="1513" t="s">
        <v>8498</v>
      </c>
      <c r="I741" s="5260" t="s">
        <v>8559</v>
      </c>
      <c r="J741" s="4345" t="s">
        <v>4306</v>
      </c>
      <c r="K741" s="1516">
        <v>44946</v>
      </c>
      <c r="L741" s="1514" t="s">
        <v>8492</v>
      </c>
      <c r="M741" s="1515" t="s">
        <v>8493</v>
      </c>
      <c r="N741" s="1514" t="s">
        <v>8494</v>
      </c>
      <c r="O741" s="1513" t="s">
        <v>8495</v>
      </c>
      <c r="P741" s="1517"/>
      <c r="Q741" s="6094" t="s">
        <v>5708</v>
      </c>
      <c r="R741" s="1515" t="s">
        <v>5350</v>
      </c>
      <c r="S741" s="1518"/>
      <c r="T741" s="1519"/>
      <c r="U741" s="1504"/>
      <c r="V741" s="1520"/>
      <c r="W741" s="1519"/>
      <c r="X741" s="1504"/>
      <c r="Y741" s="1520"/>
      <c r="Z741" s="1519"/>
      <c r="AA741" s="1504"/>
      <c r="AB741" s="1520"/>
      <c r="AC741" s="1519"/>
      <c r="AD741" s="1504"/>
      <c r="AE741" s="1520"/>
      <c r="AF741" s="1519"/>
      <c r="AG741" s="1504"/>
      <c r="AH741" s="1520"/>
      <c r="AI741" s="1503">
        <v>5484</v>
      </c>
      <c r="AJ741" s="1504">
        <v>0</v>
      </c>
      <c r="AK741" s="3919">
        <v>0</v>
      </c>
      <c r="AL741" s="1505">
        <f t="shared" si="212"/>
        <v>5484</v>
      </c>
      <c r="AM741" s="1508" t="s">
        <v>1061</v>
      </c>
      <c r="AN741" s="3401">
        <v>44778</v>
      </c>
      <c r="AO741" s="3402" t="s">
        <v>10204</v>
      </c>
      <c r="AP741" s="2905" t="s">
        <v>10102</v>
      </c>
      <c r="AQ741" s="2906">
        <v>1.1100000000000001</v>
      </c>
      <c r="AR741" s="1506"/>
      <c r="AS741" s="1507"/>
      <c r="AT741" s="1507"/>
      <c r="AU741" s="1507"/>
      <c r="AV741" s="1507"/>
      <c r="AW741" s="3247">
        <f>ROUND(AL741*AQ741/G741,0)</f>
        <v>5639</v>
      </c>
      <c r="AX741" s="3146"/>
      <c r="BA741" s="267"/>
      <c r="BB741" s="267"/>
      <c r="BC741" s="4117">
        <f t="shared" si="195"/>
        <v>0</v>
      </c>
      <c r="BD741" s="4117">
        <f t="shared" si="196"/>
        <v>0</v>
      </c>
      <c r="BE741" s="5071"/>
      <c r="BF741" s="267"/>
      <c r="BG741" s="267"/>
      <c r="BH741" s="267"/>
    </row>
    <row r="742" spans="1:60" ht="76.5">
      <c r="A742" s="5981" t="s">
        <v>4276</v>
      </c>
      <c r="B742" s="1538" t="s">
        <v>10268</v>
      </c>
      <c r="C742" s="1509">
        <v>0</v>
      </c>
      <c r="D742" s="1510">
        <v>44411</v>
      </c>
      <c r="E742" s="4344" t="s">
        <v>8170</v>
      </c>
      <c r="F742" s="2497" t="s">
        <v>9005</v>
      </c>
      <c r="G742" s="5387">
        <v>1.0956269999999999</v>
      </c>
      <c r="H742" s="1513" t="s">
        <v>9067</v>
      </c>
      <c r="I742" s="1514" t="s">
        <v>9042</v>
      </c>
      <c r="J742" s="4345" t="s">
        <v>4306</v>
      </c>
      <c r="K742" s="1516">
        <v>46591</v>
      </c>
      <c r="L742" s="1514" t="s">
        <v>9068</v>
      </c>
      <c r="M742" s="1515" t="s">
        <v>9069</v>
      </c>
      <c r="N742" s="1514" t="s">
        <v>9070</v>
      </c>
      <c r="O742" s="1513" t="s">
        <v>9570</v>
      </c>
      <c r="P742" s="1517"/>
      <c r="Q742" s="6094" t="s">
        <v>9071</v>
      </c>
      <c r="R742" s="1515" t="s">
        <v>536</v>
      </c>
      <c r="S742" s="1518"/>
      <c r="T742" s="1519"/>
      <c r="U742" s="1504"/>
      <c r="V742" s="1520"/>
      <c r="W742" s="1519"/>
      <c r="X742" s="1504"/>
      <c r="Y742" s="1520"/>
      <c r="Z742" s="1519"/>
      <c r="AA742" s="1504"/>
      <c r="AB742" s="1520"/>
      <c r="AC742" s="1519"/>
      <c r="AD742" s="1504"/>
      <c r="AE742" s="1520"/>
      <c r="AF742" s="1519"/>
      <c r="AG742" s="1504"/>
      <c r="AH742" s="1520"/>
      <c r="AI742" s="1503">
        <v>5566</v>
      </c>
      <c r="AJ742" s="1504">
        <v>0</v>
      </c>
      <c r="AK742" s="3919">
        <v>0</v>
      </c>
      <c r="AL742" s="1505">
        <f>AI742-AJ742-AK742</f>
        <v>5566</v>
      </c>
      <c r="AM742" s="1508" t="s">
        <v>1061</v>
      </c>
      <c r="AN742" s="3401">
        <v>44790</v>
      </c>
      <c r="AO742" s="3402" t="s">
        <v>10241</v>
      </c>
      <c r="AP742" s="2905" t="s">
        <v>10102</v>
      </c>
      <c r="AQ742" s="2906">
        <v>1.1100000000000001</v>
      </c>
      <c r="AR742" s="1506"/>
      <c r="AS742" s="1507"/>
      <c r="AT742" s="1507"/>
      <c r="AU742" s="1507"/>
      <c r="AV742" s="1507"/>
      <c r="AW742" s="3247">
        <f>ROUND(AL742*AQ742/G742,0)</f>
        <v>5639</v>
      </c>
      <c r="AX742" s="3146"/>
      <c r="BB742" s="267"/>
      <c r="BC742" s="4117">
        <f t="shared" si="195"/>
        <v>0</v>
      </c>
      <c r="BD742" s="4117">
        <f t="shared" si="196"/>
        <v>0</v>
      </c>
      <c r="BE742" s="5071"/>
      <c r="BF742" s="267"/>
      <c r="BG742" s="267"/>
      <c r="BH742" s="267"/>
    </row>
    <row r="743" spans="1:60" ht="89.25">
      <c r="A743" s="5981" t="s">
        <v>4276</v>
      </c>
      <c r="B743" s="1538" t="s">
        <v>10265</v>
      </c>
      <c r="C743" s="1509">
        <v>0</v>
      </c>
      <c r="D743" s="1510">
        <v>44790</v>
      </c>
      <c r="E743" s="4344" t="s">
        <v>9156</v>
      </c>
      <c r="F743" s="2497" t="s">
        <v>10101</v>
      </c>
      <c r="G743" s="5387">
        <v>1.1100000000000001</v>
      </c>
      <c r="H743" s="1513" t="s">
        <v>10230</v>
      </c>
      <c r="I743" s="1514" t="s">
        <v>9560</v>
      </c>
      <c r="J743" s="4345" t="s">
        <v>4306</v>
      </c>
      <c r="K743" s="1516">
        <v>45521</v>
      </c>
      <c r="L743" s="1514" t="s">
        <v>10231</v>
      </c>
      <c r="M743" s="1515" t="s">
        <v>10232</v>
      </c>
      <c r="N743" s="1514" t="s">
        <v>10233</v>
      </c>
      <c r="O743" s="1513" t="s">
        <v>10266</v>
      </c>
      <c r="P743" s="1517"/>
      <c r="Q743" s="6094" t="s">
        <v>9071</v>
      </c>
      <c r="R743" s="1515" t="s">
        <v>536</v>
      </c>
      <c r="S743" s="1518"/>
      <c r="T743" s="1519"/>
      <c r="U743" s="1504"/>
      <c r="V743" s="1520"/>
      <c r="W743" s="1519"/>
      <c r="X743" s="1504"/>
      <c r="Y743" s="1520"/>
      <c r="Z743" s="1519"/>
      <c r="AA743" s="1504"/>
      <c r="AB743" s="1520"/>
      <c r="AC743" s="1519"/>
      <c r="AD743" s="1504"/>
      <c r="AE743" s="1520"/>
      <c r="AF743" s="1519"/>
      <c r="AG743" s="1504"/>
      <c r="AH743" s="1520"/>
      <c r="AI743" s="1503">
        <v>5640</v>
      </c>
      <c r="AJ743" s="1504">
        <v>0</v>
      </c>
      <c r="AK743" s="3919">
        <v>0</v>
      </c>
      <c r="AL743" s="1505">
        <f>AI743-AJ743-AK743</f>
        <v>5640</v>
      </c>
      <c r="AM743" s="1508" t="s">
        <v>1061</v>
      </c>
      <c r="AN743" s="3401">
        <v>44791</v>
      </c>
      <c r="AO743" s="3402" t="s">
        <v>10267</v>
      </c>
      <c r="AP743" s="2905" t="s">
        <v>10102</v>
      </c>
      <c r="AQ743" s="2906">
        <v>1.1100000000000001</v>
      </c>
      <c r="AR743" s="1506"/>
      <c r="AS743" s="1507"/>
      <c r="AT743" s="1507"/>
      <c r="AU743" s="1507"/>
      <c r="AV743" s="1507"/>
      <c r="AW743" s="3247">
        <f>ROUND(AL743*AQ743/G743,0)</f>
        <v>5640</v>
      </c>
      <c r="AX743" s="3146"/>
      <c r="BA743" s="267"/>
      <c r="BB743" s="267"/>
      <c r="BC743" s="4117">
        <f t="shared" si="195"/>
        <v>0</v>
      </c>
      <c r="BD743" s="4117">
        <f t="shared" si="196"/>
        <v>0</v>
      </c>
      <c r="BE743" s="5071"/>
      <c r="BF743" s="267"/>
      <c r="BG743" s="267"/>
      <c r="BH743" s="267"/>
    </row>
    <row r="744" spans="1:60" ht="114.75">
      <c r="A744" s="5981" t="s">
        <v>4276</v>
      </c>
      <c r="B744" s="1538" t="s">
        <v>10306</v>
      </c>
      <c r="C744" s="1509">
        <v>0</v>
      </c>
      <c r="D744" s="1510">
        <v>44637</v>
      </c>
      <c r="E744" s="4344" t="s">
        <v>9156</v>
      </c>
      <c r="F744" s="2497" t="s">
        <v>9005</v>
      </c>
      <c r="G744" s="5387">
        <v>1.0956269999999999</v>
      </c>
      <c r="H744" s="1513" t="s">
        <v>9736</v>
      </c>
      <c r="I744" s="1514" t="s">
        <v>9731</v>
      </c>
      <c r="J744" s="4345" t="s">
        <v>4306</v>
      </c>
      <c r="K744" s="1516">
        <v>45360</v>
      </c>
      <c r="L744" s="1514" t="s">
        <v>9732</v>
      </c>
      <c r="M744" s="1515" t="s">
        <v>9733</v>
      </c>
      <c r="N744" s="1514" t="s">
        <v>9735</v>
      </c>
      <c r="O744" s="1513" t="s">
        <v>9734</v>
      </c>
      <c r="P744" s="1517" t="s">
        <v>10304</v>
      </c>
      <c r="Q744" s="1515" t="s">
        <v>9737</v>
      </c>
      <c r="R744" s="1515" t="s">
        <v>129</v>
      </c>
      <c r="S744" s="1518"/>
      <c r="T744" s="1519"/>
      <c r="U744" s="1504"/>
      <c r="V744" s="1520"/>
      <c r="W744" s="1519"/>
      <c r="X744" s="1504"/>
      <c r="Y744" s="1520"/>
      <c r="Z744" s="1519"/>
      <c r="AA744" s="1504"/>
      <c r="AB744" s="1520"/>
      <c r="AC744" s="1519"/>
      <c r="AD744" s="1504"/>
      <c r="AE744" s="1520"/>
      <c r="AF744" s="1519"/>
      <c r="AG744" s="1504"/>
      <c r="AH744" s="1520"/>
      <c r="AI744" s="1503">
        <v>0</v>
      </c>
      <c r="AJ744" s="1504">
        <v>0</v>
      </c>
      <c r="AK744" s="3919">
        <v>0</v>
      </c>
      <c r="AL744" s="1505">
        <f t="shared" ref="AL744" si="213">AI744-AJ744-AK744</f>
        <v>0</v>
      </c>
      <c r="AM744" s="4219" t="s">
        <v>4488</v>
      </c>
      <c r="AN744" s="3401">
        <v>44798</v>
      </c>
      <c r="AO744" s="3402" t="s">
        <v>10305</v>
      </c>
      <c r="AP744" s="3539" t="s">
        <v>9004</v>
      </c>
      <c r="AQ744" s="4189">
        <v>1.0956269999999999</v>
      </c>
      <c r="AR744" s="1506"/>
      <c r="AS744" s="1507"/>
      <c r="AT744" s="1507"/>
      <c r="AU744" s="1507"/>
      <c r="AV744" s="1507"/>
      <c r="AW744" s="3247">
        <v>1728.89</v>
      </c>
      <c r="AX744" s="3146"/>
      <c r="BB744" s="267"/>
      <c r="BC744" s="4117">
        <f t="shared" si="195"/>
        <v>0</v>
      </c>
      <c r="BD744" s="4117">
        <f t="shared" si="196"/>
        <v>0</v>
      </c>
      <c r="BE744" s="5071"/>
      <c r="BF744" s="267"/>
      <c r="BG744" s="267"/>
      <c r="BH744" s="267"/>
    </row>
    <row r="745" spans="1:60" ht="89.25">
      <c r="A745" s="5981" t="s">
        <v>4276</v>
      </c>
      <c r="B745" s="1538" t="s">
        <v>10310</v>
      </c>
      <c r="C745" s="1509">
        <v>0</v>
      </c>
      <c r="D745" s="1510">
        <v>44433</v>
      </c>
      <c r="E745" s="4344" t="s">
        <v>9156</v>
      </c>
      <c r="F745" s="2497" t="s">
        <v>9005</v>
      </c>
      <c r="G745" s="5387">
        <v>1.0956269999999999</v>
      </c>
      <c r="H745" s="1513" t="s">
        <v>9134</v>
      </c>
      <c r="I745" s="1514" t="s">
        <v>9136</v>
      </c>
      <c r="J745" s="4345" t="s">
        <v>4306</v>
      </c>
      <c r="K745" s="1516">
        <v>45163</v>
      </c>
      <c r="L745" s="1514" t="s">
        <v>9141</v>
      </c>
      <c r="M745" s="1515" t="s">
        <v>9142</v>
      </c>
      <c r="N745" s="1514" t="s">
        <v>9143</v>
      </c>
      <c r="O745" s="1515" t="s">
        <v>9142</v>
      </c>
      <c r="P745" s="1517"/>
      <c r="Q745" s="6094" t="s">
        <v>9047</v>
      </c>
      <c r="R745" s="1515" t="s">
        <v>5350</v>
      </c>
      <c r="S745" s="1518"/>
      <c r="T745" s="1519"/>
      <c r="U745" s="1504"/>
      <c r="V745" s="1520"/>
      <c r="W745" s="1519"/>
      <c r="X745" s="1504"/>
      <c r="Y745" s="1520"/>
      <c r="Z745" s="1519"/>
      <c r="AA745" s="1504"/>
      <c r="AB745" s="1520"/>
      <c r="AC745" s="1519"/>
      <c r="AD745" s="1504"/>
      <c r="AE745" s="1520"/>
      <c r="AF745" s="1519"/>
      <c r="AG745" s="1504"/>
      <c r="AH745" s="1520"/>
      <c r="AI745" s="1503">
        <v>6534</v>
      </c>
      <c r="AJ745" s="1504">
        <v>0</v>
      </c>
      <c r="AK745" s="3919">
        <v>0</v>
      </c>
      <c r="AL745" s="1505">
        <f t="shared" ref="AL745:AL750" si="214">AI745-AJ745-AK745</f>
        <v>6534</v>
      </c>
      <c r="AM745" s="1508" t="s">
        <v>909</v>
      </c>
      <c r="AN745" s="3401">
        <v>44803</v>
      </c>
      <c r="AO745" s="3402" t="s">
        <v>10311</v>
      </c>
      <c r="AP745" s="2905" t="s">
        <v>10102</v>
      </c>
      <c r="AQ745" s="2906">
        <v>1.1100000000000001</v>
      </c>
      <c r="AR745" s="1506"/>
      <c r="AS745" s="1507"/>
      <c r="AT745" s="1507"/>
      <c r="AU745" s="1507"/>
      <c r="AV745" s="1507"/>
      <c r="AW745" s="3247">
        <f>ROUND(AL745*AQ745/G745,0)</f>
        <v>6620</v>
      </c>
      <c r="AX745" s="3146"/>
      <c r="BB745" s="267"/>
      <c r="BC745" s="4117">
        <f t="shared" si="195"/>
        <v>0</v>
      </c>
      <c r="BD745" s="4117">
        <f t="shared" si="196"/>
        <v>0</v>
      </c>
      <c r="BE745" s="5071"/>
      <c r="BF745" s="267"/>
      <c r="BG745" s="267"/>
      <c r="BH745" s="267"/>
    </row>
    <row r="746" spans="1:60" ht="89.25">
      <c r="A746" s="5981" t="s">
        <v>4276</v>
      </c>
      <c r="B746" s="1538" t="s">
        <v>10312</v>
      </c>
      <c r="C746" s="1509">
        <v>0</v>
      </c>
      <c r="D746" s="1510">
        <v>44741</v>
      </c>
      <c r="E746" s="4344" t="s">
        <v>9156</v>
      </c>
      <c r="F746" s="2497" t="s">
        <v>9005</v>
      </c>
      <c r="G746" s="5387">
        <v>1.0956269999999999</v>
      </c>
      <c r="H746" s="1513" t="s">
        <v>10141</v>
      </c>
      <c r="I746" s="1514" t="s">
        <v>10087</v>
      </c>
      <c r="J746" s="4345" t="s">
        <v>4306</v>
      </c>
      <c r="K746" s="1516">
        <v>45472</v>
      </c>
      <c r="L746" s="1514" t="s">
        <v>9732</v>
      </c>
      <c r="M746" s="1515" t="s">
        <v>9733</v>
      </c>
      <c r="N746" s="1514" t="s">
        <v>10093</v>
      </c>
      <c r="O746" s="1513" t="s">
        <v>10094</v>
      </c>
      <c r="P746" s="1517"/>
      <c r="Q746" s="1515" t="s">
        <v>10095</v>
      </c>
      <c r="R746" s="1515" t="s">
        <v>129</v>
      </c>
      <c r="S746" s="1518"/>
      <c r="T746" s="1519"/>
      <c r="U746" s="1504"/>
      <c r="V746" s="1520"/>
      <c r="W746" s="1519"/>
      <c r="X746" s="1504"/>
      <c r="Y746" s="1520"/>
      <c r="Z746" s="1519"/>
      <c r="AA746" s="1504"/>
      <c r="AB746" s="1520"/>
      <c r="AC746" s="1519"/>
      <c r="AD746" s="1504"/>
      <c r="AE746" s="1520"/>
      <c r="AF746" s="1519"/>
      <c r="AG746" s="1504"/>
      <c r="AH746" s="1520"/>
      <c r="AI746" s="1503">
        <v>26345</v>
      </c>
      <c r="AJ746" s="1504">
        <v>0</v>
      </c>
      <c r="AK746" s="3919">
        <v>0</v>
      </c>
      <c r="AL746" s="1505">
        <f t="shared" si="214"/>
        <v>26345</v>
      </c>
      <c r="AM746" s="1508" t="s">
        <v>1061</v>
      </c>
      <c r="AN746" s="3401">
        <v>44804</v>
      </c>
      <c r="AO746" s="3402" t="s">
        <v>10337</v>
      </c>
      <c r="AP746" s="2905" t="s">
        <v>10102</v>
      </c>
      <c r="AQ746" s="2906">
        <v>1.1100000000000001</v>
      </c>
      <c r="AR746" s="1506"/>
      <c r="AS746" s="1507"/>
      <c r="AT746" s="1507"/>
      <c r="AU746" s="1507"/>
      <c r="AV746" s="1507"/>
      <c r="AW746" s="3247">
        <f>ROUND(AL746*AQ746/G746,0)</f>
        <v>26691</v>
      </c>
      <c r="AX746" s="3146"/>
      <c r="BA746" s="267"/>
      <c r="BB746" s="267"/>
      <c r="BC746" s="4117">
        <f t="shared" si="195"/>
        <v>0</v>
      </c>
      <c r="BD746" s="4117">
        <f t="shared" si="196"/>
        <v>0</v>
      </c>
      <c r="BE746" s="5071"/>
      <c r="BF746" s="267"/>
      <c r="BG746" s="267"/>
      <c r="BH746" s="267"/>
    </row>
    <row r="747" spans="1:60" ht="153.75" thickBot="1">
      <c r="A747" s="6081" t="s">
        <v>11004</v>
      </c>
      <c r="B747" s="5573" t="s">
        <v>10313</v>
      </c>
      <c r="C747" s="5730">
        <v>1</v>
      </c>
      <c r="D747" s="5731" t="s">
        <v>11121</v>
      </c>
      <c r="E747" s="5731" t="s">
        <v>6385</v>
      </c>
      <c r="F747" s="5732" t="s">
        <v>11120</v>
      </c>
      <c r="G747" s="5733">
        <v>1.0795220000000001</v>
      </c>
      <c r="H747" s="5734" t="s">
        <v>5332</v>
      </c>
      <c r="I747" s="5580" t="s">
        <v>1433</v>
      </c>
      <c r="J747" s="5735" t="s">
        <v>1434</v>
      </c>
      <c r="K747" s="5736">
        <v>44670</v>
      </c>
      <c r="L747" s="5580" t="s">
        <v>313</v>
      </c>
      <c r="M747" s="5735" t="s">
        <v>5333</v>
      </c>
      <c r="N747" s="5580" t="s">
        <v>5334</v>
      </c>
      <c r="O747" s="5734" t="s">
        <v>6311</v>
      </c>
      <c r="P747" s="5737" t="s">
        <v>10192</v>
      </c>
      <c r="Q747" s="5735" t="s">
        <v>5454</v>
      </c>
      <c r="R747" s="5735" t="s">
        <v>5335</v>
      </c>
      <c r="S747" s="5738"/>
      <c r="T747" s="5585">
        <v>40242</v>
      </c>
      <c r="U747" s="5739">
        <v>0</v>
      </c>
      <c r="V747" s="5740">
        <f>T747-U747</f>
        <v>40242</v>
      </c>
      <c r="W747" s="5585">
        <v>7102</v>
      </c>
      <c r="X747" s="5739">
        <v>0</v>
      </c>
      <c r="Y747" s="5740">
        <f>W747-X747</f>
        <v>7102</v>
      </c>
      <c r="Z747" s="5585">
        <v>486</v>
      </c>
      <c r="AA747" s="5739">
        <v>0</v>
      </c>
      <c r="AB747" s="5740">
        <f>Z747-AA747</f>
        <v>486</v>
      </c>
      <c r="AC747" s="5585"/>
      <c r="AD747" s="5739"/>
      <c r="AE747" s="5740"/>
      <c r="AF747" s="5585"/>
      <c r="AG747" s="5739"/>
      <c r="AH747" s="5740"/>
      <c r="AI747" s="5588">
        <v>25510</v>
      </c>
      <c r="AJ747" s="5739">
        <f>U747+X747+AA747+AD747+AG747</f>
        <v>0</v>
      </c>
      <c r="AK747" s="5741">
        <v>0</v>
      </c>
      <c r="AL747" s="5742">
        <f t="shared" si="214"/>
        <v>25510</v>
      </c>
      <c r="AM747" s="5743" t="s">
        <v>10314</v>
      </c>
      <c r="AN747" s="5744">
        <v>44804</v>
      </c>
      <c r="AO747" s="5745" t="s">
        <v>10338</v>
      </c>
      <c r="AP747" s="5746" t="s">
        <v>7957</v>
      </c>
      <c r="AQ747" s="5747">
        <v>1.0795220000000001</v>
      </c>
      <c r="AR747" s="5596">
        <v>0</v>
      </c>
      <c r="AS747" s="5748">
        <v>0</v>
      </c>
      <c r="AT747" s="5748">
        <v>0</v>
      </c>
      <c r="AU747" s="5748">
        <v>0</v>
      </c>
      <c r="AV747" s="5748">
        <v>0</v>
      </c>
      <c r="AW747" s="5749">
        <f>ROUND(AL747*AQ747/G747,0)-5000-10000</f>
        <v>10510</v>
      </c>
      <c r="AX747" s="5599"/>
      <c r="AY747" s="4029" t="s">
        <v>10193</v>
      </c>
      <c r="AZ747" s="3888">
        <f>SUM(AW736:AW747)</f>
        <v>345610.89</v>
      </c>
      <c r="BA747" s="2119">
        <f>AZ747</f>
        <v>345610.89</v>
      </c>
      <c r="BB747" s="267"/>
      <c r="BC747" s="4117">
        <f t="shared" si="195"/>
        <v>0</v>
      </c>
      <c r="BD747" s="4117">
        <f t="shared" si="196"/>
        <v>0</v>
      </c>
      <c r="BE747" s="5071"/>
      <c r="BF747" s="267"/>
      <c r="BG747" s="267"/>
      <c r="BH747" s="267"/>
    </row>
    <row r="748" spans="1:60" ht="127.5">
      <c r="A748" s="5966" t="s">
        <v>11003</v>
      </c>
      <c r="B748" s="827" t="s">
        <v>10336</v>
      </c>
      <c r="C748" s="828">
        <v>0</v>
      </c>
      <c r="D748" s="829">
        <v>44519</v>
      </c>
      <c r="E748" s="831" t="s">
        <v>9156</v>
      </c>
      <c r="F748" s="830" t="s">
        <v>9005</v>
      </c>
      <c r="G748" s="5356">
        <v>1.0956269999999999</v>
      </c>
      <c r="H748" s="832" t="s">
        <v>9435</v>
      </c>
      <c r="I748" s="833" t="s">
        <v>1433</v>
      </c>
      <c r="J748" s="834" t="s">
        <v>1434</v>
      </c>
      <c r="K748" s="835">
        <v>46709</v>
      </c>
      <c r="L748" s="833" t="s">
        <v>9436</v>
      </c>
      <c r="M748" s="834" t="s">
        <v>9437</v>
      </c>
      <c r="N748" s="833" t="s">
        <v>9439</v>
      </c>
      <c r="O748" s="832" t="s">
        <v>9438</v>
      </c>
      <c r="P748" s="836"/>
      <c r="Q748" s="834" t="s">
        <v>9440</v>
      </c>
      <c r="R748" s="834" t="s">
        <v>9441</v>
      </c>
      <c r="S748" s="837"/>
      <c r="T748" s="838"/>
      <c r="U748" s="839"/>
      <c r="V748" s="840"/>
      <c r="W748" s="838"/>
      <c r="X748" s="839"/>
      <c r="Y748" s="840"/>
      <c r="Z748" s="838"/>
      <c r="AA748" s="839"/>
      <c r="AB748" s="840"/>
      <c r="AC748" s="838"/>
      <c r="AD748" s="839"/>
      <c r="AE748" s="840"/>
      <c r="AF748" s="838"/>
      <c r="AG748" s="839"/>
      <c r="AH748" s="840"/>
      <c r="AI748" s="841">
        <v>1262</v>
      </c>
      <c r="AJ748" s="839">
        <v>0</v>
      </c>
      <c r="AK748" s="3906">
        <v>0</v>
      </c>
      <c r="AL748" s="869">
        <f t="shared" si="214"/>
        <v>1262</v>
      </c>
      <c r="AM748" s="3369" t="s">
        <v>1061</v>
      </c>
      <c r="AN748" s="3360">
        <v>44774</v>
      </c>
      <c r="AO748" s="3361" t="s">
        <v>10340</v>
      </c>
      <c r="AP748" s="3362" t="s">
        <v>10102</v>
      </c>
      <c r="AQ748" s="3555">
        <v>1.1100000000000001</v>
      </c>
      <c r="AR748" s="846"/>
      <c r="AS748" s="847"/>
      <c r="AT748" s="847"/>
      <c r="AU748" s="847"/>
      <c r="AV748" s="847"/>
      <c r="AW748" s="2872">
        <f>ROUND(AL748*AQ748/G748,0)</f>
        <v>1279</v>
      </c>
      <c r="AX748" s="2891"/>
      <c r="BA748" s="267"/>
      <c r="BB748" s="267"/>
      <c r="BC748" s="4117">
        <f t="shared" si="195"/>
        <v>0</v>
      </c>
      <c r="BD748" s="4117">
        <f t="shared" si="196"/>
        <v>0</v>
      </c>
      <c r="BE748" s="5071"/>
      <c r="BF748" s="267"/>
      <c r="BG748" s="267"/>
      <c r="BH748" s="267"/>
    </row>
    <row r="749" spans="1:60" ht="89.25">
      <c r="A749" s="2418" t="s">
        <v>11003</v>
      </c>
      <c r="B749" s="338" t="s">
        <v>10341</v>
      </c>
      <c r="C749" s="321">
        <v>1</v>
      </c>
      <c r="D749" s="323" t="s">
        <v>8131</v>
      </c>
      <c r="E749" s="3058" t="s">
        <v>7972</v>
      </c>
      <c r="F749" s="324" t="s">
        <v>7957</v>
      </c>
      <c r="G749" s="2621">
        <v>1.0795220000000001</v>
      </c>
      <c r="H749" s="332" t="s">
        <v>8272</v>
      </c>
      <c r="I749" s="339" t="s">
        <v>8126</v>
      </c>
      <c r="J749" s="2399" t="s">
        <v>4306</v>
      </c>
      <c r="K749" s="340">
        <v>44840</v>
      </c>
      <c r="L749" s="339" t="s">
        <v>8127</v>
      </c>
      <c r="M749" s="322" t="s">
        <v>8128</v>
      </c>
      <c r="N749" s="339" t="s">
        <v>7897</v>
      </c>
      <c r="O749" s="322" t="s">
        <v>8128</v>
      </c>
      <c r="P749" s="345" t="s">
        <v>8133</v>
      </c>
      <c r="Q749" s="6094" t="s">
        <v>8129</v>
      </c>
      <c r="R749" s="2054" t="s">
        <v>8132</v>
      </c>
      <c r="S749" s="346"/>
      <c r="T749" s="347"/>
      <c r="U749" s="326"/>
      <c r="V749" s="348"/>
      <c r="W749" s="347"/>
      <c r="X749" s="326"/>
      <c r="Y749" s="348"/>
      <c r="Z749" s="347"/>
      <c r="AA749" s="326"/>
      <c r="AB749" s="348"/>
      <c r="AC749" s="347"/>
      <c r="AD749" s="326"/>
      <c r="AE749" s="348"/>
      <c r="AF749" s="347"/>
      <c r="AG749" s="326"/>
      <c r="AH749" s="348"/>
      <c r="AI749" s="482">
        <v>5485</v>
      </c>
      <c r="AJ749" s="326">
        <v>0</v>
      </c>
      <c r="AK749" s="3917">
        <v>0</v>
      </c>
      <c r="AL749" s="349">
        <f t="shared" si="214"/>
        <v>5485</v>
      </c>
      <c r="AM749" s="2002" t="s">
        <v>1061</v>
      </c>
      <c r="AN749" s="3357">
        <v>44806</v>
      </c>
      <c r="AO749" s="695" t="s">
        <v>10342</v>
      </c>
      <c r="AP749" s="3362" t="s">
        <v>10102</v>
      </c>
      <c r="AQ749" s="3555">
        <v>1.1100000000000001</v>
      </c>
      <c r="AR749" s="333"/>
      <c r="AS749" s="330"/>
      <c r="AT749" s="330"/>
      <c r="AU749" s="330"/>
      <c r="AV749" s="330"/>
      <c r="AW749" s="3156">
        <f>ROUND(AL749*AQ749/G749,0)</f>
        <v>5640</v>
      </c>
      <c r="AX749" s="3140"/>
      <c r="BA749" s="267"/>
      <c r="BB749" s="267"/>
      <c r="BC749" s="4117">
        <f t="shared" si="195"/>
        <v>0</v>
      </c>
      <c r="BD749" s="4117">
        <f t="shared" si="196"/>
        <v>0</v>
      </c>
      <c r="BE749" s="5071"/>
      <c r="BF749" s="267"/>
      <c r="BG749" s="267"/>
      <c r="BH749" s="267"/>
    </row>
    <row r="750" spans="1:60" ht="89.25">
      <c r="A750" s="2418" t="s">
        <v>11003</v>
      </c>
      <c r="B750" s="338" t="s">
        <v>10323</v>
      </c>
      <c r="C750" s="321">
        <v>0</v>
      </c>
      <c r="D750" s="323">
        <v>44664</v>
      </c>
      <c r="E750" s="3058" t="s">
        <v>9156</v>
      </c>
      <c r="F750" s="830" t="s">
        <v>9005</v>
      </c>
      <c r="G750" s="5356">
        <v>1.0956269999999999</v>
      </c>
      <c r="H750" s="332" t="s">
        <v>9838</v>
      </c>
      <c r="I750" s="339" t="s">
        <v>9840</v>
      </c>
      <c r="J750" s="2399" t="s">
        <v>4306</v>
      </c>
      <c r="K750" s="340">
        <v>45395</v>
      </c>
      <c r="L750" s="339" t="s">
        <v>8710</v>
      </c>
      <c r="M750" s="322" t="s">
        <v>9849</v>
      </c>
      <c r="N750" s="339" t="s">
        <v>9850</v>
      </c>
      <c r="O750" s="332" t="s">
        <v>9851</v>
      </c>
      <c r="P750" s="345"/>
      <c r="Q750" s="6094" t="s">
        <v>9047</v>
      </c>
      <c r="R750" s="322" t="s">
        <v>945</v>
      </c>
      <c r="S750" s="346"/>
      <c r="T750" s="347"/>
      <c r="U750" s="326"/>
      <c r="V750" s="348"/>
      <c r="W750" s="347"/>
      <c r="X750" s="326"/>
      <c r="Y750" s="348"/>
      <c r="Z750" s="347"/>
      <c r="AA750" s="326"/>
      <c r="AB750" s="348"/>
      <c r="AC750" s="347"/>
      <c r="AD750" s="326"/>
      <c r="AE750" s="348"/>
      <c r="AF750" s="347"/>
      <c r="AG750" s="326"/>
      <c r="AH750" s="348"/>
      <c r="AI750" s="482">
        <v>5567</v>
      </c>
      <c r="AJ750" s="326">
        <v>0</v>
      </c>
      <c r="AK750" s="3917">
        <v>0</v>
      </c>
      <c r="AL750" s="349">
        <f t="shared" si="214"/>
        <v>5567</v>
      </c>
      <c r="AM750" s="2002" t="s">
        <v>1061</v>
      </c>
      <c r="AN750" s="3357">
        <v>44806</v>
      </c>
      <c r="AO750" s="695" t="s">
        <v>10343</v>
      </c>
      <c r="AP750" s="3362" t="s">
        <v>10102</v>
      </c>
      <c r="AQ750" s="3555">
        <v>1.1100000000000001</v>
      </c>
      <c r="AR750" s="333"/>
      <c r="AS750" s="330"/>
      <c r="AT750" s="330"/>
      <c r="AU750" s="330"/>
      <c r="AV750" s="330"/>
      <c r="AW750" s="3156">
        <f>ROUND(AL750*AQ750/G750,0)</f>
        <v>5640</v>
      </c>
      <c r="AX750" s="3140"/>
      <c r="BB750" s="267"/>
      <c r="BC750" s="4117">
        <f t="shared" si="195"/>
        <v>0</v>
      </c>
      <c r="BD750" s="4117">
        <f t="shared" si="196"/>
        <v>0</v>
      </c>
      <c r="BE750" s="5071"/>
      <c r="BF750" s="267"/>
      <c r="BG750" s="267"/>
      <c r="BH750" s="267"/>
    </row>
    <row r="751" spans="1:60" ht="89.25">
      <c r="A751" s="2418" t="s">
        <v>11003</v>
      </c>
      <c r="B751" s="338" t="s">
        <v>10348</v>
      </c>
      <c r="C751" s="321">
        <v>0</v>
      </c>
      <c r="D751" s="323">
        <v>44741</v>
      </c>
      <c r="E751" s="3058" t="s">
        <v>9156</v>
      </c>
      <c r="F751" s="830" t="s">
        <v>9005</v>
      </c>
      <c r="G751" s="5356">
        <v>1.0956269999999999</v>
      </c>
      <c r="H751" s="332" t="s">
        <v>10084</v>
      </c>
      <c r="I751" s="339" t="s">
        <v>10085</v>
      </c>
      <c r="J751" s="2399" t="s">
        <v>4306</v>
      </c>
      <c r="K751" s="340">
        <v>45472</v>
      </c>
      <c r="L751" s="339" t="s">
        <v>313</v>
      </c>
      <c r="M751" s="322" t="s">
        <v>8832</v>
      </c>
      <c r="N751" s="339" t="s">
        <v>10088</v>
      </c>
      <c r="O751" s="332" t="s">
        <v>10089</v>
      </c>
      <c r="P751" s="345"/>
      <c r="Q751" s="6094" t="s">
        <v>9071</v>
      </c>
      <c r="R751" s="322" t="s">
        <v>581</v>
      </c>
      <c r="S751" s="346"/>
      <c r="T751" s="347"/>
      <c r="U751" s="326"/>
      <c r="V751" s="348"/>
      <c r="W751" s="347"/>
      <c r="X751" s="326"/>
      <c r="Y751" s="348"/>
      <c r="Z751" s="347"/>
      <c r="AA751" s="326"/>
      <c r="AB751" s="348"/>
      <c r="AC751" s="347"/>
      <c r="AD751" s="326"/>
      <c r="AE751" s="348"/>
      <c r="AF751" s="347"/>
      <c r="AG751" s="326"/>
      <c r="AH751" s="348"/>
      <c r="AI751" s="482">
        <v>6534</v>
      </c>
      <c r="AJ751" s="326">
        <v>0</v>
      </c>
      <c r="AK751" s="3917">
        <v>0</v>
      </c>
      <c r="AL751" s="349">
        <f>AI751-AJ751-AK751</f>
        <v>6534</v>
      </c>
      <c r="AM751" s="2002" t="s">
        <v>1061</v>
      </c>
      <c r="AN751" s="3357">
        <v>44810</v>
      </c>
      <c r="AO751" s="695" t="s">
        <v>10349</v>
      </c>
      <c r="AP751" s="3362" t="s">
        <v>10102</v>
      </c>
      <c r="AQ751" s="3555">
        <v>1.1100000000000001</v>
      </c>
      <c r="AR751" s="333"/>
      <c r="AS751" s="330"/>
      <c r="AT751" s="330"/>
      <c r="AU751" s="330"/>
      <c r="AV751" s="330"/>
      <c r="AW751" s="3156">
        <f>ROUND(AL751*AQ751/G751,0)</f>
        <v>6620</v>
      </c>
      <c r="AX751" s="3140"/>
      <c r="BB751" s="267"/>
      <c r="BC751" s="4117">
        <f t="shared" si="195"/>
        <v>0</v>
      </c>
      <c r="BD751" s="4117">
        <f t="shared" si="196"/>
        <v>0</v>
      </c>
      <c r="BE751" s="5071"/>
      <c r="BF751" s="267"/>
      <c r="BG751" s="267"/>
      <c r="BH751" s="267"/>
    </row>
    <row r="752" spans="1:60" ht="76.5">
      <c r="A752" s="2418" t="s">
        <v>11003</v>
      </c>
      <c r="B752" s="338" t="s">
        <v>9242</v>
      </c>
      <c r="C752" s="321">
        <v>0</v>
      </c>
      <c r="D752" s="323">
        <v>44586</v>
      </c>
      <c r="E752" s="3058" t="s">
        <v>9156</v>
      </c>
      <c r="F752" s="830" t="s">
        <v>9005</v>
      </c>
      <c r="G752" s="5356">
        <v>1.0956269999999999</v>
      </c>
      <c r="H752" s="332" t="s">
        <v>9620</v>
      </c>
      <c r="I752" s="339" t="s">
        <v>9607</v>
      </c>
      <c r="J752" s="2399" t="s">
        <v>4306</v>
      </c>
      <c r="K752" s="340">
        <v>45316</v>
      </c>
      <c r="L752" s="339" t="s">
        <v>9608</v>
      </c>
      <c r="M752" s="322" t="s">
        <v>9609</v>
      </c>
      <c r="N752" s="339" t="s">
        <v>9610</v>
      </c>
      <c r="O752" s="322" t="s">
        <v>9609</v>
      </c>
      <c r="P752" s="345"/>
      <c r="Q752" s="6094" t="s">
        <v>9047</v>
      </c>
      <c r="R752" s="322" t="s">
        <v>945</v>
      </c>
      <c r="S752" s="346"/>
      <c r="T752" s="347"/>
      <c r="U752" s="326"/>
      <c r="V752" s="348"/>
      <c r="W752" s="347"/>
      <c r="X752" s="326"/>
      <c r="Y752" s="348"/>
      <c r="Z752" s="347"/>
      <c r="AA752" s="326"/>
      <c r="AB752" s="348"/>
      <c r="AC752" s="820"/>
      <c r="AD752" s="821"/>
      <c r="AE752" s="822"/>
      <c r="AF752" s="820"/>
      <c r="AG752" s="821"/>
      <c r="AH752" s="822"/>
      <c r="AI752" s="482">
        <v>0</v>
      </c>
      <c r="AJ752" s="326">
        <v>0</v>
      </c>
      <c r="AK752" s="3917">
        <v>0</v>
      </c>
      <c r="AL752" s="349">
        <f t="shared" ref="AL752:AL754" si="215">AI752-AJ752-AK752</f>
        <v>0</v>
      </c>
      <c r="AM752" s="2002" t="s">
        <v>1898</v>
      </c>
      <c r="AN752" s="3357">
        <v>44816</v>
      </c>
      <c r="AO752" s="695" t="s">
        <v>10367</v>
      </c>
      <c r="AP752" s="3362" t="s">
        <v>10102</v>
      </c>
      <c r="AQ752" s="3555">
        <v>1.1100000000000001</v>
      </c>
      <c r="AR752" s="333"/>
      <c r="AS752" s="330"/>
      <c r="AT752" s="330"/>
      <c r="AU752" s="849"/>
      <c r="AV752" s="849"/>
      <c r="AW752" s="3156">
        <v>2800</v>
      </c>
      <c r="AX752" s="3140"/>
      <c r="BA752" s="267"/>
      <c r="BB752" s="267"/>
      <c r="BC752" s="4117">
        <f t="shared" si="195"/>
        <v>0</v>
      </c>
      <c r="BD752" s="4117">
        <f t="shared" si="196"/>
        <v>0</v>
      </c>
      <c r="BE752" s="5071"/>
      <c r="BF752" s="267"/>
      <c r="BG752" s="267"/>
      <c r="BH752" s="267"/>
    </row>
    <row r="753" spans="1:60" ht="76.5">
      <c r="A753" s="2418" t="s">
        <v>11119</v>
      </c>
      <c r="B753" s="338" t="s">
        <v>9367</v>
      </c>
      <c r="C753" s="321">
        <v>0</v>
      </c>
      <c r="D753" s="323">
        <v>43606</v>
      </c>
      <c r="E753" s="3051" t="s">
        <v>6386</v>
      </c>
      <c r="F753" s="324" t="s">
        <v>5757</v>
      </c>
      <c r="G753" s="2621">
        <v>1.0247219999999999</v>
      </c>
      <c r="H753" s="332" t="s">
        <v>6723</v>
      </c>
      <c r="I753" s="339" t="s">
        <v>6724</v>
      </c>
      <c r="J753" s="322" t="s">
        <v>4306</v>
      </c>
      <c r="K753" s="340">
        <v>44329</v>
      </c>
      <c r="L753" s="339" t="s">
        <v>6725</v>
      </c>
      <c r="M753" s="322" t="s">
        <v>6726</v>
      </c>
      <c r="N753" s="339" t="s">
        <v>6727</v>
      </c>
      <c r="O753" s="332" t="s">
        <v>6726</v>
      </c>
      <c r="P753" s="345" t="s">
        <v>9335</v>
      </c>
      <c r="Q753" s="6094" t="s">
        <v>5708</v>
      </c>
      <c r="R753" s="322" t="s">
        <v>5350</v>
      </c>
      <c r="S753" s="346"/>
      <c r="T753" s="347">
        <v>2444</v>
      </c>
      <c r="U753" s="326">
        <v>0</v>
      </c>
      <c r="V753" s="348">
        <f t="shared" ref="V753:V754" si="216">T753-U753</f>
        <v>2444</v>
      </c>
      <c r="W753" s="347">
        <v>3056</v>
      </c>
      <c r="X753" s="326">
        <v>0</v>
      </c>
      <c r="Y753" s="348">
        <f t="shared" ref="Y753:Y754" si="217">W753-X753</f>
        <v>3056</v>
      </c>
      <c r="Z753" s="347">
        <v>0</v>
      </c>
      <c r="AA753" s="326">
        <v>0</v>
      </c>
      <c r="AB753" s="348">
        <f t="shared" ref="AB753:AB754" si="218">Z753-AA753</f>
        <v>0</v>
      </c>
      <c r="AC753" s="347"/>
      <c r="AD753" s="326"/>
      <c r="AE753" s="348"/>
      <c r="AF753" s="347"/>
      <c r="AG753" s="326"/>
      <c r="AH753" s="348"/>
      <c r="AI753" s="482">
        <v>0</v>
      </c>
      <c r="AJ753" s="326">
        <f t="shared" ref="AJ753:AJ754" si="219">U753+X753+AA753+AD753+AG753</f>
        <v>0</v>
      </c>
      <c r="AK753" s="3917">
        <v>0</v>
      </c>
      <c r="AL753" s="349">
        <f t="shared" si="215"/>
        <v>0</v>
      </c>
      <c r="AM753" s="2002" t="s">
        <v>1898</v>
      </c>
      <c r="AN753" s="3357">
        <v>44818</v>
      </c>
      <c r="AO753" s="695" t="s">
        <v>10381</v>
      </c>
      <c r="AP753" s="3222" t="s">
        <v>9004</v>
      </c>
      <c r="AQ753" s="3223">
        <v>1.0956269999999999</v>
      </c>
      <c r="AR753" s="333">
        <v>0</v>
      </c>
      <c r="AS753" s="330">
        <v>0</v>
      </c>
      <c r="AT753" s="330">
        <v>0</v>
      </c>
      <c r="AU753" s="330">
        <v>0</v>
      </c>
      <c r="AV753" s="330">
        <v>0</v>
      </c>
      <c r="AW753" s="3156">
        <v>2000</v>
      </c>
      <c r="AX753" s="3140"/>
      <c r="BA753" s="267"/>
      <c r="BB753" s="267"/>
      <c r="BC753" s="4117">
        <f t="shared" si="195"/>
        <v>0</v>
      </c>
      <c r="BD753" s="4117">
        <f t="shared" si="196"/>
        <v>0</v>
      </c>
      <c r="BE753" s="5071"/>
      <c r="BF753" s="267"/>
      <c r="BG753" s="267"/>
      <c r="BH753" s="267"/>
    </row>
    <row r="754" spans="1:60" ht="102">
      <c r="A754" s="2418" t="s">
        <v>11004</v>
      </c>
      <c r="B754" s="338" t="s">
        <v>10382</v>
      </c>
      <c r="C754" s="321">
        <v>0</v>
      </c>
      <c r="D754" s="323">
        <v>43425</v>
      </c>
      <c r="E754" s="3051" t="s">
        <v>6386</v>
      </c>
      <c r="F754" s="324" t="s">
        <v>9289</v>
      </c>
      <c r="G754" s="2669">
        <v>1.0956269999999999</v>
      </c>
      <c r="H754" s="332" t="s">
        <v>9153</v>
      </c>
      <c r="I754" s="339" t="s">
        <v>1433</v>
      </c>
      <c r="J754" s="322" t="s">
        <v>1434</v>
      </c>
      <c r="K754" s="340">
        <v>45617</v>
      </c>
      <c r="L754" s="339" t="s">
        <v>6034</v>
      </c>
      <c r="M754" s="322" t="s">
        <v>4394</v>
      </c>
      <c r="N754" s="339" t="s">
        <v>6035</v>
      </c>
      <c r="O754" s="332" t="s">
        <v>6259</v>
      </c>
      <c r="P754" s="345" t="s">
        <v>9293</v>
      </c>
      <c r="Q754" s="322" t="s">
        <v>9154</v>
      </c>
      <c r="R754" s="322" t="s">
        <v>9155</v>
      </c>
      <c r="S754" s="346"/>
      <c r="T754" s="347">
        <v>59816</v>
      </c>
      <c r="U754" s="326">
        <v>0</v>
      </c>
      <c r="V754" s="348">
        <f t="shared" si="216"/>
        <v>59816</v>
      </c>
      <c r="W754" s="347">
        <v>76560</v>
      </c>
      <c r="X754" s="326">
        <v>0</v>
      </c>
      <c r="Y754" s="348">
        <f t="shared" si="217"/>
        <v>76560</v>
      </c>
      <c r="Z754" s="347">
        <v>7683</v>
      </c>
      <c r="AA754" s="326">
        <v>0</v>
      </c>
      <c r="AB754" s="348">
        <f t="shared" si="218"/>
        <v>7683</v>
      </c>
      <c r="AC754" s="347"/>
      <c r="AD754" s="326"/>
      <c r="AE754" s="348"/>
      <c r="AF754" s="347"/>
      <c r="AG754" s="326"/>
      <c r="AH754" s="348"/>
      <c r="AI754" s="482">
        <v>0</v>
      </c>
      <c r="AJ754" s="326">
        <f t="shared" si="219"/>
        <v>0</v>
      </c>
      <c r="AK754" s="3917">
        <v>0</v>
      </c>
      <c r="AL754" s="349">
        <f t="shared" si="215"/>
        <v>0</v>
      </c>
      <c r="AM754" s="5360" t="s">
        <v>10383</v>
      </c>
      <c r="AN754" s="3357">
        <v>44820</v>
      </c>
      <c r="AO754" s="695" t="s">
        <v>10385</v>
      </c>
      <c r="AP754" s="3222" t="s">
        <v>9004</v>
      </c>
      <c r="AQ754" s="3223">
        <v>1.0956269999999999</v>
      </c>
      <c r="AR754" s="333">
        <v>0</v>
      </c>
      <c r="AS754" s="330">
        <v>0</v>
      </c>
      <c r="AT754" s="330">
        <v>0</v>
      </c>
      <c r="AU754" s="330">
        <v>0</v>
      </c>
      <c r="AV754" s="330">
        <v>0</v>
      </c>
      <c r="AW754" s="3156">
        <v>40000</v>
      </c>
      <c r="AX754" s="3140"/>
      <c r="BB754" s="267"/>
      <c r="BC754" s="4117">
        <f t="shared" si="195"/>
        <v>0</v>
      </c>
      <c r="BD754" s="4117">
        <f t="shared" si="196"/>
        <v>0</v>
      </c>
      <c r="BE754" s="5071"/>
      <c r="BF754" s="267"/>
      <c r="BG754" s="267"/>
      <c r="BH754" s="267"/>
    </row>
    <row r="755" spans="1:60" ht="76.5">
      <c r="A755" s="2418" t="s">
        <v>11003</v>
      </c>
      <c r="B755" s="338" t="s">
        <v>9775</v>
      </c>
      <c r="C755" s="321">
        <v>0</v>
      </c>
      <c r="D755" s="323">
        <v>44749</v>
      </c>
      <c r="E755" s="3058" t="s">
        <v>9156</v>
      </c>
      <c r="F755" s="830" t="s">
        <v>10101</v>
      </c>
      <c r="G755" s="5356">
        <v>1.1100000000000001</v>
      </c>
      <c r="H755" s="332" t="s">
        <v>10107</v>
      </c>
      <c r="I755" s="339" t="s">
        <v>9560</v>
      </c>
      <c r="J755" s="2399" t="s">
        <v>4306</v>
      </c>
      <c r="K755" s="340">
        <v>45480</v>
      </c>
      <c r="L755" s="339" t="s">
        <v>10103</v>
      </c>
      <c r="M755" s="322" t="s">
        <v>10104</v>
      </c>
      <c r="N755" s="339" t="s">
        <v>10105</v>
      </c>
      <c r="O755" s="332" t="s">
        <v>10106</v>
      </c>
      <c r="P755" s="345"/>
      <c r="Q755" s="6094" t="s">
        <v>9047</v>
      </c>
      <c r="R755" s="322" t="s">
        <v>9092</v>
      </c>
      <c r="S755" s="346"/>
      <c r="T755" s="347"/>
      <c r="U755" s="326"/>
      <c r="V755" s="348"/>
      <c r="W755" s="347"/>
      <c r="X755" s="326"/>
      <c r="Y755" s="348"/>
      <c r="Z755" s="347"/>
      <c r="AA755" s="326"/>
      <c r="AB755" s="348"/>
      <c r="AC755" s="347"/>
      <c r="AD755" s="326"/>
      <c r="AE755" s="348"/>
      <c r="AF755" s="347"/>
      <c r="AG755" s="326"/>
      <c r="AH755" s="348"/>
      <c r="AI755" s="482">
        <v>5640</v>
      </c>
      <c r="AJ755" s="326">
        <v>0</v>
      </c>
      <c r="AK755" s="3917">
        <v>0</v>
      </c>
      <c r="AL755" s="349">
        <f>AI755-AJ755-AK755</f>
        <v>5640</v>
      </c>
      <c r="AM755" s="2002" t="s">
        <v>1061</v>
      </c>
      <c r="AN755" s="3357">
        <v>44823</v>
      </c>
      <c r="AO755" s="695" t="s">
        <v>10402</v>
      </c>
      <c r="AP755" s="3362" t="s">
        <v>10102</v>
      </c>
      <c r="AQ755" s="3555">
        <v>1.1100000000000001</v>
      </c>
      <c r="AR755" s="333"/>
      <c r="AS755" s="330"/>
      <c r="AT755" s="330"/>
      <c r="AU755" s="330"/>
      <c r="AV755" s="330"/>
      <c r="AW755" s="3156">
        <f>ROUND(AL755*AQ755/G755,0)</f>
        <v>5640</v>
      </c>
      <c r="AX755" s="3140"/>
      <c r="BB755" s="267"/>
      <c r="BC755" s="4117">
        <f t="shared" si="195"/>
        <v>0</v>
      </c>
      <c r="BD755" s="4117">
        <f t="shared" si="196"/>
        <v>0</v>
      </c>
      <c r="BE755" s="5071"/>
      <c r="BF755" s="267"/>
      <c r="BG755" s="267"/>
      <c r="BH755" s="267"/>
    </row>
    <row r="756" spans="1:60" ht="153">
      <c r="A756" s="5966" t="s">
        <v>11004</v>
      </c>
      <c r="B756" s="338" t="s">
        <v>10455</v>
      </c>
      <c r="C756" s="321">
        <v>0</v>
      </c>
      <c r="D756" s="323">
        <v>43675</v>
      </c>
      <c r="E756" s="829" t="s">
        <v>6386</v>
      </c>
      <c r="F756" s="830" t="s">
        <v>6893</v>
      </c>
      <c r="G756" s="2620">
        <v>1.047839</v>
      </c>
      <c r="H756" s="332" t="s">
        <v>6979</v>
      </c>
      <c r="I756" s="339" t="s">
        <v>1433</v>
      </c>
      <c r="J756" s="322" t="s">
        <v>6989</v>
      </c>
      <c r="K756" s="340">
        <v>45867</v>
      </c>
      <c r="L756" s="339" t="s">
        <v>6980</v>
      </c>
      <c r="M756" s="322" t="s">
        <v>1957</v>
      </c>
      <c r="N756" s="339" t="s">
        <v>6981</v>
      </c>
      <c r="O756" s="332" t="s">
        <v>6982</v>
      </c>
      <c r="P756" s="345" t="s">
        <v>7555</v>
      </c>
      <c r="Q756" s="322" t="s">
        <v>6983</v>
      </c>
      <c r="R756" s="322" t="s">
        <v>4837</v>
      </c>
      <c r="S756" s="346"/>
      <c r="T756" s="347"/>
      <c r="U756" s="326"/>
      <c r="V756" s="348"/>
      <c r="W756" s="347"/>
      <c r="X756" s="326"/>
      <c r="Y756" s="348"/>
      <c r="Z756" s="347"/>
      <c r="AA756" s="326"/>
      <c r="AB756" s="348"/>
      <c r="AC756" s="347"/>
      <c r="AD756" s="326"/>
      <c r="AE756" s="348"/>
      <c r="AF756" s="347"/>
      <c r="AG756" s="326"/>
      <c r="AH756" s="348"/>
      <c r="AI756" s="482">
        <v>5658</v>
      </c>
      <c r="AJ756" s="326">
        <v>0</v>
      </c>
      <c r="AK756" s="3917">
        <v>0</v>
      </c>
      <c r="AL756" s="349">
        <f>AI756-AJ756-AK756</f>
        <v>5658</v>
      </c>
      <c r="AM756" s="2002" t="s">
        <v>1061</v>
      </c>
      <c r="AN756" s="3357">
        <v>44831</v>
      </c>
      <c r="AO756" s="695" t="s">
        <v>10407</v>
      </c>
      <c r="AP756" s="3362" t="s">
        <v>10102</v>
      </c>
      <c r="AQ756" s="3555">
        <v>1.1100000000000001</v>
      </c>
      <c r="AR756" s="333"/>
      <c r="AS756" s="330"/>
      <c r="AT756" s="330"/>
      <c r="AU756" s="330"/>
      <c r="AV756" s="330"/>
      <c r="AW756" s="3156">
        <f>ROUND(AL756*AQ756/G756,0)</f>
        <v>5994</v>
      </c>
      <c r="AX756" s="3140"/>
      <c r="BB756" s="267"/>
      <c r="BC756" s="4117">
        <f t="shared" si="195"/>
        <v>0</v>
      </c>
      <c r="BD756" s="4117">
        <f t="shared" si="196"/>
        <v>0</v>
      </c>
      <c r="BE756" s="5071"/>
      <c r="BF756" s="267"/>
      <c r="BG756" s="267"/>
      <c r="BH756" s="267"/>
    </row>
    <row r="757" spans="1:60" ht="141" thickBot="1">
      <c r="A757" s="5966" t="s">
        <v>11004</v>
      </c>
      <c r="B757" s="5600" t="s">
        <v>10410</v>
      </c>
      <c r="C757" s="5751">
        <v>0</v>
      </c>
      <c r="D757" s="5752">
        <v>44637</v>
      </c>
      <c r="E757" s="5753" t="s">
        <v>9156</v>
      </c>
      <c r="F757" s="3793" t="s">
        <v>9005</v>
      </c>
      <c r="G757" s="5368">
        <v>1.0956269999999999</v>
      </c>
      <c r="H757" s="5754" t="s">
        <v>9736</v>
      </c>
      <c r="I757" s="5605" t="s">
        <v>9731</v>
      </c>
      <c r="J757" s="5755" t="s">
        <v>4306</v>
      </c>
      <c r="K757" s="5756">
        <v>45360</v>
      </c>
      <c r="L757" s="5605" t="s">
        <v>9732</v>
      </c>
      <c r="M757" s="5755" t="s">
        <v>9733</v>
      </c>
      <c r="N757" s="5605" t="s">
        <v>9735</v>
      </c>
      <c r="O757" s="5754" t="s">
        <v>9734</v>
      </c>
      <c r="P757" s="5608" t="s">
        <v>10408</v>
      </c>
      <c r="Q757" s="5755" t="s">
        <v>9737</v>
      </c>
      <c r="R757" s="5755" t="s">
        <v>129</v>
      </c>
      <c r="S757" s="5757"/>
      <c r="T757" s="5610"/>
      <c r="U757" s="5758"/>
      <c r="V757" s="5759"/>
      <c r="W757" s="5610"/>
      <c r="X757" s="5758"/>
      <c r="Y757" s="5759"/>
      <c r="Z757" s="5610"/>
      <c r="AA757" s="5758"/>
      <c r="AB757" s="5759"/>
      <c r="AC757" s="5610"/>
      <c r="AD757" s="5758"/>
      <c r="AE757" s="5759"/>
      <c r="AF757" s="5610"/>
      <c r="AG757" s="5758"/>
      <c r="AH757" s="5759"/>
      <c r="AI757" s="5613">
        <v>0</v>
      </c>
      <c r="AJ757" s="5758">
        <v>0</v>
      </c>
      <c r="AK757" s="5760">
        <v>0</v>
      </c>
      <c r="AL757" s="5761">
        <f>AI757-AJ757-AK757</f>
        <v>0</v>
      </c>
      <c r="AM757" s="5616" t="s">
        <v>9523</v>
      </c>
      <c r="AN757" s="5762">
        <v>44832</v>
      </c>
      <c r="AO757" s="5763" t="s">
        <v>10409</v>
      </c>
      <c r="AP757" s="5466" t="s">
        <v>9004</v>
      </c>
      <c r="AQ757" s="5467">
        <v>1.0956269999999999</v>
      </c>
      <c r="AR757" s="5619"/>
      <c r="AS757" s="5764"/>
      <c r="AT757" s="5764"/>
      <c r="AU757" s="5764"/>
      <c r="AV757" s="5764"/>
      <c r="AW757" s="5765">
        <v>1728.89</v>
      </c>
      <c r="AX757" s="5623"/>
      <c r="AY757" s="4031" t="s">
        <v>10339</v>
      </c>
      <c r="AZ757" s="3857">
        <f>SUM(AW748:AW757)</f>
        <v>77341.89</v>
      </c>
      <c r="BA757" s="1663">
        <f>AZ757</f>
        <v>77341.89</v>
      </c>
      <c r="BB757" s="267"/>
      <c r="BC757" s="4117">
        <f t="shared" si="195"/>
        <v>0</v>
      </c>
      <c r="BD757" s="4117">
        <f t="shared" si="196"/>
        <v>0</v>
      </c>
      <c r="BE757" s="5071"/>
      <c r="BF757" s="267"/>
      <c r="BG757" s="267"/>
      <c r="BH757" s="267"/>
    </row>
    <row r="758" spans="1:60" ht="89.25">
      <c r="A758" s="6017" t="s">
        <v>11003</v>
      </c>
      <c r="B758" s="1538" t="s">
        <v>10412</v>
      </c>
      <c r="C758" s="1509">
        <v>0</v>
      </c>
      <c r="D758" s="1510">
        <v>44662</v>
      </c>
      <c r="E758" s="4344" t="s">
        <v>9156</v>
      </c>
      <c r="F758" s="2497" t="s">
        <v>9005</v>
      </c>
      <c r="G758" s="5387">
        <v>1.0956269999999999</v>
      </c>
      <c r="H758" s="1513" t="s">
        <v>10411</v>
      </c>
      <c r="I758" s="1514" t="s">
        <v>9816</v>
      </c>
      <c r="J758" s="4345" t="s">
        <v>4306</v>
      </c>
      <c r="K758" s="1516">
        <v>45393</v>
      </c>
      <c r="L758" s="1514" t="s">
        <v>9817</v>
      </c>
      <c r="M758" s="1515" t="s">
        <v>4592</v>
      </c>
      <c r="N758" s="1514" t="s">
        <v>9689</v>
      </c>
      <c r="O758" s="1513" t="s">
        <v>9818</v>
      </c>
      <c r="P758" s="1517"/>
      <c r="Q758" s="6094" t="s">
        <v>9047</v>
      </c>
      <c r="R758" s="1515" t="s">
        <v>945</v>
      </c>
      <c r="S758" s="1518"/>
      <c r="T758" s="1519"/>
      <c r="U758" s="1504"/>
      <c r="V758" s="1520"/>
      <c r="W758" s="1519"/>
      <c r="X758" s="1504"/>
      <c r="Y758" s="1520"/>
      <c r="Z758" s="1519"/>
      <c r="AA758" s="1504"/>
      <c r="AB758" s="1520"/>
      <c r="AC758" s="1519"/>
      <c r="AD758" s="1504"/>
      <c r="AE758" s="1520"/>
      <c r="AF758" s="1519"/>
      <c r="AG758" s="1504"/>
      <c r="AH758" s="1520"/>
      <c r="AI758" s="1503">
        <v>5567</v>
      </c>
      <c r="AJ758" s="1504">
        <v>0</v>
      </c>
      <c r="AK758" s="3919">
        <v>0</v>
      </c>
      <c r="AL758" s="1505">
        <f>AI758-AJ758-AK758</f>
        <v>5567</v>
      </c>
      <c r="AM758" s="1508" t="s">
        <v>1061</v>
      </c>
      <c r="AN758" s="3401">
        <v>44841</v>
      </c>
      <c r="AO758" s="3402" t="s">
        <v>10427</v>
      </c>
      <c r="AP758" s="2905" t="s">
        <v>10102</v>
      </c>
      <c r="AQ758" s="2906">
        <v>1.1100000000000001</v>
      </c>
      <c r="AR758" s="1506"/>
      <c r="AS758" s="1507"/>
      <c r="AT758" s="1507"/>
      <c r="AU758" s="1507"/>
      <c r="AV758" s="1507"/>
      <c r="AW758" s="3247">
        <f>ROUND(AL758*AQ758/G758,0)</f>
        <v>5640</v>
      </c>
      <c r="AX758" s="3146"/>
      <c r="BA758" s="267"/>
      <c r="BB758" s="267"/>
      <c r="BC758" s="4117">
        <f t="shared" si="195"/>
        <v>0</v>
      </c>
      <c r="BD758" s="4117">
        <f t="shared" si="196"/>
        <v>0</v>
      </c>
      <c r="BE758" s="5071"/>
      <c r="BF758" s="267"/>
      <c r="BG758" s="267"/>
      <c r="BH758" s="267"/>
    </row>
    <row r="759" spans="1:60" ht="89.25">
      <c r="A759" s="5981" t="s">
        <v>11003</v>
      </c>
      <c r="B759" s="1538" t="s">
        <v>10434</v>
      </c>
      <c r="C759" s="1509">
        <v>0</v>
      </c>
      <c r="D759" s="1510">
        <v>44553</v>
      </c>
      <c r="E759" s="4344" t="s">
        <v>9156</v>
      </c>
      <c r="F759" s="2497" t="s">
        <v>9005</v>
      </c>
      <c r="G759" s="5387">
        <v>1.0956269999999999</v>
      </c>
      <c r="H759" s="1513" t="s">
        <v>9673</v>
      </c>
      <c r="I759" s="1514" t="s">
        <v>9548</v>
      </c>
      <c r="J759" s="4345" t="s">
        <v>4306</v>
      </c>
      <c r="K759" s="1516">
        <v>45282</v>
      </c>
      <c r="L759" s="1514" t="s">
        <v>9547</v>
      </c>
      <c r="M759" s="1515" t="s">
        <v>9545</v>
      </c>
      <c r="N759" s="1514" t="s">
        <v>9546</v>
      </c>
      <c r="O759" s="1513" t="s">
        <v>9545</v>
      </c>
      <c r="P759" s="1517" t="s">
        <v>10435</v>
      </c>
      <c r="Q759" s="6094" t="s">
        <v>9047</v>
      </c>
      <c r="R759" s="1515" t="s">
        <v>945</v>
      </c>
      <c r="S759" s="1518"/>
      <c r="T759" s="1519"/>
      <c r="U759" s="1504"/>
      <c r="V759" s="1520"/>
      <c r="W759" s="1519"/>
      <c r="X759" s="1504"/>
      <c r="Y759" s="1520"/>
      <c r="Z759" s="1519"/>
      <c r="AA759" s="1504"/>
      <c r="AB759" s="1520"/>
      <c r="AC759" s="1519"/>
      <c r="AD759" s="1504"/>
      <c r="AE759" s="1520"/>
      <c r="AF759" s="1519"/>
      <c r="AG759" s="1504"/>
      <c r="AH759" s="1520"/>
      <c r="AI759" s="1503">
        <v>0</v>
      </c>
      <c r="AJ759" s="1504">
        <v>0</v>
      </c>
      <c r="AK759" s="3919">
        <v>0</v>
      </c>
      <c r="AL759" s="1505">
        <f t="shared" ref="AL759:AL760" si="220">AI759-AJ759-AK759</f>
        <v>0</v>
      </c>
      <c r="AM759" s="1508" t="s">
        <v>10436</v>
      </c>
      <c r="AN759" s="3401">
        <v>44845</v>
      </c>
      <c r="AO759" s="3402" t="s">
        <v>10442</v>
      </c>
      <c r="AP759" s="2905" t="s">
        <v>10102</v>
      </c>
      <c r="AQ759" s="2906">
        <v>1.1100000000000001</v>
      </c>
      <c r="AR759" s="1506"/>
      <c r="AS759" s="1507"/>
      <c r="AT759" s="1507"/>
      <c r="AU759" s="1507"/>
      <c r="AV759" s="1507"/>
      <c r="AW759" s="3247">
        <v>1800</v>
      </c>
      <c r="AX759" s="3146"/>
      <c r="BA759" s="267"/>
      <c r="BB759" s="267"/>
      <c r="BC759" s="4117">
        <f t="shared" si="195"/>
        <v>0</v>
      </c>
      <c r="BD759" s="4117">
        <f t="shared" si="196"/>
        <v>0</v>
      </c>
      <c r="BE759" s="5071"/>
      <c r="BF759" s="267"/>
      <c r="BG759" s="267"/>
      <c r="BH759" s="267"/>
    </row>
    <row r="760" spans="1:60" ht="76.5">
      <c r="A760" s="5981" t="s">
        <v>11003</v>
      </c>
      <c r="B760" s="1538" t="s">
        <v>10497</v>
      </c>
      <c r="C760" s="1509">
        <v>0</v>
      </c>
      <c r="D760" s="1510">
        <v>44586</v>
      </c>
      <c r="E760" s="4344" t="s">
        <v>9156</v>
      </c>
      <c r="F760" s="2497" t="s">
        <v>9005</v>
      </c>
      <c r="G760" s="5387">
        <v>1.0956269999999999</v>
      </c>
      <c r="H760" s="1513" t="s">
        <v>9620</v>
      </c>
      <c r="I760" s="1514" t="s">
        <v>9607</v>
      </c>
      <c r="J760" s="4345" t="s">
        <v>4306</v>
      </c>
      <c r="K760" s="1516">
        <v>45316</v>
      </c>
      <c r="L760" s="1514" t="s">
        <v>9608</v>
      </c>
      <c r="M760" s="1515" t="s">
        <v>9609</v>
      </c>
      <c r="N760" s="1514" t="s">
        <v>9610</v>
      </c>
      <c r="O760" s="1515" t="s">
        <v>9609</v>
      </c>
      <c r="P760" s="1517" t="s">
        <v>10437</v>
      </c>
      <c r="Q760" s="6094" t="s">
        <v>9047</v>
      </c>
      <c r="R760" s="1515" t="s">
        <v>945</v>
      </c>
      <c r="S760" s="1518"/>
      <c r="T760" s="1519"/>
      <c r="U760" s="1504"/>
      <c r="V760" s="1520"/>
      <c r="W760" s="1519"/>
      <c r="X760" s="1504"/>
      <c r="Y760" s="1520"/>
      <c r="Z760" s="1519"/>
      <c r="AA760" s="1504"/>
      <c r="AB760" s="1520"/>
      <c r="AC760" s="1519"/>
      <c r="AD760" s="1504"/>
      <c r="AE760" s="1520"/>
      <c r="AF760" s="1519"/>
      <c r="AG760" s="1504"/>
      <c r="AH760" s="1520"/>
      <c r="AI760" s="1503">
        <v>0</v>
      </c>
      <c r="AJ760" s="1504">
        <v>0</v>
      </c>
      <c r="AK760" s="3919">
        <v>0</v>
      </c>
      <c r="AL760" s="1505">
        <f t="shared" si="220"/>
        <v>0</v>
      </c>
      <c r="AM760" s="1508" t="s">
        <v>9365</v>
      </c>
      <c r="AN760" s="3401">
        <v>44845</v>
      </c>
      <c r="AO760" s="3402" t="s">
        <v>10443</v>
      </c>
      <c r="AP760" s="3539" t="s">
        <v>10102</v>
      </c>
      <c r="AQ760" s="4189">
        <v>1.1100000000000001</v>
      </c>
      <c r="AR760" s="1506"/>
      <c r="AS760" s="1507"/>
      <c r="AT760" s="1507"/>
      <c r="AU760" s="1507"/>
      <c r="AV760" s="1507"/>
      <c r="AW760" s="3247">
        <v>745</v>
      </c>
      <c r="AX760" s="3146"/>
      <c r="BB760" s="267"/>
      <c r="BC760" s="4117">
        <f t="shared" si="195"/>
        <v>0</v>
      </c>
      <c r="BD760" s="4117">
        <f t="shared" si="196"/>
        <v>0</v>
      </c>
      <c r="BE760" s="5071"/>
      <c r="BF760" s="267"/>
      <c r="BG760" s="267"/>
      <c r="BH760" s="267"/>
    </row>
    <row r="761" spans="1:60" ht="76.5">
      <c r="A761" s="5981" t="s">
        <v>11003</v>
      </c>
      <c r="B761" s="1538" t="s">
        <v>10419</v>
      </c>
      <c r="C761" s="1509">
        <v>0</v>
      </c>
      <c r="D761" s="1510">
        <v>44483</v>
      </c>
      <c r="E761" s="4344" t="s">
        <v>9156</v>
      </c>
      <c r="F761" s="2497" t="s">
        <v>9005</v>
      </c>
      <c r="G761" s="5387">
        <v>1.0956269999999999</v>
      </c>
      <c r="H761" s="1513" t="s">
        <v>9326</v>
      </c>
      <c r="I761" s="1514" t="s">
        <v>5753</v>
      </c>
      <c r="J761" s="1515" t="s">
        <v>2712</v>
      </c>
      <c r="K761" s="1516">
        <v>45942</v>
      </c>
      <c r="L761" s="1514" t="s">
        <v>9327</v>
      </c>
      <c r="M761" s="1515" t="s">
        <v>9328</v>
      </c>
      <c r="N761" s="1514" t="s">
        <v>9329</v>
      </c>
      <c r="O761" s="1513" t="s">
        <v>9330</v>
      </c>
      <c r="P761" s="1517"/>
      <c r="Q761" s="1515" t="s">
        <v>4127</v>
      </c>
      <c r="R761" s="1515" t="s">
        <v>8326</v>
      </c>
      <c r="S761" s="1518"/>
      <c r="T761" s="1519"/>
      <c r="U761" s="1504"/>
      <c r="V761" s="1520"/>
      <c r="W761" s="1519"/>
      <c r="X761" s="1504"/>
      <c r="Y761" s="1520"/>
      <c r="Z761" s="1519"/>
      <c r="AA761" s="1504"/>
      <c r="AB761" s="1520"/>
      <c r="AC761" s="1519"/>
      <c r="AD761" s="1504"/>
      <c r="AE761" s="1520"/>
      <c r="AF761" s="1519"/>
      <c r="AG761" s="1504"/>
      <c r="AH761" s="1520"/>
      <c r="AI761" s="1503">
        <v>18406</v>
      </c>
      <c r="AJ761" s="1504">
        <v>0</v>
      </c>
      <c r="AK761" s="3919">
        <v>0</v>
      </c>
      <c r="AL761" s="1505">
        <f t="shared" ref="AL761:AL767" si="221">AI761-AJ761-AK761</f>
        <v>18406</v>
      </c>
      <c r="AM761" s="1508" t="s">
        <v>1061</v>
      </c>
      <c r="AN761" s="3401">
        <v>44847</v>
      </c>
      <c r="AO761" s="3402" t="s">
        <v>10452</v>
      </c>
      <c r="AP761" s="2905" t="s">
        <v>10102</v>
      </c>
      <c r="AQ761" s="2906">
        <v>1.1100000000000001</v>
      </c>
      <c r="AR761" s="1506"/>
      <c r="AS761" s="1507"/>
      <c r="AT761" s="1507"/>
      <c r="AU761" s="1507"/>
      <c r="AV761" s="1507"/>
      <c r="AW761" s="3247">
        <f t="shared" ref="AW761:AW767" si="222">ROUND(AL761*AQ761/G761,0)</f>
        <v>18647</v>
      </c>
      <c r="AX761" s="3146"/>
      <c r="BB761" s="267"/>
      <c r="BC761" s="4117">
        <f t="shared" si="195"/>
        <v>0</v>
      </c>
      <c r="BD761" s="4117">
        <f t="shared" si="196"/>
        <v>0</v>
      </c>
      <c r="BE761" s="5071"/>
      <c r="BF761" s="267"/>
      <c r="BG761" s="267"/>
      <c r="BH761" s="267"/>
    </row>
    <row r="762" spans="1:60" ht="76.5">
      <c r="A762" s="5981" t="s">
        <v>11003</v>
      </c>
      <c r="B762" s="1538" t="s">
        <v>10444</v>
      </c>
      <c r="C762" s="1509">
        <v>0</v>
      </c>
      <c r="D762" s="1510">
        <v>44299</v>
      </c>
      <c r="E762" s="4344" t="s">
        <v>8170</v>
      </c>
      <c r="F762" s="1511" t="s">
        <v>7957</v>
      </c>
      <c r="G762" s="2663">
        <v>1.0795220000000001</v>
      </c>
      <c r="H762" s="1513" t="s">
        <v>8702</v>
      </c>
      <c r="I762" s="1514" t="s">
        <v>1433</v>
      </c>
      <c r="J762" s="1515" t="s">
        <v>1434</v>
      </c>
      <c r="K762" s="1516">
        <v>46483</v>
      </c>
      <c r="L762" s="1514" t="s">
        <v>8695</v>
      </c>
      <c r="M762" s="1515" t="s">
        <v>7838</v>
      </c>
      <c r="N762" s="1514" t="s">
        <v>8692</v>
      </c>
      <c r="O762" s="1513" t="s">
        <v>8691</v>
      </c>
      <c r="P762" s="1517" t="s">
        <v>8697</v>
      </c>
      <c r="Q762" s="1515" t="s">
        <v>8700</v>
      </c>
      <c r="R762" s="1515" t="s">
        <v>8698</v>
      </c>
      <c r="S762" s="1518" t="s">
        <v>8696</v>
      </c>
      <c r="T762" s="1519"/>
      <c r="U762" s="1504"/>
      <c r="V762" s="1520"/>
      <c r="W762" s="1519"/>
      <c r="X762" s="1504"/>
      <c r="Y762" s="1520"/>
      <c r="Z762" s="1519"/>
      <c r="AA762" s="1504"/>
      <c r="AB762" s="1520"/>
      <c r="AC762" s="1519"/>
      <c r="AD762" s="1504"/>
      <c r="AE762" s="1520"/>
      <c r="AF762" s="1519"/>
      <c r="AG762" s="1504"/>
      <c r="AH762" s="1520"/>
      <c r="AI762" s="1503">
        <v>38126</v>
      </c>
      <c r="AJ762" s="1504">
        <v>0</v>
      </c>
      <c r="AK762" s="3919">
        <v>1427</v>
      </c>
      <c r="AL762" s="1505">
        <f t="shared" si="221"/>
        <v>36699</v>
      </c>
      <c r="AM762" s="1508" t="s">
        <v>2977</v>
      </c>
      <c r="AN762" s="3401">
        <v>44847</v>
      </c>
      <c r="AO762" s="3402" t="s">
        <v>10453</v>
      </c>
      <c r="AP762" s="2905" t="s">
        <v>10102</v>
      </c>
      <c r="AQ762" s="2906">
        <v>1.1100000000000001</v>
      </c>
      <c r="AR762" s="1506"/>
      <c r="AS762" s="1507"/>
      <c r="AT762" s="1507"/>
      <c r="AU762" s="1507"/>
      <c r="AV762" s="1507"/>
      <c r="AW762" s="3247">
        <f t="shared" si="222"/>
        <v>37735</v>
      </c>
      <c r="AX762" s="3146"/>
      <c r="BA762" s="267"/>
      <c r="BB762" s="267"/>
      <c r="BC762" s="4117">
        <f t="shared" si="195"/>
        <v>0</v>
      </c>
      <c r="BD762" s="4117">
        <f t="shared" si="196"/>
        <v>1467</v>
      </c>
      <c r="BE762" s="5071"/>
      <c r="BF762" s="267"/>
      <c r="BG762" s="267"/>
      <c r="BH762" s="267"/>
    </row>
    <row r="763" spans="1:60" ht="76.5">
      <c r="A763" s="5981" t="s">
        <v>11003</v>
      </c>
      <c r="B763" s="1538" t="s">
        <v>10445</v>
      </c>
      <c r="C763" s="1509">
        <v>0</v>
      </c>
      <c r="D763" s="1510">
        <v>44299</v>
      </c>
      <c r="E763" s="4344" t="s">
        <v>8170</v>
      </c>
      <c r="F763" s="1511" t="s">
        <v>7957</v>
      </c>
      <c r="G763" s="2663">
        <v>1.0795220000000001</v>
      </c>
      <c r="H763" s="1513" t="s">
        <v>8703</v>
      </c>
      <c r="I763" s="1514" t="s">
        <v>1433</v>
      </c>
      <c r="J763" s="1515" t="s">
        <v>1434</v>
      </c>
      <c r="K763" s="1516">
        <v>46483</v>
      </c>
      <c r="L763" s="1514" t="s">
        <v>8695</v>
      </c>
      <c r="M763" s="1515" t="s">
        <v>7838</v>
      </c>
      <c r="N763" s="1514" t="s">
        <v>8694</v>
      </c>
      <c r="O763" s="1513" t="s">
        <v>8693</v>
      </c>
      <c r="P763" s="1517" t="s">
        <v>8697</v>
      </c>
      <c r="Q763" s="1515" t="s">
        <v>8699</v>
      </c>
      <c r="R763" s="1515" t="s">
        <v>8698</v>
      </c>
      <c r="S763" s="1518" t="s">
        <v>8701</v>
      </c>
      <c r="T763" s="1519"/>
      <c r="U763" s="1504"/>
      <c r="V763" s="1520"/>
      <c r="W763" s="1519"/>
      <c r="X763" s="1504"/>
      <c r="Y763" s="1520"/>
      <c r="Z763" s="1519"/>
      <c r="AA763" s="1504"/>
      <c r="AB763" s="1520"/>
      <c r="AC763" s="1519"/>
      <c r="AD763" s="1504"/>
      <c r="AE763" s="1520"/>
      <c r="AF763" s="1519"/>
      <c r="AG763" s="1504"/>
      <c r="AH763" s="1520"/>
      <c r="AI763" s="1503">
        <v>44261</v>
      </c>
      <c r="AJ763" s="1504">
        <v>0</v>
      </c>
      <c r="AK763" s="3919">
        <v>1496</v>
      </c>
      <c r="AL763" s="1505">
        <f t="shared" si="221"/>
        <v>42765</v>
      </c>
      <c r="AM763" s="1508" t="s">
        <v>1061</v>
      </c>
      <c r="AN763" s="3401">
        <v>44847</v>
      </c>
      <c r="AO763" s="3402" t="s">
        <v>10454</v>
      </c>
      <c r="AP763" s="2905" t="s">
        <v>10102</v>
      </c>
      <c r="AQ763" s="2906">
        <v>1.1100000000000001</v>
      </c>
      <c r="AR763" s="1506"/>
      <c r="AS763" s="1507"/>
      <c r="AT763" s="1507"/>
      <c r="AU763" s="1507"/>
      <c r="AV763" s="1507"/>
      <c r="AW763" s="3247">
        <f t="shared" si="222"/>
        <v>43972</v>
      </c>
      <c r="AX763" s="3146"/>
      <c r="BA763" s="267"/>
      <c r="BB763" s="267"/>
      <c r="BC763" s="4117">
        <f t="shared" si="195"/>
        <v>0</v>
      </c>
      <c r="BD763" s="4117">
        <f t="shared" si="196"/>
        <v>1538</v>
      </c>
      <c r="BE763" s="5071"/>
      <c r="BF763" s="267"/>
      <c r="BG763" s="267"/>
      <c r="BH763" s="267"/>
    </row>
    <row r="764" spans="1:60" ht="76.5">
      <c r="A764" s="5981" t="s">
        <v>11022</v>
      </c>
      <c r="B764" s="1538" t="s">
        <v>10064</v>
      </c>
      <c r="C764" s="1509">
        <v>0</v>
      </c>
      <c r="D764" s="1510">
        <v>44698</v>
      </c>
      <c r="E764" s="4344" t="s">
        <v>9156</v>
      </c>
      <c r="F764" s="2497" t="s">
        <v>9005</v>
      </c>
      <c r="G764" s="5387">
        <v>1.0956269999999999</v>
      </c>
      <c r="H764" s="1513" t="s">
        <v>10059</v>
      </c>
      <c r="I764" s="1514" t="s">
        <v>5753</v>
      </c>
      <c r="J764" s="1515" t="s">
        <v>2712</v>
      </c>
      <c r="K764" s="1516">
        <v>46189</v>
      </c>
      <c r="L764" s="1514" t="s">
        <v>786</v>
      </c>
      <c r="M764" s="1515" t="s">
        <v>9803</v>
      </c>
      <c r="N764" s="1514" t="s">
        <v>10060</v>
      </c>
      <c r="O764" s="1513" t="s">
        <v>10062</v>
      </c>
      <c r="P764" s="1517"/>
      <c r="Q764" s="1515" t="s">
        <v>10066</v>
      </c>
      <c r="R764" s="1515" t="s">
        <v>10063</v>
      </c>
      <c r="S764" s="1518"/>
      <c r="T764" s="1519"/>
      <c r="U764" s="1504"/>
      <c r="V764" s="1520"/>
      <c r="W764" s="1519"/>
      <c r="X764" s="1504"/>
      <c r="Y764" s="1520"/>
      <c r="Z764" s="1519"/>
      <c r="AA764" s="1504"/>
      <c r="AB764" s="1520"/>
      <c r="AC764" s="1519"/>
      <c r="AD764" s="1504"/>
      <c r="AE764" s="1520"/>
      <c r="AF764" s="1519"/>
      <c r="AG764" s="1504"/>
      <c r="AH764" s="1520"/>
      <c r="AI764" s="1503">
        <v>15682</v>
      </c>
      <c r="AJ764" s="1504">
        <v>0</v>
      </c>
      <c r="AK764" s="3919">
        <v>0</v>
      </c>
      <c r="AL764" s="1505">
        <f t="shared" si="221"/>
        <v>15682</v>
      </c>
      <c r="AM764" s="1508" t="s">
        <v>2977</v>
      </c>
      <c r="AN764" s="3401">
        <v>44848</v>
      </c>
      <c r="AO764" s="3402" t="s">
        <v>10474</v>
      </c>
      <c r="AP764" s="2905" t="s">
        <v>10102</v>
      </c>
      <c r="AQ764" s="2906">
        <v>1.1100000000000001</v>
      </c>
      <c r="AR764" s="1506"/>
      <c r="AS764" s="1507"/>
      <c r="AT764" s="1507"/>
      <c r="AU764" s="1507"/>
      <c r="AV764" s="1507"/>
      <c r="AW764" s="3247">
        <f t="shared" si="222"/>
        <v>15888</v>
      </c>
      <c r="AX764" s="3146"/>
      <c r="BB764" s="267"/>
      <c r="BC764" s="4117">
        <f t="shared" si="195"/>
        <v>0</v>
      </c>
      <c r="BD764" s="4117">
        <f t="shared" si="196"/>
        <v>0</v>
      </c>
      <c r="BE764" s="5071"/>
      <c r="BF764" s="267"/>
      <c r="BG764" s="267"/>
      <c r="BH764" s="267"/>
    </row>
    <row r="765" spans="1:60" ht="76.5">
      <c r="A765" s="5981" t="s">
        <v>11003</v>
      </c>
      <c r="B765" s="1538" t="s">
        <v>10471</v>
      </c>
      <c r="C765" s="1509">
        <v>0</v>
      </c>
      <c r="D765" s="1510">
        <v>44375</v>
      </c>
      <c r="E765" s="4344" t="s">
        <v>8170</v>
      </c>
      <c r="F765" s="1511" t="s">
        <v>7957</v>
      </c>
      <c r="G765" s="2663">
        <v>1.0795220000000001</v>
      </c>
      <c r="H765" s="1513" t="s">
        <v>10472</v>
      </c>
      <c r="I765" s="1514" t="s">
        <v>1433</v>
      </c>
      <c r="J765" s="1515" t="s">
        <v>1434</v>
      </c>
      <c r="K765" s="1516">
        <v>46561</v>
      </c>
      <c r="L765" s="1514" t="s">
        <v>8962</v>
      </c>
      <c r="M765" s="1515" t="s">
        <v>5165</v>
      </c>
      <c r="N765" s="1514" t="s">
        <v>8963</v>
      </c>
      <c r="O765" s="1513" t="s">
        <v>8964</v>
      </c>
      <c r="P765" s="1517"/>
      <c r="Q765" s="1515" t="s">
        <v>8965</v>
      </c>
      <c r="R765" s="1515" t="s">
        <v>6842</v>
      </c>
      <c r="S765" s="1518"/>
      <c r="T765" s="1519"/>
      <c r="U765" s="1504"/>
      <c r="V765" s="1520"/>
      <c r="W765" s="1519"/>
      <c r="X765" s="1504"/>
      <c r="Y765" s="1520"/>
      <c r="Z765" s="1519"/>
      <c r="AA765" s="1504"/>
      <c r="AB765" s="1520"/>
      <c r="AC765" s="1519"/>
      <c r="AD765" s="1504"/>
      <c r="AE765" s="1520"/>
      <c r="AF765" s="1519"/>
      <c r="AG765" s="1504"/>
      <c r="AH765" s="1520"/>
      <c r="AI765" s="1503">
        <v>44044</v>
      </c>
      <c r="AJ765" s="1504">
        <v>0</v>
      </c>
      <c r="AK765" s="3919">
        <v>0</v>
      </c>
      <c r="AL765" s="1505">
        <f t="shared" si="221"/>
        <v>44044</v>
      </c>
      <c r="AM765" s="1508" t="s">
        <v>1061</v>
      </c>
      <c r="AN765" s="3401">
        <v>44853</v>
      </c>
      <c r="AO765" s="3402" t="s">
        <v>10483</v>
      </c>
      <c r="AP765" s="2905" t="s">
        <v>10102</v>
      </c>
      <c r="AQ765" s="2906">
        <v>1.1100000000000001</v>
      </c>
      <c r="AR765" s="1506"/>
      <c r="AS765" s="1507"/>
      <c r="AT765" s="1507"/>
      <c r="AU765" s="1507"/>
      <c r="AV765" s="1507"/>
      <c r="AW765" s="3247">
        <f t="shared" si="222"/>
        <v>45287</v>
      </c>
      <c r="AX765" s="3146"/>
      <c r="BA765" s="267"/>
      <c r="BB765" s="267"/>
      <c r="BC765" s="4117">
        <f t="shared" ref="BC765:BC828" si="223">ROUND($AJ765*$AQ765/$G765,0)</f>
        <v>0</v>
      </c>
      <c r="BD765" s="4117">
        <f t="shared" ref="BD765:BD828" si="224">ROUND($AK765*$AQ765/$G765,0)</f>
        <v>0</v>
      </c>
      <c r="BE765" s="5071"/>
      <c r="BF765" s="267"/>
      <c r="BG765" s="267"/>
      <c r="BH765" s="267"/>
    </row>
    <row r="766" spans="1:60" ht="38.25">
      <c r="A766" s="6017" t="s">
        <v>11005</v>
      </c>
      <c r="B766" s="1569" t="s">
        <v>10487</v>
      </c>
      <c r="C766" s="1570">
        <v>0</v>
      </c>
      <c r="D766" s="1571">
        <v>43682</v>
      </c>
      <c r="E766" s="3796" t="s">
        <v>6386</v>
      </c>
      <c r="F766" s="4838" t="s">
        <v>6893</v>
      </c>
      <c r="G766" s="3797">
        <v>1.047839</v>
      </c>
      <c r="H766" s="1573" t="s">
        <v>6997</v>
      </c>
      <c r="I766" s="1514" t="s">
        <v>1433</v>
      </c>
      <c r="J766" s="1515" t="s">
        <v>1434</v>
      </c>
      <c r="K766" s="1516">
        <v>45874</v>
      </c>
      <c r="L766" s="1574" t="s">
        <v>1831</v>
      </c>
      <c r="M766" s="1515" t="s">
        <v>1957</v>
      </c>
      <c r="N766" s="1514" t="s">
        <v>6999</v>
      </c>
      <c r="O766" s="1513" t="s">
        <v>6998</v>
      </c>
      <c r="P766" s="1517"/>
      <c r="Q766" s="1515" t="s">
        <v>7000</v>
      </c>
      <c r="R766" s="1515" t="s">
        <v>5644</v>
      </c>
      <c r="S766" s="1577" t="s">
        <v>6786</v>
      </c>
      <c r="T766" s="1519"/>
      <c r="U766" s="1504"/>
      <c r="V766" s="1520"/>
      <c r="W766" s="1519"/>
      <c r="X766" s="1504"/>
      <c r="Y766" s="1520"/>
      <c r="Z766" s="1519"/>
      <c r="AA766" s="1504"/>
      <c r="AB766" s="1520"/>
      <c r="AC766" s="1519"/>
      <c r="AD766" s="1504"/>
      <c r="AE766" s="1520"/>
      <c r="AF766" s="1519"/>
      <c r="AG766" s="1504"/>
      <c r="AH766" s="1520"/>
      <c r="AI766" s="1503">
        <v>163028</v>
      </c>
      <c r="AJ766" s="1504">
        <v>163028</v>
      </c>
      <c r="AK766" s="3919">
        <v>0</v>
      </c>
      <c r="AL766" s="1505">
        <f t="shared" si="221"/>
        <v>0</v>
      </c>
      <c r="AM766" s="1508" t="s">
        <v>5683</v>
      </c>
      <c r="AN766" s="3401"/>
      <c r="AO766" s="3402"/>
      <c r="AP766" s="2905" t="s">
        <v>10102</v>
      </c>
      <c r="AQ766" s="2906">
        <v>1.1100000000000001</v>
      </c>
      <c r="AR766" s="1506"/>
      <c r="AS766" s="1507"/>
      <c r="AT766" s="1507"/>
      <c r="AU766" s="1507"/>
      <c r="AV766" s="1507"/>
      <c r="AW766" s="3247">
        <f t="shared" si="222"/>
        <v>0</v>
      </c>
      <c r="AX766" s="3146"/>
      <c r="BA766" s="267"/>
      <c r="BB766" s="267"/>
      <c r="BC766" s="4117">
        <f t="shared" si="223"/>
        <v>172699</v>
      </c>
      <c r="BD766" s="4117">
        <f t="shared" si="224"/>
        <v>0</v>
      </c>
      <c r="BE766" s="5071"/>
      <c r="BF766" s="267"/>
      <c r="BG766" s="267"/>
      <c r="BH766" s="267"/>
    </row>
    <row r="767" spans="1:60" ht="114.75">
      <c r="A767" s="5981" t="s">
        <v>11003</v>
      </c>
      <c r="B767" s="1569" t="s">
        <v>10486</v>
      </c>
      <c r="C767" s="1570">
        <v>0</v>
      </c>
      <c r="D767" s="1571">
        <v>44266</v>
      </c>
      <c r="E767" s="4221" t="s">
        <v>8170</v>
      </c>
      <c r="F767" s="1572" t="s">
        <v>7957</v>
      </c>
      <c r="G767" s="2622">
        <v>1.0795220000000001</v>
      </c>
      <c r="H767" s="1573" t="s">
        <v>8607</v>
      </c>
      <c r="I767" s="1514" t="s">
        <v>1433</v>
      </c>
      <c r="J767" s="1515" t="s">
        <v>1434</v>
      </c>
      <c r="K767" s="1516">
        <v>46436</v>
      </c>
      <c r="L767" s="1574" t="s">
        <v>8609</v>
      </c>
      <c r="M767" s="1515" t="s">
        <v>1957</v>
      </c>
      <c r="N767" s="1514" t="s">
        <v>8610</v>
      </c>
      <c r="O767" s="1513" t="s">
        <v>8611</v>
      </c>
      <c r="P767" s="1517" t="s">
        <v>8608</v>
      </c>
      <c r="Q767" s="1515" t="s">
        <v>8612</v>
      </c>
      <c r="R767" s="1515" t="s">
        <v>8450</v>
      </c>
      <c r="S767" s="1577" t="s">
        <v>3476</v>
      </c>
      <c r="T767" s="1519"/>
      <c r="U767" s="1504"/>
      <c r="V767" s="1520"/>
      <c r="W767" s="1519"/>
      <c r="X767" s="1504"/>
      <c r="Y767" s="1520"/>
      <c r="Z767" s="1519"/>
      <c r="AA767" s="1504"/>
      <c r="AB767" s="1520"/>
      <c r="AC767" s="1519"/>
      <c r="AD767" s="1504"/>
      <c r="AE767" s="1520"/>
      <c r="AF767" s="1519"/>
      <c r="AG767" s="1504"/>
      <c r="AH767" s="1520"/>
      <c r="AI767" s="1503">
        <v>3661</v>
      </c>
      <c r="AJ767" s="1504">
        <v>3661</v>
      </c>
      <c r="AK767" s="3919">
        <v>0</v>
      </c>
      <c r="AL767" s="1505">
        <f t="shared" si="221"/>
        <v>0</v>
      </c>
      <c r="AM767" s="1508" t="s">
        <v>5683</v>
      </c>
      <c r="AN767" s="3401"/>
      <c r="AO767" s="3402"/>
      <c r="AP767" s="2905" t="s">
        <v>10102</v>
      </c>
      <c r="AQ767" s="2906">
        <v>1.1100000000000001</v>
      </c>
      <c r="AR767" s="1506"/>
      <c r="AS767" s="1507"/>
      <c r="AT767" s="1507"/>
      <c r="AU767" s="1507"/>
      <c r="AV767" s="1507"/>
      <c r="AW767" s="3247">
        <f t="shared" si="222"/>
        <v>0</v>
      </c>
      <c r="AX767" s="3146"/>
      <c r="BA767" s="267"/>
      <c r="BB767" s="267"/>
      <c r="BC767" s="4117">
        <f t="shared" si="223"/>
        <v>3764</v>
      </c>
      <c r="BD767" s="4117">
        <f t="shared" si="224"/>
        <v>0</v>
      </c>
      <c r="BE767" s="5071"/>
      <c r="BF767" s="267"/>
      <c r="BG767" s="267"/>
      <c r="BH767" s="267"/>
    </row>
    <row r="768" spans="1:60" ht="76.5">
      <c r="A768" s="5981" t="s">
        <v>11003</v>
      </c>
      <c r="B768" s="1538" t="s">
        <v>10246</v>
      </c>
      <c r="C768" s="1509">
        <v>0</v>
      </c>
      <c r="D768" s="1510">
        <v>44853</v>
      </c>
      <c r="E768" s="4344" t="s">
        <v>10324</v>
      </c>
      <c r="F768" s="2497" t="s">
        <v>10101</v>
      </c>
      <c r="G768" s="5387">
        <v>1.1100000000000001</v>
      </c>
      <c r="H768" s="1513" t="s">
        <v>10479</v>
      </c>
      <c r="I768" s="1514" t="s">
        <v>9560</v>
      </c>
      <c r="J768" s="4345" t="s">
        <v>4306</v>
      </c>
      <c r="K768" s="1516">
        <v>45582</v>
      </c>
      <c r="L768" s="1514" t="s">
        <v>10480</v>
      </c>
      <c r="M768" s="1515" t="s">
        <v>9660</v>
      </c>
      <c r="N768" s="1514" t="s">
        <v>10481</v>
      </c>
      <c r="O768" s="1513" t="s">
        <v>10482</v>
      </c>
      <c r="P768" s="1517"/>
      <c r="Q768" s="6094" t="s">
        <v>10478</v>
      </c>
      <c r="R768" s="1515" t="s">
        <v>8105</v>
      </c>
      <c r="S768" s="1518"/>
      <c r="T768" s="1519"/>
      <c r="U768" s="1504"/>
      <c r="V768" s="1520"/>
      <c r="W768" s="1519"/>
      <c r="X768" s="1504"/>
      <c r="Y768" s="1520"/>
      <c r="Z768" s="1519"/>
      <c r="AA768" s="1504"/>
      <c r="AB768" s="1520"/>
      <c r="AC768" s="1519"/>
      <c r="AD768" s="1504"/>
      <c r="AE768" s="1520"/>
      <c r="AF768" s="1519"/>
      <c r="AG768" s="1504"/>
      <c r="AH768" s="1520"/>
      <c r="AI768" s="1503">
        <v>5639</v>
      </c>
      <c r="AJ768" s="1504">
        <v>0</v>
      </c>
      <c r="AK768" s="3919">
        <v>0</v>
      </c>
      <c r="AL768" s="1505">
        <f t="shared" ref="AL768:AL773" si="225">AI768-AJ768-AK768</f>
        <v>5639</v>
      </c>
      <c r="AM768" s="1508" t="s">
        <v>1061</v>
      </c>
      <c r="AN768" s="3401">
        <v>44858</v>
      </c>
      <c r="AO768" s="3402" t="s">
        <v>10488</v>
      </c>
      <c r="AP768" s="2905" t="s">
        <v>10102</v>
      </c>
      <c r="AQ768" s="2906">
        <v>1.1100000000000001</v>
      </c>
      <c r="AR768" s="1506"/>
      <c r="AS768" s="1507"/>
      <c r="AT768" s="1507"/>
      <c r="AU768" s="1507"/>
      <c r="AV768" s="1507"/>
      <c r="AW768" s="3247">
        <f>ROUND(AL768*AQ768/G768,0)</f>
        <v>5639</v>
      </c>
      <c r="AX768" s="3146"/>
      <c r="BA768" s="267"/>
      <c r="BB768" s="267"/>
      <c r="BC768" s="4117">
        <f t="shared" si="223"/>
        <v>0</v>
      </c>
      <c r="BD768" s="4117">
        <f t="shared" si="224"/>
        <v>0</v>
      </c>
      <c r="BE768" s="5071"/>
      <c r="BF768" s="267"/>
      <c r="BG768" s="267"/>
      <c r="BH768" s="267"/>
    </row>
    <row r="769" spans="1:60" ht="76.5">
      <c r="A769" s="5981" t="s">
        <v>11003</v>
      </c>
      <c r="B769" s="1538" t="s">
        <v>7616</v>
      </c>
      <c r="C769" s="1509">
        <v>0</v>
      </c>
      <c r="D769" s="1510">
        <v>44179</v>
      </c>
      <c r="E769" s="4344" t="s">
        <v>8170</v>
      </c>
      <c r="F769" s="1511" t="s">
        <v>7957</v>
      </c>
      <c r="G769" s="2663">
        <v>1.0795220000000001</v>
      </c>
      <c r="H769" s="1513" t="s">
        <v>8399</v>
      </c>
      <c r="I769" s="1514" t="s">
        <v>1433</v>
      </c>
      <c r="J769" s="1515" t="s">
        <v>1434</v>
      </c>
      <c r="K769" s="1516">
        <v>45640</v>
      </c>
      <c r="L769" s="1514" t="s">
        <v>8400</v>
      </c>
      <c r="M769" s="1515" t="s">
        <v>6628</v>
      </c>
      <c r="N769" s="1514" t="s">
        <v>8401</v>
      </c>
      <c r="O769" s="1513" t="s">
        <v>8402</v>
      </c>
      <c r="P769" s="1517"/>
      <c r="Q769" s="1515" t="s">
        <v>8403</v>
      </c>
      <c r="R769" s="1515" t="s">
        <v>8404</v>
      </c>
      <c r="S769" s="1518"/>
      <c r="T769" s="1519"/>
      <c r="U769" s="1504"/>
      <c r="V769" s="1520"/>
      <c r="W769" s="1519"/>
      <c r="X769" s="1504"/>
      <c r="Y769" s="1520"/>
      <c r="Z769" s="1519"/>
      <c r="AA769" s="1504"/>
      <c r="AB769" s="1520"/>
      <c r="AC769" s="1519"/>
      <c r="AD769" s="1504"/>
      <c r="AE769" s="1520"/>
      <c r="AF769" s="1519"/>
      <c r="AG769" s="1504"/>
      <c r="AH769" s="1520"/>
      <c r="AI769" s="1503">
        <v>36272</v>
      </c>
      <c r="AJ769" s="1504">
        <v>0</v>
      </c>
      <c r="AK769" s="3919">
        <v>0</v>
      </c>
      <c r="AL769" s="1505">
        <f t="shared" si="225"/>
        <v>36272</v>
      </c>
      <c r="AM769" s="1508" t="s">
        <v>1061</v>
      </c>
      <c r="AN769" s="3401">
        <v>44860</v>
      </c>
      <c r="AO769" s="3402" t="s">
        <v>10489</v>
      </c>
      <c r="AP769" s="2905" t="s">
        <v>10102</v>
      </c>
      <c r="AQ769" s="2906">
        <v>1.1100000000000001</v>
      </c>
      <c r="AR769" s="1506"/>
      <c r="AS769" s="1507"/>
      <c r="AT769" s="1507"/>
      <c r="AU769" s="1507"/>
      <c r="AV769" s="1507"/>
      <c r="AW769" s="3247">
        <f>ROUND(AL769*AQ769/G769,0)</f>
        <v>37296</v>
      </c>
      <c r="AX769" s="3146"/>
      <c r="BB769" s="267"/>
      <c r="BC769" s="4117">
        <f t="shared" si="223"/>
        <v>0</v>
      </c>
      <c r="BD769" s="4117">
        <f t="shared" si="224"/>
        <v>0</v>
      </c>
      <c r="BE769" s="5071"/>
      <c r="BF769" s="267"/>
      <c r="BG769" s="267"/>
      <c r="BH769" s="267"/>
    </row>
    <row r="770" spans="1:60" ht="89.25">
      <c r="A770" s="5981" t="s">
        <v>11003</v>
      </c>
      <c r="B770" s="1538" t="s">
        <v>10490</v>
      </c>
      <c r="C770" s="1509">
        <v>0</v>
      </c>
      <c r="D770" s="1510">
        <v>44482</v>
      </c>
      <c r="E770" s="4344" t="s">
        <v>9156</v>
      </c>
      <c r="F770" s="2497" t="s">
        <v>9005</v>
      </c>
      <c r="G770" s="5387">
        <v>1.0956269999999999</v>
      </c>
      <c r="H770" s="1513" t="s">
        <v>9318</v>
      </c>
      <c r="I770" s="1514" t="s">
        <v>9316</v>
      </c>
      <c r="J770" s="4345" t="s">
        <v>4306</v>
      </c>
      <c r="K770" s="1516">
        <v>44742</v>
      </c>
      <c r="L770" s="1514" t="s">
        <v>9313</v>
      </c>
      <c r="M770" s="1515" t="s">
        <v>9314</v>
      </c>
      <c r="N770" s="1514" t="s">
        <v>9317</v>
      </c>
      <c r="O770" s="1513" t="s">
        <v>9315</v>
      </c>
      <c r="P770" s="1517"/>
      <c r="Q770" s="6094" t="s">
        <v>9047</v>
      </c>
      <c r="R770" s="1515" t="s">
        <v>129</v>
      </c>
      <c r="S770" s="1518"/>
      <c r="T770" s="1519"/>
      <c r="U770" s="1504"/>
      <c r="V770" s="1520"/>
      <c r="W770" s="1519"/>
      <c r="X770" s="1504"/>
      <c r="Y770" s="1520"/>
      <c r="Z770" s="1519"/>
      <c r="AA770" s="1504"/>
      <c r="AB770" s="1520"/>
      <c r="AC770" s="1519"/>
      <c r="AD770" s="1504"/>
      <c r="AE770" s="1520"/>
      <c r="AF770" s="1519"/>
      <c r="AG770" s="1504"/>
      <c r="AH770" s="1520"/>
      <c r="AI770" s="1503">
        <v>6534</v>
      </c>
      <c r="AJ770" s="1504">
        <v>0</v>
      </c>
      <c r="AK770" s="3919">
        <v>0</v>
      </c>
      <c r="AL770" s="1505">
        <f t="shared" si="225"/>
        <v>6534</v>
      </c>
      <c r="AM770" s="1508" t="s">
        <v>1061</v>
      </c>
      <c r="AN770" s="3401">
        <v>44861</v>
      </c>
      <c r="AO770" s="3402" t="s">
        <v>10491</v>
      </c>
      <c r="AP770" s="2905" t="s">
        <v>10102</v>
      </c>
      <c r="AQ770" s="2906">
        <v>1.1100000000000001</v>
      </c>
      <c r="AR770" s="1506"/>
      <c r="AS770" s="1507"/>
      <c r="AT770" s="1507"/>
      <c r="AU770" s="1507"/>
      <c r="AV770" s="1507"/>
      <c r="AW770" s="3247">
        <f>ROUND(AL770*AQ770/G770,0)</f>
        <v>6620</v>
      </c>
      <c r="AX770" s="3146"/>
      <c r="BB770" s="267"/>
      <c r="BC770" s="4117">
        <f t="shared" si="223"/>
        <v>0</v>
      </c>
      <c r="BD770" s="4117">
        <f t="shared" si="224"/>
        <v>0</v>
      </c>
      <c r="BE770" s="5071"/>
      <c r="BF770" s="267"/>
      <c r="BG770" s="267"/>
      <c r="BH770" s="267"/>
    </row>
    <row r="771" spans="1:60" ht="89.25" customHeight="1" thickBot="1">
      <c r="A771" s="6082" t="s">
        <v>11003</v>
      </c>
      <c r="B771" s="5573" t="s">
        <v>9251</v>
      </c>
      <c r="C771" s="5772">
        <v>0</v>
      </c>
      <c r="D771" s="5773">
        <v>44642</v>
      </c>
      <c r="E771" s="5774" t="s">
        <v>9156</v>
      </c>
      <c r="F771" s="3835" t="s">
        <v>9005</v>
      </c>
      <c r="G771" s="5775">
        <v>1.0956269999999999</v>
      </c>
      <c r="H771" s="5776" t="s">
        <v>9754</v>
      </c>
      <c r="I771" s="5580" t="s">
        <v>1433</v>
      </c>
      <c r="J771" s="5777" t="s">
        <v>1434</v>
      </c>
      <c r="K771" s="5778" t="s">
        <v>4905</v>
      </c>
      <c r="L771" s="5580" t="s">
        <v>1119</v>
      </c>
      <c r="M771" s="5777" t="s">
        <v>9455</v>
      </c>
      <c r="N771" s="5580" t="s">
        <v>9756</v>
      </c>
      <c r="O771" s="5776" t="s">
        <v>9755</v>
      </c>
      <c r="P771" s="5737"/>
      <c r="Q771" s="5777" t="s">
        <v>9757</v>
      </c>
      <c r="R771" s="5777" t="s">
        <v>8105</v>
      </c>
      <c r="S771" s="5779"/>
      <c r="T771" s="5585"/>
      <c r="U771" s="5780"/>
      <c r="V771" s="5781"/>
      <c r="W771" s="5585"/>
      <c r="X771" s="5780"/>
      <c r="Y771" s="5781"/>
      <c r="Z771" s="5585"/>
      <c r="AA771" s="5780"/>
      <c r="AB771" s="5781"/>
      <c r="AC771" s="5585"/>
      <c r="AD771" s="5780"/>
      <c r="AE771" s="5781"/>
      <c r="AF771" s="5585"/>
      <c r="AG771" s="5780"/>
      <c r="AH771" s="5781"/>
      <c r="AI771" s="5588">
        <v>8950</v>
      </c>
      <c r="AJ771" s="5780">
        <v>0</v>
      </c>
      <c r="AK771" s="5782">
        <v>0</v>
      </c>
      <c r="AL771" s="5783">
        <f t="shared" si="225"/>
        <v>8950</v>
      </c>
      <c r="AM771" s="5743" t="s">
        <v>1061</v>
      </c>
      <c r="AN771" s="5784">
        <v>44862</v>
      </c>
      <c r="AO771" s="5785" t="s">
        <v>10496</v>
      </c>
      <c r="AP771" s="3851" t="s">
        <v>10102</v>
      </c>
      <c r="AQ771" s="3852">
        <v>1.1100000000000001</v>
      </c>
      <c r="AR771" s="5596"/>
      <c r="AS771" s="5786"/>
      <c r="AT771" s="5786"/>
      <c r="AU771" s="5786"/>
      <c r="AV771" s="5786"/>
      <c r="AW771" s="5787">
        <f>ROUND(AL771*AQ771/G771,0)</f>
        <v>9067</v>
      </c>
      <c r="AX771" s="5599"/>
      <c r="AY771" s="4029" t="s">
        <v>10426</v>
      </c>
      <c r="AZ771" s="3888">
        <f>SUM(AW758:AW771)</f>
        <v>228336</v>
      </c>
      <c r="BA771" s="2119">
        <f>AZ771</f>
        <v>228336</v>
      </c>
      <c r="BB771" s="267"/>
      <c r="BC771" s="4117">
        <f t="shared" si="223"/>
        <v>0</v>
      </c>
      <c r="BD771" s="4117">
        <f t="shared" si="224"/>
        <v>0</v>
      </c>
      <c r="BE771" s="5071"/>
      <c r="BF771" s="267"/>
      <c r="BG771" s="267"/>
      <c r="BH771" s="267"/>
    </row>
    <row r="772" spans="1:60" ht="153">
      <c r="A772" s="2418" t="s">
        <v>11004</v>
      </c>
      <c r="B772" s="338" t="s">
        <v>10525</v>
      </c>
      <c r="C772" s="321">
        <v>0</v>
      </c>
      <c r="D772" s="323">
        <v>43606</v>
      </c>
      <c r="E772" s="3051" t="s">
        <v>6386</v>
      </c>
      <c r="F772" s="324" t="s">
        <v>5757</v>
      </c>
      <c r="G772" s="2621">
        <v>1.0247219999999999</v>
      </c>
      <c r="H772" s="332" t="s">
        <v>6723</v>
      </c>
      <c r="I772" s="339" t="s">
        <v>6724</v>
      </c>
      <c r="J772" s="322" t="s">
        <v>4306</v>
      </c>
      <c r="K772" s="340">
        <v>44329</v>
      </c>
      <c r="L772" s="339" t="s">
        <v>6725</v>
      </c>
      <c r="M772" s="322" t="s">
        <v>6726</v>
      </c>
      <c r="N772" s="339" t="s">
        <v>6727</v>
      </c>
      <c r="O772" s="332" t="s">
        <v>6726</v>
      </c>
      <c r="P772" s="345" t="s">
        <v>9335</v>
      </c>
      <c r="Q772" s="6094" t="s">
        <v>5708</v>
      </c>
      <c r="R772" s="322" t="s">
        <v>5350</v>
      </c>
      <c r="S772" s="346"/>
      <c r="T772" s="347">
        <v>2444</v>
      </c>
      <c r="U772" s="326">
        <v>0</v>
      </c>
      <c r="V772" s="348">
        <f>T772-U772</f>
        <v>2444</v>
      </c>
      <c r="W772" s="347">
        <v>3056</v>
      </c>
      <c r="X772" s="326">
        <v>0</v>
      </c>
      <c r="Y772" s="348">
        <f>W772-X772</f>
        <v>3056</v>
      </c>
      <c r="Z772" s="347">
        <v>0</v>
      </c>
      <c r="AA772" s="326">
        <v>0</v>
      </c>
      <c r="AB772" s="348">
        <f>Z772-AA772</f>
        <v>0</v>
      </c>
      <c r="AC772" s="347"/>
      <c r="AD772" s="326"/>
      <c r="AE772" s="348"/>
      <c r="AF772" s="347"/>
      <c r="AG772" s="326"/>
      <c r="AH772" s="348"/>
      <c r="AI772" s="482">
        <f>T772+W772+Z772+AC772+AF772</f>
        <v>5500</v>
      </c>
      <c r="AJ772" s="326">
        <f>U772+X772+AA772+AD772+AG772</f>
        <v>0</v>
      </c>
      <c r="AK772" s="3917">
        <v>0</v>
      </c>
      <c r="AL772" s="349">
        <f t="shared" si="225"/>
        <v>5500</v>
      </c>
      <c r="AM772" s="5360" t="s">
        <v>10522</v>
      </c>
      <c r="AN772" s="3357">
        <v>44868</v>
      </c>
      <c r="AO772" s="695" t="s">
        <v>10524</v>
      </c>
      <c r="AP772" s="3222" t="s">
        <v>9004</v>
      </c>
      <c r="AQ772" s="3223">
        <v>1.0956269999999999</v>
      </c>
      <c r="AR772" s="333">
        <v>0</v>
      </c>
      <c r="AS772" s="330">
        <v>0</v>
      </c>
      <c r="AT772" s="330">
        <v>0</v>
      </c>
      <c r="AU772" s="330">
        <v>0</v>
      </c>
      <c r="AV772" s="330">
        <v>0</v>
      </c>
      <c r="AW772" s="3156">
        <f>ROUND(AL772*AQ772/G772,0)-1470-1000-2000</f>
        <v>1411</v>
      </c>
      <c r="AX772" s="3140"/>
      <c r="BA772" s="267"/>
      <c r="BB772" s="267"/>
      <c r="BC772" s="4117">
        <f t="shared" si="223"/>
        <v>0</v>
      </c>
      <c r="BD772" s="4117">
        <f t="shared" si="224"/>
        <v>0</v>
      </c>
      <c r="BE772" s="5071"/>
      <c r="BF772" s="267"/>
      <c r="BG772" s="267"/>
      <c r="BH772" s="267"/>
    </row>
    <row r="773" spans="1:60" ht="89.25">
      <c r="A773" s="2418" t="s">
        <v>11003</v>
      </c>
      <c r="B773" s="338" t="s">
        <v>10533</v>
      </c>
      <c r="C773" s="321">
        <v>0</v>
      </c>
      <c r="D773" s="323">
        <v>44581</v>
      </c>
      <c r="E773" s="3058" t="s">
        <v>9156</v>
      </c>
      <c r="F773" s="830" t="s">
        <v>9005</v>
      </c>
      <c r="G773" s="5356">
        <v>1.0956269999999999</v>
      </c>
      <c r="H773" s="332" t="s">
        <v>9585</v>
      </c>
      <c r="I773" s="339" t="s">
        <v>9586</v>
      </c>
      <c r="J773" s="2399" t="s">
        <v>4306</v>
      </c>
      <c r="K773" s="340">
        <v>45311</v>
      </c>
      <c r="L773" s="339" t="s">
        <v>9587</v>
      </c>
      <c r="M773" s="322" t="s">
        <v>9588</v>
      </c>
      <c r="N773" s="339" t="s">
        <v>9589</v>
      </c>
      <c r="O773" s="332" t="s">
        <v>9590</v>
      </c>
      <c r="P773" s="345"/>
      <c r="Q773" s="6094" t="s">
        <v>9047</v>
      </c>
      <c r="R773" s="322" t="s">
        <v>945</v>
      </c>
      <c r="S773" s="346"/>
      <c r="T773" s="347"/>
      <c r="U773" s="326"/>
      <c r="V773" s="348"/>
      <c r="W773" s="347"/>
      <c r="X773" s="326"/>
      <c r="Y773" s="348"/>
      <c r="Z773" s="347"/>
      <c r="AA773" s="326"/>
      <c r="AB773" s="348"/>
      <c r="AC773" s="347"/>
      <c r="AD773" s="326"/>
      <c r="AE773" s="348"/>
      <c r="AF773" s="347"/>
      <c r="AG773" s="326"/>
      <c r="AH773" s="348"/>
      <c r="AI773" s="482">
        <v>6534</v>
      </c>
      <c r="AJ773" s="326">
        <v>0</v>
      </c>
      <c r="AK773" s="3917">
        <v>0</v>
      </c>
      <c r="AL773" s="349">
        <f t="shared" si="225"/>
        <v>6534</v>
      </c>
      <c r="AM773" s="2002" t="s">
        <v>1061</v>
      </c>
      <c r="AN773" s="3357">
        <v>44869</v>
      </c>
      <c r="AO773" s="695" t="s">
        <v>10534</v>
      </c>
      <c r="AP773" s="3362" t="s">
        <v>10102</v>
      </c>
      <c r="AQ773" s="3555">
        <v>1.1100000000000001</v>
      </c>
      <c r="AR773" s="333"/>
      <c r="AS773" s="330"/>
      <c r="AT773" s="330"/>
      <c r="AU773" s="330"/>
      <c r="AV773" s="330"/>
      <c r="AW773" s="3156">
        <f>ROUND(AL773*AQ773/G773,0)</f>
        <v>6620</v>
      </c>
      <c r="AX773" s="3140"/>
      <c r="BA773" s="267"/>
      <c r="BB773" s="267"/>
      <c r="BC773" s="4117">
        <f t="shared" si="223"/>
        <v>0</v>
      </c>
      <c r="BD773" s="4117">
        <f t="shared" si="224"/>
        <v>0</v>
      </c>
      <c r="BE773" s="5071"/>
      <c r="BF773" s="267"/>
      <c r="BG773" s="267"/>
      <c r="BH773" s="267"/>
    </row>
    <row r="774" spans="1:60" ht="140.25">
      <c r="A774" s="2418" t="s">
        <v>11005</v>
      </c>
      <c r="B774" s="338" t="s">
        <v>10535</v>
      </c>
      <c r="C774" s="321">
        <v>0</v>
      </c>
      <c r="D774" s="323">
        <v>42576</v>
      </c>
      <c r="E774" s="829" t="s">
        <v>6387</v>
      </c>
      <c r="F774" s="830" t="s">
        <v>4932</v>
      </c>
      <c r="G774" s="2621">
        <v>1</v>
      </c>
      <c r="H774" s="332" t="s">
        <v>4717</v>
      </c>
      <c r="I774" s="339" t="s">
        <v>1433</v>
      </c>
      <c r="J774" s="322" t="s">
        <v>1434</v>
      </c>
      <c r="K774" s="340" t="s">
        <v>7847</v>
      </c>
      <c r="L774" s="339" t="s">
        <v>473</v>
      </c>
      <c r="M774" s="322" t="s">
        <v>2102</v>
      </c>
      <c r="N774" s="339" t="s">
        <v>3923</v>
      </c>
      <c r="O774" s="332" t="s">
        <v>3922</v>
      </c>
      <c r="P774" s="667"/>
      <c r="Q774" s="322" t="s">
        <v>3930</v>
      </c>
      <c r="R774" s="322" t="s">
        <v>3928</v>
      </c>
      <c r="S774" s="346" t="s">
        <v>3929</v>
      </c>
      <c r="T774" s="347">
        <v>58893</v>
      </c>
      <c r="U774" s="326">
        <v>22063</v>
      </c>
      <c r="V774" s="348">
        <f>T774-U774</f>
        <v>36830</v>
      </c>
      <c r="W774" s="347">
        <v>10393</v>
      </c>
      <c r="X774" s="326">
        <v>3893</v>
      </c>
      <c r="Y774" s="348">
        <f>W774-X774</f>
        <v>6500</v>
      </c>
      <c r="Z774" s="347">
        <v>10210</v>
      </c>
      <c r="AA774" s="326">
        <v>9320</v>
      </c>
      <c r="AB774" s="348">
        <f>Z774-AA774</f>
        <v>890</v>
      </c>
      <c r="AC774" s="347"/>
      <c r="AD774" s="326"/>
      <c r="AE774" s="348"/>
      <c r="AF774" s="347"/>
      <c r="AG774" s="326"/>
      <c r="AH774" s="348"/>
      <c r="AI774" s="482">
        <f>T774+W774+Z774+AC774+AF774</f>
        <v>79496</v>
      </c>
      <c r="AJ774" s="326">
        <f>U774+X774+AA774</f>
        <v>35276</v>
      </c>
      <c r="AK774" s="3917">
        <v>0</v>
      </c>
      <c r="AL774" s="349">
        <f t="shared" ref="AL774:AL779" si="226">AI774-AJ774-AK774</f>
        <v>44220</v>
      </c>
      <c r="AM774" s="2002" t="s">
        <v>1061</v>
      </c>
      <c r="AN774" s="3357">
        <v>44872</v>
      </c>
      <c r="AO774" s="695" t="s">
        <v>10536</v>
      </c>
      <c r="AP774" s="2722" t="s">
        <v>10102</v>
      </c>
      <c r="AQ774" s="2723">
        <v>1.1100000000000001</v>
      </c>
      <c r="AR774" s="333">
        <v>0</v>
      </c>
      <c r="AS774" s="330">
        <v>0</v>
      </c>
      <c r="AT774" s="330">
        <v>0</v>
      </c>
      <c r="AU774" s="330">
        <v>0</v>
      </c>
      <c r="AV774" s="330">
        <v>0</v>
      </c>
      <c r="AW774" s="3156">
        <f>ROUND(AL774*AQ774/G774,0)</f>
        <v>49084</v>
      </c>
      <c r="AX774" s="3140"/>
      <c r="BA774" s="267"/>
      <c r="BB774" s="267"/>
      <c r="BC774" s="4117">
        <f t="shared" si="223"/>
        <v>39156</v>
      </c>
      <c r="BD774" s="4117">
        <f t="shared" si="224"/>
        <v>0</v>
      </c>
      <c r="BE774" s="5071"/>
      <c r="BF774" s="267"/>
      <c r="BG774" s="267"/>
      <c r="BH774" s="267"/>
    </row>
    <row r="775" spans="1:60" ht="76.5">
      <c r="A775" s="2418" t="s">
        <v>11003</v>
      </c>
      <c r="B775" s="338" t="s">
        <v>10243</v>
      </c>
      <c r="C775" s="321">
        <v>0</v>
      </c>
      <c r="D775" s="323">
        <v>44839</v>
      </c>
      <c r="E775" s="3058" t="s">
        <v>10324</v>
      </c>
      <c r="F775" s="830" t="s">
        <v>10101</v>
      </c>
      <c r="G775" s="5356">
        <v>1.1100000000000001</v>
      </c>
      <c r="H775" s="332" t="s">
        <v>10413</v>
      </c>
      <c r="I775" s="339" t="s">
        <v>1433</v>
      </c>
      <c r="J775" s="322" t="s">
        <v>1434</v>
      </c>
      <c r="K775" s="340">
        <v>47017</v>
      </c>
      <c r="L775" s="339" t="s">
        <v>473</v>
      </c>
      <c r="M775" s="322" t="s">
        <v>10414</v>
      </c>
      <c r="N775" s="339" t="s">
        <v>10416</v>
      </c>
      <c r="O775" s="332" t="s">
        <v>10415</v>
      </c>
      <c r="P775" s="345"/>
      <c r="Q775" s="322" t="s">
        <v>10417</v>
      </c>
      <c r="R775" s="322" t="s">
        <v>10418</v>
      </c>
      <c r="S775" s="346"/>
      <c r="T775" s="347"/>
      <c r="U775" s="326"/>
      <c r="V775" s="348"/>
      <c r="W775" s="347"/>
      <c r="X775" s="326"/>
      <c r="Y775" s="348"/>
      <c r="Z775" s="347"/>
      <c r="AA775" s="326"/>
      <c r="AB775" s="348"/>
      <c r="AC775" s="347"/>
      <c r="AD775" s="326"/>
      <c r="AE775" s="348"/>
      <c r="AF775" s="347"/>
      <c r="AG775" s="326"/>
      <c r="AH775" s="348"/>
      <c r="AI775" s="482">
        <v>10553</v>
      </c>
      <c r="AJ775" s="326">
        <v>0</v>
      </c>
      <c r="AK775" s="3917">
        <v>0</v>
      </c>
      <c r="AL775" s="349">
        <f t="shared" si="226"/>
        <v>10553</v>
      </c>
      <c r="AM775" s="2002" t="s">
        <v>1061</v>
      </c>
      <c r="AN775" s="3357">
        <v>44872</v>
      </c>
      <c r="AO775" s="695" t="s">
        <v>10537</v>
      </c>
      <c r="AP775" s="3362" t="s">
        <v>10102</v>
      </c>
      <c r="AQ775" s="3555">
        <v>1.1100000000000001</v>
      </c>
      <c r="AR775" s="333"/>
      <c r="AS775" s="330"/>
      <c r="AT775" s="330"/>
      <c r="AU775" s="330"/>
      <c r="AV775" s="330"/>
      <c r="AW775" s="3156">
        <f>ROUND(AL775*AQ775/G775,0)</f>
        <v>10553</v>
      </c>
      <c r="AX775" s="3140"/>
      <c r="BA775" s="267"/>
      <c r="BB775" s="267"/>
      <c r="BC775" s="4117">
        <f t="shared" si="223"/>
        <v>0</v>
      </c>
      <c r="BD775" s="4117">
        <f t="shared" si="224"/>
        <v>0</v>
      </c>
      <c r="BE775" s="5071"/>
      <c r="BF775" s="267"/>
      <c r="BG775" s="267"/>
      <c r="BH775" s="267"/>
    </row>
    <row r="776" spans="1:60" ht="101.25" customHeight="1">
      <c r="A776" s="2418" t="s">
        <v>11003</v>
      </c>
      <c r="B776" s="338" t="s">
        <v>10410</v>
      </c>
      <c r="C776" s="321">
        <v>0</v>
      </c>
      <c r="D776" s="323">
        <v>44637</v>
      </c>
      <c r="E776" s="3058" t="s">
        <v>9156</v>
      </c>
      <c r="F776" s="830" t="s">
        <v>9005</v>
      </c>
      <c r="G776" s="5356">
        <v>1.0956269999999999</v>
      </c>
      <c r="H776" s="332" t="s">
        <v>9736</v>
      </c>
      <c r="I776" s="339" t="s">
        <v>9731</v>
      </c>
      <c r="J776" s="2399" t="s">
        <v>4306</v>
      </c>
      <c r="K776" s="340">
        <v>45360</v>
      </c>
      <c r="L776" s="339" t="s">
        <v>9732</v>
      </c>
      <c r="M776" s="322" t="s">
        <v>9733</v>
      </c>
      <c r="N776" s="339" t="s">
        <v>9735</v>
      </c>
      <c r="O776" s="332" t="s">
        <v>9734</v>
      </c>
      <c r="P776" s="345" t="s">
        <v>10408</v>
      </c>
      <c r="Q776" s="322" t="s">
        <v>9737</v>
      </c>
      <c r="R776" s="322" t="s">
        <v>129</v>
      </c>
      <c r="S776" s="346"/>
      <c r="T776" s="347"/>
      <c r="U776" s="326"/>
      <c r="V776" s="348"/>
      <c r="W776" s="347"/>
      <c r="X776" s="326"/>
      <c r="Y776" s="348"/>
      <c r="Z776" s="347"/>
      <c r="AA776" s="326"/>
      <c r="AB776" s="348"/>
      <c r="AC776" s="347"/>
      <c r="AD776" s="326"/>
      <c r="AE776" s="348"/>
      <c r="AF776" s="347"/>
      <c r="AG776" s="326"/>
      <c r="AH776" s="348"/>
      <c r="AI776" s="482">
        <v>0</v>
      </c>
      <c r="AJ776" s="326">
        <v>0</v>
      </c>
      <c r="AK776" s="3917">
        <v>0</v>
      </c>
      <c r="AL776" s="349">
        <f t="shared" si="226"/>
        <v>0</v>
      </c>
      <c r="AM776" s="2002" t="s">
        <v>1898</v>
      </c>
      <c r="AN776" s="3357">
        <v>44873</v>
      </c>
      <c r="AO776" s="695" t="s">
        <v>10538</v>
      </c>
      <c r="AP776" s="3696" t="s">
        <v>9004</v>
      </c>
      <c r="AQ776" s="3697">
        <v>1.0956269999999999</v>
      </c>
      <c r="AR776" s="333"/>
      <c r="AS776" s="330"/>
      <c r="AT776" s="330"/>
      <c r="AU776" s="330"/>
      <c r="AV776" s="330"/>
      <c r="AW776" s="3156">
        <v>1728.89</v>
      </c>
      <c r="AX776" s="3140"/>
      <c r="BA776" s="267"/>
      <c r="BB776" s="267"/>
      <c r="BC776" s="4117">
        <f t="shared" si="223"/>
        <v>0</v>
      </c>
      <c r="BD776" s="4117">
        <f t="shared" si="224"/>
        <v>0</v>
      </c>
      <c r="BE776" s="5071"/>
      <c r="BF776" s="267"/>
      <c r="BG776" s="267"/>
      <c r="BH776" s="267"/>
    </row>
    <row r="777" spans="1:60" ht="136.5" customHeight="1">
      <c r="A777" s="2418" t="s">
        <v>11004</v>
      </c>
      <c r="B777" s="338" t="s">
        <v>10586</v>
      </c>
      <c r="C777" s="321">
        <v>0</v>
      </c>
      <c r="D777" s="323">
        <v>43181</v>
      </c>
      <c r="E777" s="3051" t="s">
        <v>6385</v>
      </c>
      <c r="F777" s="324" t="s">
        <v>5915</v>
      </c>
      <c r="G777" s="2621">
        <v>1.0119899999999999</v>
      </c>
      <c r="H777" s="332" t="s">
        <v>10037</v>
      </c>
      <c r="I777" s="339" t="s">
        <v>1433</v>
      </c>
      <c r="J777" s="322" t="s">
        <v>1434</v>
      </c>
      <c r="K777" s="340" t="s">
        <v>7848</v>
      </c>
      <c r="L777" s="339" t="s">
        <v>5400</v>
      </c>
      <c r="M777" s="322" t="s">
        <v>5165</v>
      </c>
      <c r="N777" s="339" t="s">
        <v>5401</v>
      </c>
      <c r="O777" s="332" t="s">
        <v>5402</v>
      </c>
      <c r="P777" s="345"/>
      <c r="Q777" s="322" t="s">
        <v>5403</v>
      </c>
      <c r="R777" s="322" t="s">
        <v>5404</v>
      </c>
      <c r="S777" s="346"/>
      <c r="T777" s="347">
        <v>11054</v>
      </c>
      <c r="U777" s="326">
        <v>0</v>
      </c>
      <c r="V777" s="348">
        <f>T777-U777</f>
        <v>11054</v>
      </c>
      <c r="W777" s="347">
        <v>1951</v>
      </c>
      <c r="X777" s="326">
        <v>0</v>
      </c>
      <c r="Y777" s="348">
        <f>W777-X777</f>
        <v>1951</v>
      </c>
      <c r="Z777" s="347">
        <v>0</v>
      </c>
      <c r="AA777" s="326">
        <v>0</v>
      </c>
      <c r="AB777" s="348">
        <f>Z777-AA777</f>
        <v>0</v>
      </c>
      <c r="AC777" s="347"/>
      <c r="AD777" s="326"/>
      <c r="AE777" s="348"/>
      <c r="AF777" s="347"/>
      <c r="AG777" s="326"/>
      <c r="AH777" s="348"/>
      <c r="AI777" s="482">
        <f>T777+W777+Z777+AC777+AF777</f>
        <v>13005</v>
      </c>
      <c r="AJ777" s="326">
        <f>U777+X777+AA777+AD777+AG777</f>
        <v>0</v>
      </c>
      <c r="AK777" s="3917">
        <v>0</v>
      </c>
      <c r="AL777" s="349">
        <f t="shared" si="226"/>
        <v>13005</v>
      </c>
      <c r="AM777" s="2002" t="s">
        <v>1061</v>
      </c>
      <c r="AN777" s="3357">
        <v>44883</v>
      </c>
      <c r="AO777" s="695" t="s">
        <v>10585</v>
      </c>
      <c r="AP777" s="2722" t="s">
        <v>10102</v>
      </c>
      <c r="AQ777" s="2723">
        <v>1.1100000000000001</v>
      </c>
      <c r="AR777" s="333">
        <v>0</v>
      </c>
      <c r="AS777" s="330">
        <v>0</v>
      </c>
      <c r="AT777" s="330">
        <v>0</v>
      </c>
      <c r="AU777" s="330">
        <v>0</v>
      </c>
      <c r="AV777" s="330">
        <v>0</v>
      </c>
      <c r="AW777" s="3156">
        <f>ROUND(AL777*AQ777/G777,0)</f>
        <v>14265</v>
      </c>
      <c r="AX777" s="3140"/>
      <c r="BB777" s="267"/>
      <c r="BC777" s="4117">
        <f t="shared" si="223"/>
        <v>0</v>
      </c>
      <c r="BD777" s="4117">
        <f t="shared" si="224"/>
        <v>0</v>
      </c>
      <c r="BE777" s="5071"/>
      <c r="BF777" s="267"/>
      <c r="BG777" s="267"/>
      <c r="BH777" s="267"/>
    </row>
    <row r="778" spans="1:60" ht="76.5">
      <c r="A778" s="2418" t="s">
        <v>11005</v>
      </c>
      <c r="B778" s="338" t="s">
        <v>10600</v>
      </c>
      <c r="C778" s="695">
        <v>1</v>
      </c>
      <c r="D778" s="323" t="s">
        <v>5008</v>
      </c>
      <c r="E778" s="3051" t="s">
        <v>6385</v>
      </c>
      <c r="F778" s="324" t="s">
        <v>5915</v>
      </c>
      <c r="G778" s="2621">
        <v>1.0119899999999999</v>
      </c>
      <c r="H778" s="332" t="s">
        <v>5003</v>
      </c>
      <c r="I778" s="339" t="s">
        <v>1433</v>
      </c>
      <c r="J778" s="322" t="s">
        <v>1434</v>
      </c>
      <c r="K778" s="340" t="s">
        <v>4905</v>
      </c>
      <c r="L778" s="339" t="s">
        <v>5004</v>
      </c>
      <c r="M778" s="322" t="s">
        <v>3726</v>
      </c>
      <c r="N778" s="339" t="s">
        <v>5005</v>
      </c>
      <c r="O778" s="332" t="s">
        <v>6323</v>
      </c>
      <c r="P778" s="345" t="s">
        <v>5007</v>
      </c>
      <c r="Q778" s="322" t="s">
        <v>5009</v>
      </c>
      <c r="R778" s="322" t="s">
        <v>5006</v>
      </c>
      <c r="S778" s="346"/>
      <c r="T778" s="347">
        <v>908</v>
      </c>
      <c r="U778" s="326">
        <v>0</v>
      </c>
      <c r="V778" s="348">
        <f>T778-U778</f>
        <v>908</v>
      </c>
      <c r="W778" s="347">
        <v>160</v>
      </c>
      <c r="X778" s="326">
        <v>0</v>
      </c>
      <c r="Y778" s="348">
        <f>W778-X778</f>
        <v>160</v>
      </c>
      <c r="Z778" s="347">
        <v>445</v>
      </c>
      <c r="AA778" s="326">
        <v>0</v>
      </c>
      <c r="AB778" s="348">
        <f>Z778-AA778</f>
        <v>445</v>
      </c>
      <c r="AC778" s="347"/>
      <c r="AD778" s="326"/>
      <c r="AE778" s="348"/>
      <c r="AF778" s="347"/>
      <c r="AG778" s="326"/>
      <c r="AH778" s="348"/>
      <c r="AI778" s="482">
        <f>T778+W778+Z778+AC778+AF778</f>
        <v>1513</v>
      </c>
      <c r="AJ778" s="326">
        <f>U778+X778+AA778+AD778+AG778</f>
        <v>0</v>
      </c>
      <c r="AK778" s="3917">
        <v>0</v>
      </c>
      <c r="AL778" s="349">
        <f t="shared" si="226"/>
        <v>1513</v>
      </c>
      <c r="AM778" s="2002" t="s">
        <v>1061</v>
      </c>
      <c r="AN778" s="3357">
        <v>44886</v>
      </c>
      <c r="AO778" s="695" t="s">
        <v>10601</v>
      </c>
      <c r="AP778" s="2722" t="s">
        <v>10102</v>
      </c>
      <c r="AQ778" s="2723">
        <v>1.1100000000000001</v>
      </c>
      <c r="AR778" s="333">
        <v>0</v>
      </c>
      <c r="AS778" s="330">
        <v>0</v>
      </c>
      <c r="AT778" s="330">
        <v>0</v>
      </c>
      <c r="AU778" s="330">
        <v>0</v>
      </c>
      <c r="AV778" s="330">
        <v>0</v>
      </c>
      <c r="AW778" s="3156">
        <f>ROUND(AL778*AQ778/G778,0)-60</f>
        <v>1600</v>
      </c>
      <c r="AX778" s="3140"/>
      <c r="BA778" s="267"/>
      <c r="BB778" s="267"/>
      <c r="BC778" s="4117">
        <f t="shared" si="223"/>
        <v>0</v>
      </c>
      <c r="BD778" s="4117">
        <f t="shared" si="224"/>
        <v>0</v>
      </c>
      <c r="BE778" s="5071"/>
      <c r="BF778" s="267"/>
      <c r="BG778" s="267"/>
      <c r="BH778" s="267"/>
    </row>
    <row r="779" spans="1:60" ht="89.25">
      <c r="A779" s="2418" t="s">
        <v>11003</v>
      </c>
      <c r="B779" s="338" t="s">
        <v>9255</v>
      </c>
      <c r="C779" s="321">
        <v>0</v>
      </c>
      <c r="D779" s="323">
        <v>44670</v>
      </c>
      <c r="E779" s="3058" t="s">
        <v>9156</v>
      </c>
      <c r="F779" s="830" t="s">
        <v>9005</v>
      </c>
      <c r="G779" s="5356">
        <v>1.0956269999999999</v>
      </c>
      <c r="H779" s="332" t="s">
        <v>9852</v>
      </c>
      <c r="I779" s="339" t="s">
        <v>9853</v>
      </c>
      <c r="J779" s="2399" t="s">
        <v>4306</v>
      </c>
      <c r="K779" s="340">
        <v>45401</v>
      </c>
      <c r="L779" s="339" t="s">
        <v>9854</v>
      </c>
      <c r="M779" s="322" t="s">
        <v>9855</v>
      </c>
      <c r="N779" s="339" t="s">
        <v>9856</v>
      </c>
      <c r="O779" s="322" t="s">
        <v>9855</v>
      </c>
      <c r="P779" s="345"/>
      <c r="Q779" s="6094" t="s">
        <v>9047</v>
      </c>
      <c r="R779" s="322" t="s">
        <v>945</v>
      </c>
      <c r="S779" s="346"/>
      <c r="T779" s="347"/>
      <c r="U779" s="326"/>
      <c r="V779" s="348"/>
      <c r="W779" s="347"/>
      <c r="X779" s="326"/>
      <c r="Y779" s="348"/>
      <c r="Z779" s="347"/>
      <c r="AA779" s="326"/>
      <c r="AB779" s="348"/>
      <c r="AC779" s="820"/>
      <c r="AD779" s="821"/>
      <c r="AE779" s="822"/>
      <c r="AF779" s="820"/>
      <c r="AG779" s="821"/>
      <c r="AH779" s="822"/>
      <c r="AI779" s="482">
        <v>5567</v>
      </c>
      <c r="AJ779" s="326">
        <v>0</v>
      </c>
      <c r="AK779" s="3917">
        <v>0</v>
      </c>
      <c r="AL779" s="349">
        <f t="shared" si="226"/>
        <v>5567</v>
      </c>
      <c r="AM779" s="2002" t="s">
        <v>10602</v>
      </c>
      <c r="AN779" s="3357">
        <v>44888</v>
      </c>
      <c r="AO779" s="695" t="s">
        <v>10603</v>
      </c>
      <c r="AP779" s="3362" t="s">
        <v>10102</v>
      </c>
      <c r="AQ779" s="3555">
        <v>1.1100000000000001</v>
      </c>
      <c r="AR779" s="333"/>
      <c r="AS779" s="330"/>
      <c r="AT779" s="330"/>
      <c r="AU779" s="849"/>
      <c r="AV779" s="849"/>
      <c r="AW779" s="3156">
        <f t="shared" ref="AW779:AW785" si="227">ROUND(AL779*AQ779/G779,0)</f>
        <v>5640</v>
      </c>
      <c r="AX779" s="3140"/>
      <c r="BA779" s="267"/>
      <c r="BB779" s="267"/>
      <c r="BC779" s="4117">
        <f t="shared" si="223"/>
        <v>0</v>
      </c>
      <c r="BD779" s="4117">
        <f t="shared" si="224"/>
        <v>0</v>
      </c>
      <c r="BE779" s="5071"/>
      <c r="BF779" s="267"/>
      <c r="BG779" s="267"/>
      <c r="BH779" s="267"/>
    </row>
    <row r="780" spans="1:60" ht="76.5">
      <c r="A780" s="2418" t="s">
        <v>11003</v>
      </c>
      <c r="B780" s="338" t="s">
        <v>10612</v>
      </c>
      <c r="C780" s="321">
        <v>0</v>
      </c>
      <c r="D780" s="323">
        <v>43878</v>
      </c>
      <c r="E780" s="3058" t="s">
        <v>7151</v>
      </c>
      <c r="F780" s="324" t="s">
        <v>6893</v>
      </c>
      <c r="G780" s="2621">
        <v>1.047839</v>
      </c>
      <c r="H780" s="5685" t="s">
        <v>7982</v>
      </c>
      <c r="I780" s="339" t="s">
        <v>10494</v>
      </c>
      <c r="J780" s="2399" t="s">
        <v>4306</v>
      </c>
      <c r="K780" s="340">
        <v>44598</v>
      </c>
      <c r="L780" s="339" t="s">
        <v>7658</v>
      </c>
      <c r="M780" s="322" t="s">
        <v>7659</v>
      </c>
      <c r="N780" s="339" t="s">
        <v>7660</v>
      </c>
      <c r="O780" s="332" t="s">
        <v>7659</v>
      </c>
      <c r="P780" s="667" t="s">
        <v>10495</v>
      </c>
      <c r="Q780" s="6094" t="s">
        <v>7661</v>
      </c>
      <c r="R780" s="322" t="s">
        <v>7662</v>
      </c>
      <c r="S780" s="346"/>
      <c r="T780" s="347"/>
      <c r="U780" s="326"/>
      <c r="V780" s="348"/>
      <c r="W780" s="347"/>
      <c r="X780" s="326"/>
      <c r="Y780" s="348"/>
      <c r="Z780" s="347"/>
      <c r="AA780" s="326"/>
      <c r="AB780" s="348"/>
      <c r="AC780" s="347"/>
      <c r="AD780" s="326"/>
      <c r="AE780" s="348"/>
      <c r="AF780" s="347"/>
      <c r="AG780" s="326"/>
      <c r="AH780" s="348"/>
      <c r="AI780" s="482">
        <v>6249</v>
      </c>
      <c r="AJ780" s="326">
        <v>0</v>
      </c>
      <c r="AK780" s="3917">
        <v>0</v>
      </c>
      <c r="AL780" s="349">
        <f t="shared" ref="AL780:AL785" si="228">AI780-AJ780-AK780</f>
        <v>6249</v>
      </c>
      <c r="AM780" s="2002" t="s">
        <v>2977</v>
      </c>
      <c r="AN780" s="3357">
        <v>44890</v>
      </c>
      <c r="AO780" s="695" t="s">
        <v>10611</v>
      </c>
      <c r="AP780" s="3362" t="s">
        <v>10102</v>
      </c>
      <c r="AQ780" s="3555">
        <v>1.1100000000000001</v>
      </c>
      <c r="AR780" s="333"/>
      <c r="AS780" s="330"/>
      <c r="AT780" s="330"/>
      <c r="AU780" s="330"/>
      <c r="AV780" s="330"/>
      <c r="AW780" s="3156">
        <f t="shared" si="227"/>
        <v>6620</v>
      </c>
      <c r="AX780" s="3140"/>
      <c r="BA780" s="267"/>
      <c r="BB780" s="267"/>
      <c r="BC780" s="4117">
        <f t="shared" si="223"/>
        <v>0</v>
      </c>
      <c r="BD780" s="4117">
        <f t="shared" si="224"/>
        <v>0</v>
      </c>
      <c r="BE780" s="5071"/>
      <c r="BF780" s="267"/>
      <c r="BG780" s="267"/>
      <c r="BH780" s="267"/>
    </row>
    <row r="781" spans="1:60" ht="77.25" thickBot="1">
      <c r="A781" s="6083" t="s">
        <v>11003</v>
      </c>
      <c r="B781" s="5600" t="s">
        <v>9781</v>
      </c>
      <c r="C781" s="5751">
        <v>0</v>
      </c>
      <c r="D781" s="5752">
        <v>44763</v>
      </c>
      <c r="E781" s="5753" t="s">
        <v>9156</v>
      </c>
      <c r="F781" s="3793" t="s">
        <v>10101</v>
      </c>
      <c r="G781" s="5368">
        <v>1.1100000000000001</v>
      </c>
      <c r="H781" s="5754" t="s">
        <v>10164</v>
      </c>
      <c r="I781" s="5605" t="s">
        <v>1433</v>
      </c>
      <c r="J781" s="5755" t="s">
        <v>1434</v>
      </c>
      <c r="K781" s="5756">
        <v>46953</v>
      </c>
      <c r="L781" s="5605" t="s">
        <v>10165</v>
      </c>
      <c r="M781" s="5755" t="s">
        <v>9803</v>
      </c>
      <c r="N781" s="5605" t="s">
        <v>10166</v>
      </c>
      <c r="O781" s="5754" t="s">
        <v>10167</v>
      </c>
      <c r="P781" s="5608"/>
      <c r="Q781" s="5755" t="s">
        <v>9746</v>
      </c>
      <c r="R781" s="5755" t="s">
        <v>9222</v>
      </c>
      <c r="S781" s="5757"/>
      <c r="T781" s="5610"/>
      <c r="U781" s="5758"/>
      <c r="V781" s="5759"/>
      <c r="W781" s="5610"/>
      <c r="X781" s="5758"/>
      <c r="Y781" s="5759"/>
      <c r="Z781" s="5610"/>
      <c r="AA781" s="5758"/>
      <c r="AB781" s="5759"/>
      <c r="AC781" s="5791"/>
      <c r="AD781" s="5792"/>
      <c r="AE781" s="5793"/>
      <c r="AF781" s="5791"/>
      <c r="AG781" s="5792"/>
      <c r="AH781" s="5793"/>
      <c r="AI781" s="5613">
        <v>7991</v>
      </c>
      <c r="AJ781" s="5758">
        <v>0</v>
      </c>
      <c r="AK781" s="5760">
        <v>0</v>
      </c>
      <c r="AL781" s="5761">
        <f t="shared" si="228"/>
        <v>7991</v>
      </c>
      <c r="AM781" s="5616" t="s">
        <v>1061</v>
      </c>
      <c r="AN781" s="5762">
        <v>44895</v>
      </c>
      <c r="AO781" s="5763" t="s">
        <v>10619</v>
      </c>
      <c r="AP781" s="3387" t="s">
        <v>10102</v>
      </c>
      <c r="AQ781" s="4753">
        <v>1.1100000000000001</v>
      </c>
      <c r="AR781" s="5619"/>
      <c r="AS781" s="5764"/>
      <c r="AT781" s="5764"/>
      <c r="AU781" s="5794"/>
      <c r="AV781" s="5794"/>
      <c r="AW781" s="5795">
        <f t="shared" si="227"/>
        <v>7991</v>
      </c>
      <c r="AX781" s="5623"/>
      <c r="AY781" s="4031" t="s">
        <v>10523</v>
      </c>
      <c r="AZ781" s="3857">
        <f>SUM(AW772:AW781)</f>
        <v>105512.89</v>
      </c>
      <c r="BA781" s="1663">
        <f>AZ781</f>
        <v>105512.89</v>
      </c>
      <c r="BB781" s="267"/>
      <c r="BC781" s="4117">
        <f t="shared" si="223"/>
        <v>0</v>
      </c>
      <c r="BD781" s="4117">
        <f t="shared" si="224"/>
        <v>0</v>
      </c>
      <c r="BE781" s="5071"/>
      <c r="BF781" s="267"/>
      <c r="BG781" s="267"/>
      <c r="BH781" s="267"/>
    </row>
    <row r="782" spans="1:60" ht="76.5">
      <c r="A782" s="5981" t="s">
        <v>11003</v>
      </c>
      <c r="B782" s="1538" t="s">
        <v>10432</v>
      </c>
      <c r="C782" s="1509">
        <v>0</v>
      </c>
      <c r="D782" s="1510">
        <v>44246</v>
      </c>
      <c r="E782" s="4344" t="s">
        <v>8170</v>
      </c>
      <c r="F782" s="1511" t="s">
        <v>7957</v>
      </c>
      <c r="G782" s="2663">
        <v>1.0795220000000001</v>
      </c>
      <c r="H782" s="1513" t="s">
        <v>10433</v>
      </c>
      <c r="I782" s="1514" t="s">
        <v>1433</v>
      </c>
      <c r="J782" s="1515" t="s">
        <v>1434</v>
      </c>
      <c r="K782" s="1516">
        <v>46433</v>
      </c>
      <c r="L782" s="1514" t="s">
        <v>8572</v>
      </c>
      <c r="M782" s="1515" t="s">
        <v>8573</v>
      </c>
      <c r="N782" s="1514" t="s">
        <v>8574</v>
      </c>
      <c r="O782" s="1513" t="s">
        <v>8575</v>
      </c>
      <c r="P782" s="1517"/>
      <c r="Q782" s="1515" t="s">
        <v>8576</v>
      </c>
      <c r="R782" s="1515" t="s">
        <v>8577</v>
      </c>
      <c r="S782" s="1518"/>
      <c r="T782" s="1519"/>
      <c r="U782" s="1504"/>
      <c r="V782" s="1520"/>
      <c r="W782" s="1519"/>
      <c r="X782" s="1504"/>
      <c r="Y782" s="1520"/>
      <c r="Z782" s="1519"/>
      <c r="AA782" s="1504"/>
      <c r="AB782" s="1520"/>
      <c r="AC782" s="1519"/>
      <c r="AD782" s="1504"/>
      <c r="AE782" s="1520"/>
      <c r="AF782" s="1519"/>
      <c r="AG782" s="1504"/>
      <c r="AH782" s="1520"/>
      <c r="AI782" s="1503">
        <v>18136</v>
      </c>
      <c r="AJ782" s="1504">
        <v>0</v>
      </c>
      <c r="AK782" s="3919">
        <v>0</v>
      </c>
      <c r="AL782" s="1505">
        <f t="shared" si="228"/>
        <v>18136</v>
      </c>
      <c r="AM782" s="1508" t="s">
        <v>1061</v>
      </c>
      <c r="AN782" s="3401">
        <v>44896</v>
      </c>
      <c r="AO782" s="3402" t="s">
        <v>10621</v>
      </c>
      <c r="AP782" s="2905" t="s">
        <v>10102</v>
      </c>
      <c r="AQ782" s="2906">
        <v>1.1100000000000001</v>
      </c>
      <c r="AR782" s="1506"/>
      <c r="AS782" s="1507"/>
      <c r="AT782" s="1507"/>
      <c r="AU782" s="1507"/>
      <c r="AV782" s="1507"/>
      <c r="AW782" s="3247">
        <f t="shared" si="227"/>
        <v>18648</v>
      </c>
      <c r="AX782" s="3146"/>
      <c r="BB782" s="267"/>
      <c r="BC782" s="4117">
        <f t="shared" si="223"/>
        <v>0</v>
      </c>
      <c r="BD782" s="4117">
        <f t="shared" si="224"/>
        <v>0</v>
      </c>
      <c r="BE782" s="5071"/>
      <c r="BF782" s="267"/>
      <c r="BG782" s="267"/>
      <c r="BH782" s="267"/>
    </row>
    <row r="783" spans="1:60" ht="76.5">
      <c r="A783" s="5981" t="s">
        <v>11003</v>
      </c>
      <c r="B783" s="1538" t="s">
        <v>8585</v>
      </c>
      <c r="C783" s="1509">
        <v>0</v>
      </c>
      <c r="D783" s="1510">
        <v>44249</v>
      </c>
      <c r="E783" s="4344" t="s">
        <v>8170</v>
      </c>
      <c r="F783" s="1511" t="s">
        <v>7957</v>
      </c>
      <c r="G783" s="2663">
        <v>1.0795220000000001</v>
      </c>
      <c r="H783" s="1513" t="s">
        <v>8584</v>
      </c>
      <c r="I783" s="1514" t="s">
        <v>1433</v>
      </c>
      <c r="J783" s="1515" t="s">
        <v>1434</v>
      </c>
      <c r="K783" s="1516">
        <v>46436</v>
      </c>
      <c r="L783" s="1514" t="s">
        <v>8579</v>
      </c>
      <c r="M783" s="1515" t="s">
        <v>6628</v>
      </c>
      <c r="N783" s="1514" t="s">
        <v>7076</v>
      </c>
      <c r="O783" s="1513" t="s">
        <v>8580</v>
      </c>
      <c r="P783" s="1517"/>
      <c r="Q783" s="1515" t="s">
        <v>8582</v>
      </c>
      <c r="R783" s="1515" t="s">
        <v>8581</v>
      </c>
      <c r="S783" s="1518" t="s">
        <v>8583</v>
      </c>
      <c r="T783" s="1519"/>
      <c r="U783" s="1504"/>
      <c r="V783" s="1520"/>
      <c r="W783" s="1519"/>
      <c r="X783" s="1504"/>
      <c r="Y783" s="1520"/>
      <c r="Z783" s="1519"/>
      <c r="AA783" s="1504"/>
      <c r="AB783" s="1520"/>
      <c r="AC783" s="1519"/>
      <c r="AD783" s="1504"/>
      <c r="AE783" s="1520"/>
      <c r="AF783" s="1519"/>
      <c r="AG783" s="1504"/>
      <c r="AH783" s="1520"/>
      <c r="AI783" s="1503">
        <f>15031-648</f>
        <v>14383</v>
      </c>
      <c r="AJ783" s="1504">
        <v>0</v>
      </c>
      <c r="AK783" s="3919">
        <v>4213</v>
      </c>
      <c r="AL783" s="1505">
        <f t="shared" si="228"/>
        <v>10170</v>
      </c>
      <c r="AM783" s="1508" t="s">
        <v>1061</v>
      </c>
      <c r="AN783" s="3401">
        <v>44903</v>
      </c>
      <c r="AO783" s="3402" t="s">
        <v>10637</v>
      </c>
      <c r="AP783" s="2905" t="s">
        <v>10102</v>
      </c>
      <c r="AQ783" s="2906">
        <v>1.1100000000000001</v>
      </c>
      <c r="AR783" s="1506"/>
      <c r="AS783" s="1507"/>
      <c r="AT783" s="1507"/>
      <c r="AU783" s="1507"/>
      <c r="AV783" s="1507"/>
      <c r="AW783" s="3247">
        <f t="shared" si="227"/>
        <v>10457</v>
      </c>
      <c r="AX783" s="3146"/>
      <c r="BB783" s="267"/>
      <c r="BC783" s="4117">
        <f t="shared" si="223"/>
        <v>0</v>
      </c>
      <c r="BD783" s="4117">
        <f t="shared" si="224"/>
        <v>4332</v>
      </c>
      <c r="BE783" s="5071"/>
      <c r="BF783" s="267"/>
      <c r="BG783" s="267"/>
      <c r="BH783" s="267"/>
    </row>
    <row r="784" spans="1:60" ht="76.5">
      <c r="A784" s="5981" t="s">
        <v>11003</v>
      </c>
      <c r="B784" s="1538" t="s">
        <v>10253</v>
      </c>
      <c r="C784" s="1509">
        <v>0</v>
      </c>
      <c r="D784" s="1510">
        <v>44883</v>
      </c>
      <c r="E784" s="4344" t="s">
        <v>10324</v>
      </c>
      <c r="F784" s="2497" t="s">
        <v>10101</v>
      </c>
      <c r="G784" s="5387">
        <v>1.1100000000000001</v>
      </c>
      <c r="H784" s="1513" t="s">
        <v>10587</v>
      </c>
      <c r="I784" s="1514" t="s">
        <v>1433</v>
      </c>
      <c r="J784" s="1515" t="s">
        <v>1434</v>
      </c>
      <c r="K784" s="1516">
        <v>47074</v>
      </c>
      <c r="L784" s="1514" t="s">
        <v>10588</v>
      </c>
      <c r="M784" s="1515" t="s">
        <v>9594</v>
      </c>
      <c r="N784" s="1514" t="s">
        <v>10589</v>
      </c>
      <c r="O784" s="1513" t="s">
        <v>10594</v>
      </c>
      <c r="P784" s="1517"/>
      <c r="Q784" s="1515" t="s">
        <v>10591</v>
      </c>
      <c r="R784" s="1515" t="s">
        <v>10590</v>
      </c>
      <c r="S784" s="1518"/>
      <c r="T784" s="1519"/>
      <c r="U784" s="1504"/>
      <c r="V784" s="1520"/>
      <c r="W784" s="1519"/>
      <c r="X784" s="1504"/>
      <c r="Y784" s="1520"/>
      <c r="Z784" s="1519"/>
      <c r="AA784" s="1504"/>
      <c r="AB784" s="1520"/>
      <c r="AC784" s="1519"/>
      <c r="AD784" s="1504"/>
      <c r="AE784" s="1520"/>
      <c r="AF784" s="1519"/>
      <c r="AG784" s="1504"/>
      <c r="AH784" s="1520"/>
      <c r="AI784" s="1503">
        <v>11416</v>
      </c>
      <c r="AJ784" s="1504">
        <v>0</v>
      </c>
      <c r="AK784" s="3919">
        <v>0</v>
      </c>
      <c r="AL784" s="1505">
        <f t="shared" si="228"/>
        <v>11416</v>
      </c>
      <c r="AM784" s="1508" t="s">
        <v>1061</v>
      </c>
      <c r="AN784" s="3401">
        <v>44910</v>
      </c>
      <c r="AO784" s="3402" t="s">
        <v>10653</v>
      </c>
      <c r="AP784" s="2905" t="s">
        <v>10102</v>
      </c>
      <c r="AQ784" s="2906">
        <v>1.1100000000000001</v>
      </c>
      <c r="AR784" s="1506"/>
      <c r="AS784" s="1507"/>
      <c r="AT784" s="1507"/>
      <c r="AU784" s="1507"/>
      <c r="AV784" s="1507"/>
      <c r="AW784" s="3247">
        <f t="shared" si="227"/>
        <v>11416</v>
      </c>
      <c r="AX784" s="3146"/>
      <c r="BB784" s="267"/>
      <c r="BC784" s="4117">
        <f t="shared" si="223"/>
        <v>0</v>
      </c>
      <c r="BD784" s="4117">
        <f t="shared" si="224"/>
        <v>0</v>
      </c>
      <c r="BE784" s="5071"/>
      <c r="BF784" s="267"/>
      <c r="BG784" s="267"/>
      <c r="BH784" s="267"/>
    </row>
    <row r="785" spans="1:60" ht="76.5">
      <c r="A785" s="5981" t="s">
        <v>11003</v>
      </c>
      <c r="B785" s="1538" t="s">
        <v>10570</v>
      </c>
      <c r="C785" s="1509">
        <v>0</v>
      </c>
      <c r="D785" s="1510">
        <v>44796</v>
      </c>
      <c r="E785" s="4344" t="s">
        <v>9156</v>
      </c>
      <c r="F785" s="2497" t="s">
        <v>10101</v>
      </c>
      <c r="G785" s="5387">
        <v>1.1100000000000001</v>
      </c>
      <c r="H785" s="1513" t="s">
        <v>10269</v>
      </c>
      <c r="I785" s="1514" t="s">
        <v>9560</v>
      </c>
      <c r="J785" s="4345" t="s">
        <v>4306</v>
      </c>
      <c r="K785" s="1516" t="s">
        <v>10270</v>
      </c>
      <c r="L785" s="1514" t="s">
        <v>8424</v>
      </c>
      <c r="M785" s="1515" t="s">
        <v>10271</v>
      </c>
      <c r="N785" s="1514" t="s">
        <v>10273</v>
      </c>
      <c r="O785" s="1513" t="s">
        <v>10272</v>
      </c>
      <c r="P785" s="1517"/>
      <c r="Q785" s="6094" t="s">
        <v>9071</v>
      </c>
      <c r="R785" s="1515" t="s">
        <v>536</v>
      </c>
      <c r="S785" s="1518"/>
      <c r="T785" s="1519"/>
      <c r="U785" s="1504"/>
      <c r="V785" s="1520"/>
      <c r="W785" s="1519"/>
      <c r="X785" s="1504"/>
      <c r="Y785" s="1520"/>
      <c r="Z785" s="1519"/>
      <c r="AA785" s="1504"/>
      <c r="AB785" s="1520"/>
      <c r="AC785" s="1519"/>
      <c r="AD785" s="1504"/>
      <c r="AE785" s="1520"/>
      <c r="AF785" s="1519"/>
      <c r="AG785" s="1504"/>
      <c r="AH785" s="1520"/>
      <c r="AI785" s="1503">
        <v>5640</v>
      </c>
      <c r="AJ785" s="1504">
        <v>0</v>
      </c>
      <c r="AK785" s="3919">
        <v>0</v>
      </c>
      <c r="AL785" s="1505">
        <f t="shared" si="228"/>
        <v>5640</v>
      </c>
      <c r="AM785" s="1508" t="s">
        <v>1061</v>
      </c>
      <c r="AN785" s="3401">
        <v>44910</v>
      </c>
      <c r="AO785" s="3402" t="s">
        <v>10654</v>
      </c>
      <c r="AP785" s="2905" t="s">
        <v>10102</v>
      </c>
      <c r="AQ785" s="2906">
        <v>1.1100000000000001</v>
      </c>
      <c r="AR785" s="1506"/>
      <c r="AS785" s="1507"/>
      <c r="AT785" s="1507"/>
      <c r="AU785" s="1507"/>
      <c r="AV785" s="1507"/>
      <c r="AW785" s="3247">
        <f t="shared" si="227"/>
        <v>5640</v>
      </c>
      <c r="AX785" s="3146"/>
      <c r="BB785" s="267"/>
      <c r="BC785" s="4117">
        <f t="shared" si="223"/>
        <v>0</v>
      </c>
      <c r="BD785" s="4117">
        <f t="shared" si="224"/>
        <v>0</v>
      </c>
      <c r="BE785" s="5071"/>
      <c r="BF785" s="267"/>
      <c r="BG785" s="267"/>
      <c r="BH785" s="267"/>
    </row>
    <row r="786" spans="1:60" ht="76.5">
      <c r="A786" s="5981" t="s">
        <v>11003</v>
      </c>
      <c r="B786" s="1538" t="s">
        <v>9771</v>
      </c>
      <c r="C786" s="1509">
        <v>0</v>
      </c>
      <c r="D786" s="1510">
        <v>44721</v>
      </c>
      <c r="E786" s="4344" t="s">
        <v>9156</v>
      </c>
      <c r="F786" s="2497" t="s">
        <v>9005</v>
      </c>
      <c r="G786" s="5387">
        <v>1.0956269999999999</v>
      </c>
      <c r="H786" s="1513" t="s">
        <v>9999</v>
      </c>
      <c r="I786" s="1514" t="s">
        <v>9560</v>
      </c>
      <c r="J786" s="4345" t="s">
        <v>4306</v>
      </c>
      <c r="K786" s="1516">
        <v>45418</v>
      </c>
      <c r="L786" s="1514" t="s">
        <v>10000</v>
      </c>
      <c r="M786" s="1515" t="s">
        <v>10001</v>
      </c>
      <c r="N786" s="1514" t="s">
        <v>10002</v>
      </c>
      <c r="O786" s="1513" t="s">
        <v>10003</v>
      </c>
      <c r="P786" s="1517"/>
      <c r="Q786" s="6094" t="s">
        <v>9047</v>
      </c>
      <c r="R786" s="1515" t="s">
        <v>945</v>
      </c>
      <c r="S786" s="1518"/>
      <c r="T786" s="1519"/>
      <c r="U786" s="1504"/>
      <c r="V786" s="1520"/>
      <c r="W786" s="1519"/>
      <c r="X786" s="1504"/>
      <c r="Y786" s="1520"/>
      <c r="Z786" s="1519"/>
      <c r="AA786" s="1504"/>
      <c r="AB786" s="1520"/>
      <c r="AC786" s="1519"/>
      <c r="AD786" s="1504"/>
      <c r="AE786" s="1520"/>
      <c r="AF786" s="1519"/>
      <c r="AG786" s="1504"/>
      <c r="AH786" s="1520"/>
      <c r="AI786" s="1503">
        <v>5567</v>
      </c>
      <c r="AJ786" s="1504">
        <v>0</v>
      </c>
      <c r="AK786" s="3919">
        <v>0</v>
      </c>
      <c r="AL786" s="1505">
        <f>AI786-AJ786-AK786</f>
        <v>5567</v>
      </c>
      <c r="AM786" s="1508" t="s">
        <v>1061</v>
      </c>
      <c r="AN786" s="3401">
        <v>44914</v>
      </c>
      <c r="AO786" s="3402" t="s">
        <v>10674</v>
      </c>
      <c r="AP786" s="2905" t="s">
        <v>10102</v>
      </c>
      <c r="AQ786" s="2906">
        <v>1.1100000000000001</v>
      </c>
      <c r="AR786" s="1506"/>
      <c r="AS786" s="1507"/>
      <c r="AT786" s="1507"/>
      <c r="AU786" s="1507"/>
      <c r="AV786" s="1507"/>
      <c r="AW786" s="3247">
        <f>ROUND(AL786*AQ786/G786,0)</f>
        <v>5640</v>
      </c>
      <c r="AX786" s="3146"/>
      <c r="BB786" s="267"/>
      <c r="BC786" s="4117">
        <f t="shared" si="223"/>
        <v>0</v>
      </c>
      <c r="BD786" s="4117">
        <f t="shared" si="224"/>
        <v>0</v>
      </c>
      <c r="BE786" s="5071"/>
      <c r="BF786" s="267"/>
      <c r="BG786" s="267"/>
      <c r="BH786" s="267"/>
    </row>
    <row r="787" spans="1:60" ht="114.75">
      <c r="A787" s="5981" t="s">
        <v>11004</v>
      </c>
      <c r="B787" s="1538" t="s">
        <v>10571</v>
      </c>
      <c r="C787" s="1509">
        <v>0</v>
      </c>
      <c r="D787" s="1510">
        <v>43004</v>
      </c>
      <c r="E787" s="3053" t="s">
        <v>6385</v>
      </c>
      <c r="F787" s="1511" t="s">
        <v>5915</v>
      </c>
      <c r="G787" s="2663">
        <v>1.0119899999999999</v>
      </c>
      <c r="H787" s="1513" t="s">
        <v>9130</v>
      </c>
      <c r="I787" s="1514" t="s">
        <v>1433</v>
      </c>
      <c r="J787" s="1515" t="s">
        <v>1434</v>
      </c>
      <c r="K787" s="1516" t="s">
        <v>9131</v>
      </c>
      <c r="L787" s="1514" t="s">
        <v>4959</v>
      </c>
      <c r="M787" s="1515" t="s">
        <v>4960</v>
      </c>
      <c r="N787" s="1514" t="s">
        <v>4961</v>
      </c>
      <c r="O787" s="1513" t="s">
        <v>6246</v>
      </c>
      <c r="P787" s="1517"/>
      <c r="Q787" s="1515" t="s">
        <v>4962</v>
      </c>
      <c r="R787" s="1515" t="s">
        <v>4969</v>
      </c>
      <c r="S787" s="1518"/>
      <c r="T787" s="1519">
        <v>90414</v>
      </c>
      <c r="U787" s="1504">
        <v>0</v>
      </c>
      <c r="V787" s="1520">
        <f>T787-U787</f>
        <v>90414</v>
      </c>
      <c r="W787" s="1519">
        <v>15955</v>
      </c>
      <c r="X787" s="1504">
        <v>0</v>
      </c>
      <c r="Y787" s="1520">
        <f>W787-X787</f>
        <v>15955</v>
      </c>
      <c r="Z787" s="1519">
        <v>2151</v>
      </c>
      <c r="AA787" s="1504">
        <v>0</v>
      </c>
      <c r="AB787" s="1520">
        <f>Z787-AA787</f>
        <v>2151</v>
      </c>
      <c r="AC787" s="1519"/>
      <c r="AD787" s="1504"/>
      <c r="AE787" s="1520"/>
      <c r="AF787" s="1519"/>
      <c r="AG787" s="1504"/>
      <c r="AH787" s="1520"/>
      <c r="AI787" s="1503">
        <f>T787+W787+Z787+AC787+AF787</f>
        <v>108520</v>
      </c>
      <c r="AJ787" s="1504">
        <f>U787+X787+AA787+AD787+AG787</f>
        <v>0</v>
      </c>
      <c r="AK787" s="3919">
        <v>0</v>
      </c>
      <c r="AL787" s="1505">
        <f>AI787-AJ787-AK787</f>
        <v>108520</v>
      </c>
      <c r="AM787" s="1508" t="s">
        <v>1061</v>
      </c>
      <c r="AN787" s="3401">
        <v>44915</v>
      </c>
      <c r="AO787" s="3402" t="s">
        <v>10676</v>
      </c>
      <c r="AP787" s="2664" t="s">
        <v>10102</v>
      </c>
      <c r="AQ787" s="2806">
        <v>1.1100000000000001</v>
      </c>
      <c r="AR787" s="1506">
        <v>0</v>
      </c>
      <c r="AS787" s="1507">
        <v>0</v>
      </c>
      <c r="AT787" s="1507">
        <v>0</v>
      </c>
      <c r="AU787" s="1507">
        <v>0</v>
      </c>
      <c r="AV787" s="1507">
        <v>0</v>
      </c>
      <c r="AW787" s="3247">
        <f>ROUND(AL787*AQ787/G787,0)</f>
        <v>119030</v>
      </c>
      <c r="AX787" s="3146"/>
      <c r="BA787" s="267"/>
      <c r="BB787" s="267"/>
      <c r="BC787" s="4117">
        <f t="shared" si="223"/>
        <v>0</v>
      </c>
      <c r="BD787" s="4117">
        <f t="shared" si="224"/>
        <v>0</v>
      </c>
      <c r="BE787" s="5071"/>
      <c r="BF787" s="267"/>
      <c r="BG787" s="267"/>
      <c r="BH787" s="267"/>
    </row>
    <row r="788" spans="1:60" ht="89.25">
      <c r="A788" s="5981" t="s">
        <v>11003</v>
      </c>
      <c r="B788" s="1538" t="s">
        <v>10667</v>
      </c>
      <c r="C788" s="1509">
        <v>0</v>
      </c>
      <c r="D788" s="1510">
        <v>44539</v>
      </c>
      <c r="E788" s="4344" t="s">
        <v>9156</v>
      </c>
      <c r="F788" s="2497" t="s">
        <v>9005</v>
      </c>
      <c r="G788" s="5387">
        <v>1.0956269999999999</v>
      </c>
      <c r="H788" s="1513" t="s">
        <v>9672</v>
      </c>
      <c r="I788" s="1514" t="s">
        <v>9493</v>
      </c>
      <c r="J788" s="4345" t="s">
        <v>4306</v>
      </c>
      <c r="K788" s="1516">
        <v>45269</v>
      </c>
      <c r="L788" s="1514" t="s">
        <v>9495</v>
      </c>
      <c r="M788" s="1515" t="s">
        <v>6271</v>
      </c>
      <c r="N788" s="1514" t="s">
        <v>5495</v>
      </c>
      <c r="O788" s="1515" t="s">
        <v>6271</v>
      </c>
      <c r="P788" s="1517"/>
      <c r="Q788" s="6094" t="s">
        <v>9047</v>
      </c>
      <c r="R788" s="1515" t="s">
        <v>945</v>
      </c>
      <c r="S788" s="1518"/>
      <c r="T788" s="1519"/>
      <c r="U788" s="1504"/>
      <c r="V788" s="1520"/>
      <c r="W788" s="1519"/>
      <c r="X788" s="1504"/>
      <c r="Y788" s="1520"/>
      <c r="Z788" s="1519"/>
      <c r="AA788" s="1504"/>
      <c r="AB788" s="1520"/>
      <c r="AC788" s="1519"/>
      <c r="AD788" s="1504"/>
      <c r="AE788" s="1520"/>
      <c r="AF788" s="1519"/>
      <c r="AG788" s="1504"/>
      <c r="AH788" s="1520"/>
      <c r="AI788" s="1503">
        <v>6534</v>
      </c>
      <c r="AJ788" s="1504">
        <v>0</v>
      </c>
      <c r="AK788" s="3919">
        <v>0</v>
      </c>
      <c r="AL788" s="1505">
        <f>AI788-AJ788-AK788</f>
        <v>6534</v>
      </c>
      <c r="AM788" s="1508" t="s">
        <v>1061</v>
      </c>
      <c r="AN788" s="3401">
        <v>44915</v>
      </c>
      <c r="AO788" s="3402" t="s">
        <v>10677</v>
      </c>
      <c r="AP788" s="2905" t="s">
        <v>10102</v>
      </c>
      <c r="AQ788" s="2906">
        <v>1.1100000000000001</v>
      </c>
      <c r="AR788" s="1506"/>
      <c r="AS788" s="1507"/>
      <c r="AT788" s="1507"/>
      <c r="AU788" s="1507"/>
      <c r="AV788" s="1507"/>
      <c r="AW788" s="3247">
        <f>ROUND(AL788*AQ788/G788,0)</f>
        <v>6620</v>
      </c>
      <c r="AX788" s="3146"/>
      <c r="BA788" s="267"/>
      <c r="BB788" s="267"/>
      <c r="BC788" s="4117">
        <f t="shared" si="223"/>
        <v>0</v>
      </c>
      <c r="BD788" s="4117">
        <f t="shared" si="224"/>
        <v>0</v>
      </c>
      <c r="BE788" s="5071"/>
      <c r="BF788" s="267"/>
      <c r="BG788" s="267"/>
      <c r="BH788" s="267"/>
    </row>
    <row r="789" spans="1:60" ht="88.5" customHeight="1">
      <c r="A789" s="5981" t="s">
        <v>11022</v>
      </c>
      <c r="B789" s="1538" t="s">
        <v>11047</v>
      </c>
      <c r="C789" s="1509">
        <v>0</v>
      </c>
      <c r="D789" s="1510" t="s">
        <v>9876</v>
      </c>
      <c r="E789" s="3053" t="s">
        <v>6386</v>
      </c>
      <c r="F789" s="1511" t="s">
        <v>8470</v>
      </c>
      <c r="G789" s="2805">
        <v>1.0795220000000001</v>
      </c>
      <c r="H789" s="1513" t="s">
        <v>10668</v>
      </c>
      <c r="I789" s="1514" t="s">
        <v>1433</v>
      </c>
      <c r="J789" s="1515" t="s">
        <v>1434</v>
      </c>
      <c r="K789" s="1516">
        <v>45559</v>
      </c>
      <c r="L789" s="1514" t="s">
        <v>5907</v>
      </c>
      <c r="M789" s="1515" t="s">
        <v>5165</v>
      </c>
      <c r="N789" s="1514" t="s">
        <v>5908</v>
      </c>
      <c r="O789" s="1513" t="s">
        <v>5909</v>
      </c>
      <c r="P789" s="1517" t="s">
        <v>11048</v>
      </c>
      <c r="Q789" s="1515" t="s">
        <v>9685</v>
      </c>
      <c r="R789" s="1515" t="s">
        <v>5876</v>
      </c>
      <c r="S789" s="1518"/>
      <c r="T789" s="1519">
        <v>7378</v>
      </c>
      <c r="U789" s="1504">
        <v>0</v>
      </c>
      <c r="V789" s="1520">
        <f>T789-U789</f>
        <v>7378</v>
      </c>
      <c r="W789" s="1519">
        <v>9222</v>
      </c>
      <c r="X789" s="1504">
        <v>0</v>
      </c>
      <c r="Y789" s="1520">
        <f>W789-X789</f>
        <v>9222</v>
      </c>
      <c r="Z789" s="1519">
        <v>0</v>
      </c>
      <c r="AA789" s="1504">
        <v>0</v>
      </c>
      <c r="AB789" s="1520">
        <f>Z789-AA789</f>
        <v>0</v>
      </c>
      <c r="AC789" s="1519"/>
      <c r="AD789" s="1504"/>
      <c r="AE789" s="1520"/>
      <c r="AF789" s="1519"/>
      <c r="AG789" s="1504"/>
      <c r="AH789" s="1520"/>
      <c r="AI789" s="1503">
        <v>0</v>
      </c>
      <c r="AJ789" s="1504">
        <f>U789+X789+AA789+AD789+AG789</f>
        <v>0</v>
      </c>
      <c r="AK789" s="3919">
        <v>0</v>
      </c>
      <c r="AL789" s="1505">
        <v>4362</v>
      </c>
      <c r="AM789" s="1508" t="s">
        <v>10669</v>
      </c>
      <c r="AN789" s="3401" t="s">
        <v>10678</v>
      </c>
      <c r="AO789" s="3402" t="s">
        <v>10680</v>
      </c>
      <c r="AP789" s="3251" t="s">
        <v>7957</v>
      </c>
      <c r="AQ789" s="3248">
        <v>1.0795220000000001</v>
      </c>
      <c r="AR789" s="1506">
        <v>0</v>
      </c>
      <c r="AS789" s="1507">
        <v>0</v>
      </c>
      <c r="AT789" s="1507">
        <v>0</v>
      </c>
      <c r="AU789" s="1507">
        <v>0</v>
      </c>
      <c r="AV789" s="1507">
        <v>0</v>
      </c>
      <c r="AW789" s="3247">
        <f>ROUND(AL789*AQ789/G789,0)</f>
        <v>4362</v>
      </c>
      <c r="AX789" s="3146"/>
      <c r="BA789" s="267"/>
      <c r="BB789" s="267"/>
      <c r="BC789" s="4117">
        <f t="shared" si="223"/>
        <v>0</v>
      </c>
      <c r="BD789" s="4117">
        <f t="shared" si="224"/>
        <v>0</v>
      </c>
      <c r="BE789" s="5071"/>
      <c r="BF789" s="267"/>
      <c r="BG789" s="267"/>
      <c r="BH789" s="267"/>
    </row>
    <row r="790" spans="1:60" ht="129.75" customHeight="1">
      <c r="A790" s="5981" t="s">
        <v>11022</v>
      </c>
      <c r="B790" s="1538" t="s">
        <v>10673</v>
      </c>
      <c r="C790" s="1509">
        <v>0</v>
      </c>
      <c r="D790" s="1510">
        <v>44637</v>
      </c>
      <c r="E790" s="4344" t="s">
        <v>9156</v>
      </c>
      <c r="F790" s="2497" t="s">
        <v>9005</v>
      </c>
      <c r="G790" s="5387">
        <v>1.0956269999999999</v>
      </c>
      <c r="H790" s="1513" t="s">
        <v>9736</v>
      </c>
      <c r="I790" s="1514" t="s">
        <v>9731</v>
      </c>
      <c r="J790" s="4345" t="s">
        <v>4306</v>
      </c>
      <c r="K790" s="1516">
        <v>45360</v>
      </c>
      <c r="L790" s="1514" t="s">
        <v>9732</v>
      </c>
      <c r="M790" s="1515" t="s">
        <v>9733</v>
      </c>
      <c r="N790" s="1514" t="s">
        <v>9735</v>
      </c>
      <c r="O790" s="1513" t="s">
        <v>9734</v>
      </c>
      <c r="P790" s="1517" t="s">
        <v>10671</v>
      </c>
      <c r="Q790" s="1515" t="s">
        <v>9737</v>
      </c>
      <c r="R790" s="1515" t="s">
        <v>129</v>
      </c>
      <c r="S790" s="1518"/>
      <c r="T790" s="1519"/>
      <c r="U790" s="1504"/>
      <c r="V790" s="1520"/>
      <c r="W790" s="1519"/>
      <c r="X790" s="1504"/>
      <c r="Y790" s="1520"/>
      <c r="Z790" s="1519"/>
      <c r="AA790" s="1504"/>
      <c r="AB790" s="1520"/>
      <c r="AC790" s="1519"/>
      <c r="AD790" s="1504"/>
      <c r="AE790" s="1520"/>
      <c r="AF790" s="1519"/>
      <c r="AG790" s="1504"/>
      <c r="AH790" s="1520"/>
      <c r="AI790" s="1503">
        <v>0</v>
      </c>
      <c r="AJ790" s="1504">
        <v>0</v>
      </c>
      <c r="AK790" s="3919">
        <v>0</v>
      </c>
      <c r="AL790" s="1505">
        <v>1728.89</v>
      </c>
      <c r="AM790" s="1508" t="s">
        <v>10672</v>
      </c>
      <c r="AN790" s="3401">
        <v>44915</v>
      </c>
      <c r="AO790" s="3402" t="s">
        <v>10679</v>
      </c>
      <c r="AP790" s="3539" t="s">
        <v>9004</v>
      </c>
      <c r="AQ790" s="4189">
        <v>1.0956269999999999</v>
      </c>
      <c r="AR790" s="1506"/>
      <c r="AS790" s="1507"/>
      <c r="AT790" s="1507"/>
      <c r="AU790" s="1507"/>
      <c r="AV790" s="1507"/>
      <c r="AW790" s="3247">
        <f>AL790</f>
        <v>1728.89</v>
      </c>
      <c r="AX790" s="3146"/>
      <c r="BA790" s="267"/>
      <c r="BB790" s="267"/>
      <c r="BC790" s="4117">
        <f t="shared" si="223"/>
        <v>0</v>
      </c>
      <c r="BD790" s="4117">
        <f t="shared" si="224"/>
        <v>0</v>
      </c>
      <c r="BE790" s="5071"/>
      <c r="BF790" s="267"/>
      <c r="BG790" s="267"/>
      <c r="BH790" s="267"/>
    </row>
    <row r="791" spans="1:60" ht="102">
      <c r="A791" s="5981" t="s">
        <v>11006</v>
      </c>
      <c r="B791" s="1538" t="s">
        <v>10675</v>
      </c>
      <c r="C791" s="1509">
        <v>0</v>
      </c>
      <c r="D791" s="1510">
        <v>44699</v>
      </c>
      <c r="E791" s="4344" t="s">
        <v>9156</v>
      </c>
      <c r="F791" s="2497" t="s">
        <v>9005</v>
      </c>
      <c r="G791" s="5387">
        <v>1.0956269999999999</v>
      </c>
      <c r="H791" s="1513" t="s">
        <v>9932</v>
      </c>
      <c r="I791" s="1514" t="s">
        <v>9560</v>
      </c>
      <c r="J791" s="4345" t="s">
        <v>4306</v>
      </c>
      <c r="K791" s="1516">
        <v>45428</v>
      </c>
      <c r="L791" s="1514" t="s">
        <v>9933</v>
      </c>
      <c r="M791" s="1515" t="s">
        <v>9934</v>
      </c>
      <c r="N791" s="1514" t="s">
        <v>9936</v>
      </c>
      <c r="O791" s="1513" t="s">
        <v>9935</v>
      </c>
      <c r="P791" s="1517"/>
      <c r="Q791" s="6094" t="s">
        <v>9071</v>
      </c>
      <c r="R791" s="1515" t="s">
        <v>581</v>
      </c>
      <c r="S791" s="1518"/>
      <c r="T791" s="1519"/>
      <c r="U791" s="1504"/>
      <c r="V791" s="1520"/>
      <c r="W791" s="1519"/>
      <c r="X791" s="1504"/>
      <c r="Y791" s="1520"/>
      <c r="Z791" s="1519"/>
      <c r="AA791" s="1504"/>
      <c r="AB791" s="1520"/>
      <c r="AC791" s="1519"/>
      <c r="AD791" s="1504"/>
      <c r="AE791" s="1520"/>
      <c r="AF791" s="1519"/>
      <c r="AG791" s="1504"/>
      <c r="AH791" s="1520"/>
      <c r="AI791" s="1503">
        <v>6534</v>
      </c>
      <c r="AJ791" s="1504">
        <v>0</v>
      </c>
      <c r="AK791" s="3919">
        <v>0</v>
      </c>
      <c r="AL791" s="1505">
        <f>AI791-AJ791-AK791</f>
        <v>6534</v>
      </c>
      <c r="AM791" s="1508" t="s">
        <v>1061</v>
      </c>
      <c r="AN791" s="3401">
        <v>44915</v>
      </c>
      <c r="AO791" s="3402" t="s">
        <v>10681</v>
      </c>
      <c r="AP791" s="2905" t="s">
        <v>10102</v>
      </c>
      <c r="AQ791" s="2906">
        <v>1.1100000000000001</v>
      </c>
      <c r="AR791" s="1506"/>
      <c r="AS791" s="1507"/>
      <c r="AT791" s="1507"/>
      <c r="AU791" s="1507"/>
      <c r="AV791" s="1507"/>
      <c r="AW791" s="3247">
        <f>ROUND(AL791*AQ791/G791,0)</f>
        <v>6620</v>
      </c>
      <c r="AX791" s="3146"/>
      <c r="BA791" s="267"/>
      <c r="BB791" s="267"/>
      <c r="BC791" s="4117">
        <f t="shared" si="223"/>
        <v>0</v>
      </c>
      <c r="BD791" s="4117">
        <f t="shared" si="224"/>
        <v>0</v>
      </c>
      <c r="BE791" s="5071"/>
      <c r="BF791" s="267"/>
      <c r="BG791" s="267"/>
      <c r="BH791" s="267"/>
    </row>
    <row r="792" spans="1:60" ht="90" thickBot="1">
      <c r="A792" s="6084" t="s">
        <v>11022</v>
      </c>
      <c r="B792" s="5573" t="s">
        <v>10031</v>
      </c>
      <c r="C792" s="5772">
        <v>0</v>
      </c>
      <c r="D792" s="5773">
        <v>44783</v>
      </c>
      <c r="E792" s="5774" t="s">
        <v>9156</v>
      </c>
      <c r="F792" s="3835" t="s">
        <v>10101</v>
      </c>
      <c r="G792" s="5775">
        <v>1.1100000000000001</v>
      </c>
      <c r="H792" s="5836" t="s">
        <v>10214</v>
      </c>
      <c r="I792" s="5580" t="s">
        <v>10292</v>
      </c>
      <c r="J792" s="5777" t="s">
        <v>4306</v>
      </c>
      <c r="K792" s="5837">
        <v>45514</v>
      </c>
      <c r="L792" s="5580" t="s">
        <v>9624</v>
      </c>
      <c r="M792" s="5777" t="s">
        <v>10223</v>
      </c>
      <c r="N792" s="5580" t="s">
        <v>10224</v>
      </c>
      <c r="O792" s="5836" t="s">
        <v>10225</v>
      </c>
      <c r="P792" s="5737"/>
      <c r="Q792" s="6117" t="s">
        <v>9071</v>
      </c>
      <c r="R792" s="5777" t="s">
        <v>536</v>
      </c>
      <c r="S792" s="5838"/>
      <c r="T792" s="5585"/>
      <c r="U792" s="5780"/>
      <c r="V792" s="5839"/>
      <c r="W792" s="5585"/>
      <c r="X792" s="5780"/>
      <c r="Y792" s="5839"/>
      <c r="Z792" s="5585"/>
      <c r="AA792" s="5780"/>
      <c r="AB792" s="5839"/>
      <c r="AC792" s="5585"/>
      <c r="AD792" s="5780"/>
      <c r="AE792" s="5839"/>
      <c r="AF792" s="5585"/>
      <c r="AG792" s="5780"/>
      <c r="AH792" s="5839"/>
      <c r="AI792" s="5588">
        <v>5640</v>
      </c>
      <c r="AJ792" s="5780">
        <v>0</v>
      </c>
      <c r="AK792" s="5840">
        <v>0</v>
      </c>
      <c r="AL792" s="5841">
        <f>AI792-AJ792-AK792</f>
        <v>5640</v>
      </c>
      <c r="AM792" s="5743" t="s">
        <v>1061</v>
      </c>
      <c r="AN792" s="5784">
        <v>44918</v>
      </c>
      <c r="AO792" s="5785" t="s">
        <v>10717</v>
      </c>
      <c r="AP792" s="3851" t="s">
        <v>10102</v>
      </c>
      <c r="AQ792" s="3852">
        <v>1.1100000000000001</v>
      </c>
      <c r="AR792" s="5596"/>
      <c r="AS792" s="5786"/>
      <c r="AT792" s="5786"/>
      <c r="AU792" s="5786"/>
      <c r="AV792" s="5786"/>
      <c r="AW792" s="5842">
        <f>ROUND(AL792*AQ792/G792,0)</f>
        <v>5640</v>
      </c>
      <c r="AX792" s="5599"/>
      <c r="AY792" s="4029" t="s">
        <v>10620</v>
      </c>
      <c r="AZ792" s="3888">
        <f>SUM(AW782:AW792)</f>
        <v>195801.89</v>
      </c>
      <c r="BA792" s="2119">
        <f>AZ792</f>
        <v>195801.89</v>
      </c>
      <c r="BB792" s="267"/>
      <c r="BC792" s="4117">
        <f t="shared" si="223"/>
        <v>0</v>
      </c>
      <c r="BD792" s="4117">
        <f t="shared" si="224"/>
        <v>0</v>
      </c>
      <c r="BE792" s="5071"/>
      <c r="BF792" s="267"/>
      <c r="BG792" s="267"/>
      <c r="BH792" s="267"/>
    </row>
    <row r="793" spans="1:60" ht="130.5" customHeight="1">
      <c r="A793" s="2418" t="s">
        <v>11003</v>
      </c>
      <c r="B793" s="338" t="s">
        <v>10740</v>
      </c>
      <c r="C793" s="321">
        <v>0</v>
      </c>
      <c r="D793" s="323">
        <v>44637</v>
      </c>
      <c r="E793" s="3058" t="s">
        <v>9156</v>
      </c>
      <c r="F793" s="830" t="s">
        <v>9005</v>
      </c>
      <c r="G793" s="5356">
        <v>1.0956269999999999</v>
      </c>
      <c r="H793" s="332" t="s">
        <v>10743</v>
      </c>
      <c r="I793" s="339" t="s">
        <v>9731</v>
      </c>
      <c r="J793" s="2399" t="s">
        <v>4306</v>
      </c>
      <c r="K793" s="340">
        <v>45360</v>
      </c>
      <c r="L793" s="339" t="s">
        <v>9732</v>
      </c>
      <c r="M793" s="322" t="s">
        <v>9733</v>
      </c>
      <c r="N793" s="339" t="s">
        <v>9735</v>
      </c>
      <c r="O793" s="332" t="s">
        <v>9734</v>
      </c>
      <c r="P793" s="345" t="s">
        <v>10741</v>
      </c>
      <c r="Q793" s="322" t="s">
        <v>9737</v>
      </c>
      <c r="R793" s="322" t="s">
        <v>129</v>
      </c>
      <c r="S793" s="346"/>
      <c r="T793" s="347"/>
      <c r="U793" s="326"/>
      <c r="V793" s="348"/>
      <c r="W793" s="347"/>
      <c r="X793" s="326"/>
      <c r="Y793" s="348"/>
      <c r="Z793" s="347"/>
      <c r="AA793" s="326"/>
      <c r="AB793" s="348"/>
      <c r="AC793" s="347"/>
      <c r="AD793" s="326"/>
      <c r="AE793" s="348"/>
      <c r="AF793" s="347"/>
      <c r="AG793" s="326"/>
      <c r="AH793" s="348"/>
      <c r="AI793" s="482">
        <v>0</v>
      </c>
      <c r="AJ793" s="326">
        <v>0</v>
      </c>
      <c r="AK793" s="3917">
        <v>0</v>
      </c>
      <c r="AL793" s="349">
        <f t="shared" ref="AL793" si="229">AI793-AJ793-AK793</f>
        <v>0</v>
      </c>
      <c r="AM793" s="2002" t="s">
        <v>4488</v>
      </c>
      <c r="AN793" s="3357">
        <v>44935</v>
      </c>
      <c r="AO793" s="695" t="s">
        <v>10744</v>
      </c>
      <c r="AP793" s="3696" t="s">
        <v>9004</v>
      </c>
      <c r="AQ793" s="3697">
        <v>1.0956269999999999</v>
      </c>
      <c r="AR793" s="333"/>
      <c r="AS793" s="330"/>
      <c r="AT793" s="330"/>
      <c r="AU793" s="330"/>
      <c r="AV793" s="330"/>
      <c r="AW793" s="3156">
        <v>1728.89</v>
      </c>
      <c r="AX793" s="3140"/>
      <c r="BA793" s="267"/>
      <c r="BB793" s="267"/>
      <c r="BC793" s="4117">
        <f t="shared" si="223"/>
        <v>0</v>
      </c>
      <c r="BD793" s="4117">
        <f t="shared" si="224"/>
        <v>0</v>
      </c>
      <c r="BE793" s="5071"/>
      <c r="BF793" s="267"/>
      <c r="BG793" s="267"/>
      <c r="BH793" s="267"/>
    </row>
    <row r="794" spans="1:60" ht="89.25">
      <c r="A794" s="2418" t="s">
        <v>11003</v>
      </c>
      <c r="B794" s="338" t="s">
        <v>9411</v>
      </c>
      <c r="C794" s="695">
        <v>1</v>
      </c>
      <c r="D794" s="323">
        <v>44063</v>
      </c>
      <c r="E794" s="3058" t="s">
        <v>7972</v>
      </c>
      <c r="F794" s="324" t="s">
        <v>7957</v>
      </c>
      <c r="G794" s="2621">
        <v>1.0795220000000001</v>
      </c>
      <c r="H794" s="332" t="s">
        <v>8030</v>
      </c>
      <c r="I794" s="339" t="s">
        <v>1433</v>
      </c>
      <c r="J794" s="322" t="s">
        <v>1434</v>
      </c>
      <c r="K794" s="340">
        <v>46184</v>
      </c>
      <c r="L794" s="339" t="s">
        <v>7998</v>
      </c>
      <c r="M794" s="322" t="s">
        <v>1957</v>
      </c>
      <c r="N794" s="339" t="s">
        <v>7999</v>
      </c>
      <c r="O794" s="332" t="s">
        <v>8000</v>
      </c>
      <c r="P794" s="930" t="s">
        <v>8003</v>
      </c>
      <c r="Q794" s="322" t="s">
        <v>8001</v>
      </c>
      <c r="R794" s="322" t="s">
        <v>8002</v>
      </c>
      <c r="S794" s="346"/>
      <c r="T794" s="347"/>
      <c r="U794" s="326"/>
      <c r="V794" s="348"/>
      <c r="W794" s="347"/>
      <c r="X794" s="326"/>
      <c r="Y794" s="348"/>
      <c r="Z794" s="347"/>
      <c r="AA794" s="326"/>
      <c r="AB794" s="348"/>
      <c r="AC794" s="347"/>
      <c r="AD794" s="326"/>
      <c r="AE794" s="348"/>
      <c r="AF794" s="347"/>
      <c r="AG794" s="326"/>
      <c r="AH794" s="348"/>
      <c r="AI794" s="482">
        <v>26815</v>
      </c>
      <c r="AJ794" s="326">
        <v>0</v>
      </c>
      <c r="AK794" s="3917">
        <v>0</v>
      </c>
      <c r="AL794" s="349">
        <f>AI794-AJ794-AK794</f>
        <v>26815</v>
      </c>
      <c r="AM794" s="2002" t="s">
        <v>1061</v>
      </c>
      <c r="AN794" s="3357">
        <v>44943</v>
      </c>
      <c r="AO794" s="695" t="s">
        <v>10756</v>
      </c>
      <c r="AP794" s="3362" t="s">
        <v>10102</v>
      </c>
      <c r="AQ794" s="3555">
        <v>1.1100000000000001</v>
      </c>
      <c r="AR794" s="333"/>
      <c r="AS794" s="330"/>
      <c r="AT794" s="330"/>
      <c r="AU794" s="330"/>
      <c r="AV794" s="330"/>
      <c r="AW794" s="3156">
        <f>ROUND(AL794*AQ794/G794,0)</f>
        <v>27572</v>
      </c>
      <c r="AX794" s="3140"/>
      <c r="BA794" s="267"/>
      <c r="BB794" s="267"/>
      <c r="BC794" s="4117">
        <f t="shared" si="223"/>
        <v>0</v>
      </c>
      <c r="BD794" s="4117">
        <f t="shared" si="224"/>
        <v>0</v>
      </c>
      <c r="BE794" s="5071"/>
      <c r="BF794" s="267"/>
      <c r="BG794" s="267"/>
      <c r="BH794" s="267"/>
    </row>
    <row r="795" spans="1:60" ht="76.5">
      <c r="A795" s="2418" t="s">
        <v>11003</v>
      </c>
      <c r="B795" s="338" t="s">
        <v>9413</v>
      </c>
      <c r="C795" s="321">
        <v>0</v>
      </c>
      <c r="D795" s="323">
        <v>44435</v>
      </c>
      <c r="E795" s="3058" t="s">
        <v>9156</v>
      </c>
      <c r="F795" s="830" t="s">
        <v>9005</v>
      </c>
      <c r="G795" s="2620">
        <v>1.0956269999999999</v>
      </c>
      <c r="H795" s="332" t="s">
        <v>9172</v>
      </c>
      <c r="I795" s="339" t="s">
        <v>1433</v>
      </c>
      <c r="J795" s="322" t="s">
        <v>1434</v>
      </c>
      <c r="K795" s="340">
        <v>46184</v>
      </c>
      <c r="L795" s="339" t="s">
        <v>7998</v>
      </c>
      <c r="M795" s="322" t="s">
        <v>1957</v>
      </c>
      <c r="N795" s="339" t="s">
        <v>7999</v>
      </c>
      <c r="O795" s="332" t="s">
        <v>9173</v>
      </c>
      <c r="P795" s="345" t="s">
        <v>9181</v>
      </c>
      <c r="Q795" s="322" t="s">
        <v>9179</v>
      </c>
      <c r="R795" s="322" t="s">
        <v>9174</v>
      </c>
      <c r="S795" s="346"/>
      <c r="T795" s="347"/>
      <c r="U795" s="326"/>
      <c r="V795" s="348"/>
      <c r="W795" s="347"/>
      <c r="X795" s="326"/>
      <c r="Y795" s="348"/>
      <c r="Z795" s="347"/>
      <c r="AA795" s="326"/>
      <c r="AB795" s="348"/>
      <c r="AC795" s="347"/>
      <c r="AD795" s="326"/>
      <c r="AE795" s="348"/>
      <c r="AF795" s="347"/>
      <c r="AG795" s="326"/>
      <c r="AH795" s="348"/>
      <c r="AI795" s="482">
        <v>645</v>
      </c>
      <c r="AJ795" s="326">
        <v>0</v>
      </c>
      <c r="AK795" s="3917">
        <v>0</v>
      </c>
      <c r="AL795" s="349">
        <f>AI795-AJ795-AK795</f>
        <v>645</v>
      </c>
      <c r="AM795" s="2002" t="s">
        <v>1061</v>
      </c>
      <c r="AN795" s="3357">
        <v>44943</v>
      </c>
      <c r="AO795" s="695" t="s">
        <v>10756</v>
      </c>
      <c r="AP795" s="3362" t="s">
        <v>10102</v>
      </c>
      <c r="AQ795" s="3555">
        <v>1.1100000000000001</v>
      </c>
      <c r="AR795" s="333"/>
      <c r="AS795" s="330"/>
      <c r="AT795" s="330"/>
      <c r="AU795" s="330"/>
      <c r="AV795" s="330"/>
      <c r="AW795" s="3156">
        <f>ROUND(AL795*AQ795/G795,0)</f>
        <v>653</v>
      </c>
      <c r="AX795" s="3140"/>
      <c r="BB795" s="267"/>
      <c r="BC795" s="4117">
        <f t="shared" si="223"/>
        <v>0</v>
      </c>
      <c r="BD795" s="4117">
        <f t="shared" si="224"/>
        <v>0</v>
      </c>
      <c r="BE795" s="5071"/>
      <c r="BF795" s="267"/>
      <c r="BG795" s="267"/>
      <c r="BH795" s="267"/>
    </row>
    <row r="796" spans="1:60" ht="89.25">
      <c r="A796" s="2418" t="s">
        <v>11003</v>
      </c>
      <c r="B796" s="338" t="s">
        <v>10761</v>
      </c>
      <c r="C796" s="321">
        <v>0</v>
      </c>
      <c r="D796" s="323">
        <v>44553</v>
      </c>
      <c r="E796" s="3058" t="s">
        <v>9156</v>
      </c>
      <c r="F796" s="830" t="s">
        <v>9005</v>
      </c>
      <c r="G796" s="5356">
        <v>1.0956269999999999</v>
      </c>
      <c r="H796" s="332" t="s">
        <v>9673</v>
      </c>
      <c r="I796" s="339" t="s">
        <v>9548</v>
      </c>
      <c r="J796" s="2399" t="s">
        <v>4306</v>
      </c>
      <c r="K796" s="340">
        <v>45282</v>
      </c>
      <c r="L796" s="339" t="s">
        <v>9547</v>
      </c>
      <c r="M796" s="322" t="s">
        <v>9545</v>
      </c>
      <c r="N796" s="339" t="s">
        <v>9546</v>
      </c>
      <c r="O796" s="332" t="s">
        <v>9545</v>
      </c>
      <c r="P796" s="345" t="s">
        <v>10758</v>
      </c>
      <c r="Q796" s="6094" t="s">
        <v>9047</v>
      </c>
      <c r="R796" s="322" t="s">
        <v>945</v>
      </c>
      <c r="S796" s="346"/>
      <c r="T796" s="347"/>
      <c r="U796" s="326"/>
      <c r="V796" s="348"/>
      <c r="W796" s="347"/>
      <c r="X796" s="326"/>
      <c r="Y796" s="348"/>
      <c r="Z796" s="347"/>
      <c r="AA796" s="326"/>
      <c r="AB796" s="348"/>
      <c r="AC796" s="347"/>
      <c r="AD796" s="326"/>
      <c r="AE796" s="348"/>
      <c r="AF796" s="347"/>
      <c r="AG796" s="326"/>
      <c r="AH796" s="348"/>
      <c r="AI796" s="482">
        <v>0</v>
      </c>
      <c r="AJ796" s="326">
        <v>0</v>
      </c>
      <c r="AK796" s="3917">
        <v>0</v>
      </c>
      <c r="AL796" s="349">
        <f t="shared" ref="AL796" si="230">AI796-AJ796-AK796</f>
        <v>0</v>
      </c>
      <c r="AM796" s="2002" t="s">
        <v>10759</v>
      </c>
      <c r="AN796" s="3357">
        <v>44944</v>
      </c>
      <c r="AO796" s="695" t="s">
        <v>10760</v>
      </c>
      <c r="AP796" s="3696" t="s">
        <v>10102</v>
      </c>
      <c r="AQ796" s="3697">
        <v>1.1100000000000001</v>
      </c>
      <c r="AR796" s="333"/>
      <c r="AS796" s="330"/>
      <c r="AT796" s="330"/>
      <c r="AU796" s="330"/>
      <c r="AV796" s="330"/>
      <c r="AW796" s="3156">
        <v>1220</v>
      </c>
      <c r="AX796" s="3140"/>
      <c r="BA796" s="267"/>
      <c r="BB796" s="267"/>
      <c r="BC796" s="4117">
        <f t="shared" si="223"/>
        <v>0</v>
      </c>
      <c r="BD796" s="4117">
        <f t="shared" si="224"/>
        <v>0</v>
      </c>
      <c r="BE796" s="5071"/>
      <c r="BF796" s="267"/>
      <c r="BG796" s="267"/>
      <c r="BH796" s="267"/>
    </row>
    <row r="797" spans="1:60" ht="81" customHeight="1">
      <c r="A797" s="2418" t="s">
        <v>11003</v>
      </c>
      <c r="B797" s="338" t="s">
        <v>10260</v>
      </c>
      <c r="C797" s="321">
        <v>0</v>
      </c>
      <c r="D797" s="323">
        <v>44915</v>
      </c>
      <c r="E797" s="3058" t="s">
        <v>10324</v>
      </c>
      <c r="F797" s="830" t="s">
        <v>10101</v>
      </c>
      <c r="G797" s="5356">
        <v>1.1100000000000001</v>
      </c>
      <c r="H797" s="332" t="s">
        <v>10682</v>
      </c>
      <c r="I797" s="339" t="s">
        <v>10687</v>
      </c>
      <c r="J797" s="2399" t="s">
        <v>4306</v>
      </c>
      <c r="K797" s="340">
        <v>45646</v>
      </c>
      <c r="L797" s="339" t="s">
        <v>9624</v>
      </c>
      <c r="M797" s="322" t="s">
        <v>10683</v>
      </c>
      <c r="N797" s="339" t="s">
        <v>10684</v>
      </c>
      <c r="O797" s="332" t="s">
        <v>10685</v>
      </c>
      <c r="P797" s="345" t="s">
        <v>10757</v>
      </c>
      <c r="Q797" s="6094" t="s">
        <v>9071</v>
      </c>
      <c r="R797" s="322" t="s">
        <v>536</v>
      </c>
      <c r="S797" s="346"/>
      <c r="T797" s="347"/>
      <c r="U797" s="326"/>
      <c r="V797" s="348"/>
      <c r="W797" s="347"/>
      <c r="X797" s="326"/>
      <c r="Y797" s="348"/>
      <c r="Z797" s="347"/>
      <c r="AA797" s="326"/>
      <c r="AB797" s="348"/>
      <c r="AC797" s="820"/>
      <c r="AD797" s="821"/>
      <c r="AE797" s="822"/>
      <c r="AF797" s="820"/>
      <c r="AG797" s="821"/>
      <c r="AH797" s="822"/>
      <c r="AI797" s="482">
        <v>6619</v>
      </c>
      <c r="AJ797" s="326">
        <v>0</v>
      </c>
      <c r="AK797" s="3917">
        <v>0</v>
      </c>
      <c r="AL797" s="349">
        <f t="shared" ref="AL797:AL802" si="231">AI797-AJ797-AK797</f>
        <v>6619</v>
      </c>
      <c r="AM797" s="2002" t="s">
        <v>1061</v>
      </c>
      <c r="AN797" s="3357">
        <v>44946</v>
      </c>
      <c r="AO797" s="695" t="s">
        <v>10774</v>
      </c>
      <c r="AP797" s="3362" t="s">
        <v>10102</v>
      </c>
      <c r="AQ797" s="3555">
        <v>1.1100000000000001</v>
      </c>
      <c r="AR797" s="333"/>
      <c r="AS797" s="330"/>
      <c r="AT797" s="330"/>
      <c r="AU797" s="849"/>
      <c r="AV797" s="849"/>
      <c r="AW797" s="3156">
        <f t="shared" ref="AW797:AW802" si="232">ROUND(AL797*AQ797/G797,0)</f>
        <v>6619</v>
      </c>
      <c r="AX797" s="3140"/>
      <c r="BA797" s="267"/>
      <c r="BB797" s="267"/>
      <c r="BC797" s="4117">
        <f t="shared" si="223"/>
        <v>0</v>
      </c>
      <c r="BD797" s="4117">
        <f t="shared" si="224"/>
        <v>0</v>
      </c>
      <c r="BE797" s="5071"/>
      <c r="BF797" s="267"/>
      <c r="BG797" s="267"/>
      <c r="BH797" s="267"/>
    </row>
    <row r="798" spans="1:60" ht="89.25">
      <c r="A798" s="2418" t="s">
        <v>11003</v>
      </c>
      <c r="B798" s="338" t="s">
        <v>7620</v>
      </c>
      <c r="C798" s="321">
        <v>0</v>
      </c>
      <c r="D798" s="323">
        <v>44216</v>
      </c>
      <c r="E798" s="3058" t="s">
        <v>8170</v>
      </c>
      <c r="F798" s="324" t="s">
        <v>7957</v>
      </c>
      <c r="G798" s="2621">
        <v>1.0795220000000001</v>
      </c>
      <c r="H798" s="332" t="s">
        <v>8488</v>
      </c>
      <c r="I798" s="2398" t="s">
        <v>8558</v>
      </c>
      <c r="J798" s="2399" t="s">
        <v>4306</v>
      </c>
      <c r="K798" s="340">
        <v>44946</v>
      </c>
      <c r="L798" s="339" t="s">
        <v>8489</v>
      </c>
      <c r="M798" s="322" t="s">
        <v>8490</v>
      </c>
      <c r="N798" s="339" t="s">
        <v>8491</v>
      </c>
      <c r="O798" s="332" t="s">
        <v>10773</v>
      </c>
      <c r="P798" s="345"/>
      <c r="Q798" s="6094" t="s">
        <v>5708</v>
      </c>
      <c r="R798" s="322" t="s">
        <v>5350</v>
      </c>
      <c r="S798" s="346"/>
      <c r="T798" s="347"/>
      <c r="U798" s="326"/>
      <c r="V798" s="348"/>
      <c r="W798" s="347"/>
      <c r="X798" s="326"/>
      <c r="Y798" s="348"/>
      <c r="Z798" s="347"/>
      <c r="AA798" s="326"/>
      <c r="AB798" s="348"/>
      <c r="AC798" s="820"/>
      <c r="AD798" s="821"/>
      <c r="AE798" s="822"/>
      <c r="AF798" s="820"/>
      <c r="AG798" s="821"/>
      <c r="AH798" s="822"/>
      <c r="AI798" s="482">
        <v>5484</v>
      </c>
      <c r="AJ798" s="326">
        <v>0</v>
      </c>
      <c r="AK798" s="3917">
        <v>0</v>
      </c>
      <c r="AL798" s="349">
        <f t="shared" si="231"/>
        <v>5484</v>
      </c>
      <c r="AM798" s="2002" t="s">
        <v>1061</v>
      </c>
      <c r="AN798" s="3357">
        <v>44946</v>
      </c>
      <c r="AO798" s="695" t="s">
        <v>10775</v>
      </c>
      <c r="AP798" s="3362" t="s">
        <v>10102</v>
      </c>
      <c r="AQ798" s="3555">
        <v>1.1100000000000001</v>
      </c>
      <c r="AR798" s="333"/>
      <c r="AS798" s="330"/>
      <c r="AT798" s="330"/>
      <c r="AU798" s="849"/>
      <c r="AV798" s="849"/>
      <c r="AW798" s="3156">
        <f t="shared" si="232"/>
        <v>5639</v>
      </c>
      <c r="AX798" s="3140"/>
      <c r="BB798" s="267"/>
      <c r="BC798" s="4117">
        <f t="shared" si="223"/>
        <v>0</v>
      </c>
      <c r="BD798" s="4117">
        <f t="shared" si="224"/>
        <v>0</v>
      </c>
      <c r="BE798" s="5071"/>
      <c r="BF798" s="267"/>
      <c r="BG798" s="267"/>
      <c r="BH798" s="267"/>
    </row>
    <row r="799" spans="1:60" ht="89.25">
      <c r="A799" s="2418" t="s">
        <v>11003</v>
      </c>
      <c r="B799" s="338" t="s">
        <v>9253</v>
      </c>
      <c r="C799" s="321">
        <v>0</v>
      </c>
      <c r="D799" s="323">
        <v>44650</v>
      </c>
      <c r="E799" s="3058" t="s">
        <v>9156</v>
      </c>
      <c r="F799" s="830" t="s">
        <v>9005</v>
      </c>
      <c r="G799" s="5356">
        <v>1.0956269999999999</v>
      </c>
      <c r="H799" s="332" t="s">
        <v>9790</v>
      </c>
      <c r="I799" s="339" t="s">
        <v>9793</v>
      </c>
      <c r="J799" s="2399" t="s">
        <v>4306</v>
      </c>
      <c r="K799" s="340">
        <v>45381</v>
      </c>
      <c r="L799" s="339" t="s">
        <v>9191</v>
      </c>
      <c r="M799" s="322" t="s">
        <v>4592</v>
      </c>
      <c r="N799" s="339" t="s">
        <v>9795</v>
      </c>
      <c r="O799" s="332" t="s">
        <v>9796</v>
      </c>
      <c r="P799" s="345"/>
      <c r="Q799" s="6094" t="s">
        <v>9047</v>
      </c>
      <c r="R799" s="322" t="s">
        <v>945</v>
      </c>
      <c r="S799" s="346"/>
      <c r="T799" s="347"/>
      <c r="U799" s="326"/>
      <c r="V799" s="348"/>
      <c r="W799" s="347"/>
      <c r="X799" s="326"/>
      <c r="Y799" s="348"/>
      <c r="Z799" s="347"/>
      <c r="AA799" s="326"/>
      <c r="AB799" s="348"/>
      <c r="AC799" s="820"/>
      <c r="AD799" s="821"/>
      <c r="AE799" s="822"/>
      <c r="AF799" s="820"/>
      <c r="AG799" s="821"/>
      <c r="AH799" s="822"/>
      <c r="AI799" s="482">
        <v>6534</v>
      </c>
      <c r="AJ799" s="326">
        <v>0</v>
      </c>
      <c r="AK799" s="3917">
        <v>0</v>
      </c>
      <c r="AL799" s="349">
        <f t="shared" si="231"/>
        <v>6534</v>
      </c>
      <c r="AM799" s="2002" t="s">
        <v>1061</v>
      </c>
      <c r="AN799" s="3357" t="s">
        <v>10785</v>
      </c>
      <c r="AO799" s="695" t="s">
        <v>10784</v>
      </c>
      <c r="AP799" s="3362" t="s">
        <v>10102</v>
      </c>
      <c r="AQ799" s="3555">
        <v>1.1100000000000001</v>
      </c>
      <c r="AR799" s="333"/>
      <c r="AS799" s="330"/>
      <c r="AT799" s="330"/>
      <c r="AU799" s="849"/>
      <c r="AV799" s="849"/>
      <c r="AW799" s="3156">
        <f t="shared" si="232"/>
        <v>6620</v>
      </c>
      <c r="AX799" s="3140"/>
      <c r="BA799" s="267"/>
      <c r="BB799" s="267"/>
      <c r="BC799" s="4117">
        <f t="shared" si="223"/>
        <v>0</v>
      </c>
      <c r="BD799" s="4117">
        <f t="shared" si="224"/>
        <v>0</v>
      </c>
      <c r="BE799" s="5071"/>
      <c r="BF799" s="267"/>
      <c r="BG799" s="267"/>
      <c r="BH799" s="267"/>
    </row>
    <row r="800" spans="1:60" ht="76.5">
      <c r="A800" s="2418" t="s">
        <v>11003</v>
      </c>
      <c r="B800" s="338" t="s">
        <v>10755</v>
      </c>
      <c r="C800" s="321">
        <v>0</v>
      </c>
      <c r="D800" s="323">
        <v>44844</v>
      </c>
      <c r="E800" s="3058" t="s">
        <v>10324</v>
      </c>
      <c r="F800" s="830" t="s">
        <v>10101</v>
      </c>
      <c r="G800" s="5356">
        <v>1.1100000000000001</v>
      </c>
      <c r="H800" s="332" t="s">
        <v>10572</v>
      </c>
      <c r="I800" s="339" t="s">
        <v>9560</v>
      </c>
      <c r="J800" s="2399" t="s">
        <v>4306</v>
      </c>
      <c r="K800" s="340">
        <v>45605</v>
      </c>
      <c r="L800" s="339" t="s">
        <v>8424</v>
      </c>
      <c r="M800" s="322" t="s">
        <v>8425</v>
      </c>
      <c r="N800" s="339" t="s">
        <v>10573</v>
      </c>
      <c r="O800" s="332" t="s">
        <v>10574</v>
      </c>
      <c r="P800" s="345"/>
      <c r="Q800" s="6094" t="s">
        <v>9071</v>
      </c>
      <c r="R800" s="322" t="s">
        <v>536</v>
      </c>
      <c r="S800" s="346"/>
      <c r="T800" s="347"/>
      <c r="U800" s="326"/>
      <c r="V800" s="348"/>
      <c r="W800" s="347"/>
      <c r="X800" s="326"/>
      <c r="Y800" s="348"/>
      <c r="Z800" s="347"/>
      <c r="AA800" s="326"/>
      <c r="AB800" s="348"/>
      <c r="AC800" s="820"/>
      <c r="AD800" s="821"/>
      <c r="AE800" s="822"/>
      <c r="AF800" s="820"/>
      <c r="AG800" s="821"/>
      <c r="AH800" s="822"/>
      <c r="AI800" s="482">
        <v>5639</v>
      </c>
      <c r="AJ800" s="326">
        <v>0</v>
      </c>
      <c r="AK800" s="3917">
        <v>0</v>
      </c>
      <c r="AL800" s="349">
        <f t="shared" si="231"/>
        <v>5639</v>
      </c>
      <c r="AM800" s="2002" t="s">
        <v>1061</v>
      </c>
      <c r="AN800" s="3357">
        <v>44953</v>
      </c>
      <c r="AO800" s="695" t="s">
        <v>10786</v>
      </c>
      <c r="AP800" s="3362" t="s">
        <v>10102</v>
      </c>
      <c r="AQ800" s="3555">
        <v>1.1100000000000001</v>
      </c>
      <c r="AR800" s="333"/>
      <c r="AS800" s="330"/>
      <c r="AT800" s="330"/>
      <c r="AU800" s="849"/>
      <c r="AV800" s="849"/>
      <c r="AW800" s="3156">
        <f t="shared" si="232"/>
        <v>5639</v>
      </c>
      <c r="AX800" s="3140"/>
      <c r="BB800" s="267"/>
      <c r="BC800" s="4117">
        <f t="shared" si="223"/>
        <v>0</v>
      </c>
      <c r="BD800" s="4117">
        <f t="shared" si="224"/>
        <v>0</v>
      </c>
      <c r="BE800" s="5071"/>
      <c r="BF800" s="267"/>
      <c r="BG800" s="267"/>
      <c r="BH800" s="267"/>
    </row>
    <row r="801" spans="1:60" ht="90" thickBot="1">
      <c r="A801" s="6085" t="s">
        <v>11003</v>
      </c>
      <c r="B801" s="5600" t="s">
        <v>10790</v>
      </c>
      <c r="C801" s="5844">
        <v>1</v>
      </c>
      <c r="D801" s="5845" t="s">
        <v>9684</v>
      </c>
      <c r="E801" s="5845" t="s">
        <v>9682</v>
      </c>
      <c r="F801" s="3793" t="s">
        <v>9005</v>
      </c>
      <c r="G801" s="5368">
        <v>1.0956269999999999</v>
      </c>
      <c r="H801" s="5846" t="s">
        <v>9686</v>
      </c>
      <c r="I801" s="5605" t="s">
        <v>1433</v>
      </c>
      <c r="J801" s="5847" t="s">
        <v>1434</v>
      </c>
      <c r="K801" s="5848" t="s">
        <v>9877</v>
      </c>
      <c r="L801" s="5605" t="s">
        <v>5907</v>
      </c>
      <c r="M801" s="5847" t="s">
        <v>6293</v>
      </c>
      <c r="N801" s="5605" t="s">
        <v>5908</v>
      </c>
      <c r="O801" s="5846" t="s">
        <v>6293</v>
      </c>
      <c r="P801" s="5608" t="s">
        <v>10791</v>
      </c>
      <c r="Q801" s="5847" t="s">
        <v>9875</v>
      </c>
      <c r="R801" s="5847" t="s">
        <v>5876</v>
      </c>
      <c r="S801" s="5849"/>
      <c r="T801" s="5610">
        <v>7378</v>
      </c>
      <c r="U801" s="5850">
        <v>0</v>
      </c>
      <c r="V801" s="5851">
        <f>T801-U801</f>
        <v>7378</v>
      </c>
      <c r="W801" s="5610">
        <v>9222</v>
      </c>
      <c r="X801" s="5850">
        <v>0</v>
      </c>
      <c r="Y801" s="5851">
        <f>W801-X801</f>
        <v>9222</v>
      </c>
      <c r="Z801" s="5610">
        <v>0</v>
      </c>
      <c r="AA801" s="5850">
        <v>0</v>
      </c>
      <c r="AB801" s="5851">
        <f>Z801-AA801</f>
        <v>0</v>
      </c>
      <c r="AC801" s="5610"/>
      <c r="AD801" s="5850"/>
      <c r="AE801" s="5851"/>
      <c r="AF801" s="5610"/>
      <c r="AG801" s="5850"/>
      <c r="AH801" s="5851"/>
      <c r="AI801" s="5613">
        <f>5567</f>
        <v>5567</v>
      </c>
      <c r="AJ801" s="5850">
        <f>U801+X801+AA801+AD801+AG801</f>
        <v>0</v>
      </c>
      <c r="AK801" s="5852">
        <v>0</v>
      </c>
      <c r="AL801" s="5853">
        <f t="shared" si="231"/>
        <v>5567</v>
      </c>
      <c r="AM801" s="5616" t="s">
        <v>10792</v>
      </c>
      <c r="AN801" s="5854">
        <v>44956</v>
      </c>
      <c r="AO801" s="5844" t="s">
        <v>10795</v>
      </c>
      <c r="AP801" s="5855" t="s">
        <v>10102</v>
      </c>
      <c r="AQ801" s="5856">
        <v>1.1100000000000001</v>
      </c>
      <c r="AR801" s="5619">
        <v>0</v>
      </c>
      <c r="AS801" s="5857">
        <v>0</v>
      </c>
      <c r="AT801" s="5857">
        <v>0</v>
      </c>
      <c r="AU801" s="5857">
        <v>0</v>
      </c>
      <c r="AV801" s="5857">
        <v>0</v>
      </c>
      <c r="AW801" s="5858">
        <f t="shared" si="232"/>
        <v>5640</v>
      </c>
      <c r="AX801" s="5623"/>
      <c r="AY801" s="4031" t="s">
        <v>10742</v>
      </c>
      <c r="AZ801" s="3857">
        <f>SUM(AW793:AW801)</f>
        <v>61330.89</v>
      </c>
      <c r="BA801" s="1663">
        <f>AZ801</f>
        <v>61330.89</v>
      </c>
      <c r="BB801" s="267"/>
      <c r="BC801" s="4117">
        <f t="shared" si="223"/>
        <v>0</v>
      </c>
      <c r="BD801" s="4117">
        <f t="shared" si="224"/>
        <v>0</v>
      </c>
      <c r="BE801" s="5071"/>
      <c r="BF801" s="267"/>
      <c r="BG801" s="267"/>
      <c r="BH801" s="267"/>
    </row>
    <row r="802" spans="1:60" ht="76.5">
      <c r="A802" s="5981" t="s">
        <v>11003</v>
      </c>
      <c r="B802" s="1538" t="s">
        <v>10802</v>
      </c>
      <c r="C802" s="1509">
        <v>0</v>
      </c>
      <c r="D802" s="1510">
        <v>44886</v>
      </c>
      <c r="E802" s="4344" t="s">
        <v>10324</v>
      </c>
      <c r="F802" s="2497" t="s">
        <v>10101</v>
      </c>
      <c r="G802" s="5387">
        <v>1.1100000000000001</v>
      </c>
      <c r="H802" s="1513" t="s">
        <v>10595</v>
      </c>
      <c r="I802" s="1514" t="s">
        <v>1433</v>
      </c>
      <c r="J802" s="1515" t="s">
        <v>1434</v>
      </c>
      <c r="K802" s="1516">
        <v>47074</v>
      </c>
      <c r="L802" s="1514" t="s">
        <v>10596</v>
      </c>
      <c r="M802" s="1515" t="s">
        <v>9660</v>
      </c>
      <c r="N802" s="1514" t="s">
        <v>10597</v>
      </c>
      <c r="O802" s="1513" t="s">
        <v>10598</v>
      </c>
      <c r="P802" s="1517" t="s">
        <v>10731</v>
      </c>
      <c r="Q802" s="1515" t="s">
        <v>10599</v>
      </c>
      <c r="R802" s="1515" t="s">
        <v>8105</v>
      </c>
      <c r="S802" s="1518"/>
      <c r="T802" s="1519"/>
      <c r="U802" s="1504"/>
      <c r="V802" s="1520"/>
      <c r="W802" s="1519"/>
      <c r="X802" s="1504"/>
      <c r="Y802" s="1520"/>
      <c r="Z802" s="1519"/>
      <c r="AA802" s="1504"/>
      <c r="AB802" s="1520"/>
      <c r="AC802" s="1519"/>
      <c r="AD802" s="1504"/>
      <c r="AE802" s="1520"/>
      <c r="AF802" s="1519"/>
      <c r="AG802" s="1504"/>
      <c r="AH802" s="1520"/>
      <c r="AI802" s="1503">
        <v>3075</v>
      </c>
      <c r="AJ802" s="1504">
        <v>0</v>
      </c>
      <c r="AK802" s="3919">
        <v>0</v>
      </c>
      <c r="AL802" s="1505">
        <f t="shared" si="231"/>
        <v>3075</v>
      </c>
      <c r="AM802" s="1508" t="s">
        <v>1061</v>
      </c>
      <c r="AN802" s="3401">
        <v>44959</v>
      </c>
      <c r="AO802" s="3402" t="s">
        <v>10804</v>
      </c>
      <c r="AP802" s="2905" t="s">
        <v>10102</v>
      </c>
      <c r="AQ802" s="2906">
        <v>1.1100000000000001</v>
      </c>
      <c r="AR802" s="1506"/>
      <c r="AS802" s="1507"/>
      <c r="AT802" s="1507"/>
      <c r="AU802" s="1507"/>
      <c r="AV802" s="1507"/>
      <c r="AW802" s="3247">
        <f t="shared" si="232"/>
        <v>3075</v>
      </c>
      <c r="AX802" s="3146"/>
      <c r="BA802" s="267"/>
      <c r="BB802" s="267"/>
      <c r="BC802" s="4117">
        <f t="shared" si="223"/>
        <v>0</v>
      </c>
      <c r="BD802" s="4117">
        <f t="shared" si="224"/>
        <v>0</v>
      </c>
      <c r="BE802" s="5071"/>
      <c r="BF802" s="267"/>
      <c r="BG802" s="267"/>
      <c r="BH802" s="267"/>
    </row>
    <row r="803" spans="1:60" ht="89.25">
      <c r="A803" s="5981" t="s">
        <v>11003</v>
      </c>
      <c r="B803" s="1538" t="s">
        <v>10030</v>
      </c>
      <c r="C803" s="1509">
        <v>0</v>
      </c>
      <c r="D803" s="1510">
        <v>44783</v>
      </c>
      <c r="E803" s="4344" t="s">
        <v>9156</v>
      </c>
      <c r="F803" s="2497" t="s">
        <v>10101</v>
      </c>
      <c r="G803" s="5387">
        <v>1.1100000000000001</v>
      </c>
      <c r="H803" s="1513" t="s">
        <v>10213</v>
      </c>
      <c r="I803" s="1514" t="s">
        <v>10291</v>
      </c>
      <c r="J803" s="4345" t="s">
        <v>4306</v>
      </c>
      <c r="K803" s="1516">
        <v>45514</v>
      </c>
      <c r="L803" s="1514" t="s">
        <v>8710</v>
      </c>
      <c r="M803" s="5859" t="s">
        <v>10222</v>
      </c>
      <c r="N803" s="1514" t="s">
        <v>10221</v>
      </c>
      <c r="O803" s="1515" t="s">
        <v>10220</v>
      </c>
      <c r="P803" s="1517"/>
      <c r="Q803" s="1515" t="s">
        <v>9071</v>
      </c>
      <c r="R803" s="1515" t="s">
        <v>536</v>
      </c>
      <c r="S803" s="1518"/>
      <c r="T803" s="1519"/>
      <c r="U803" s="1504"/>
      <c r="V803" s="1520"/>
      <c r="W803" s="1519"/>
      <c r="X803" s="1504"/>
      <c r="Y803" s="1520"/>
      <c r="Z803" s="1519"/>
      <c r="AA803" s="1504"/>
      <c r="AB803" s="1520"/>
      <c r="AC803" s="1519"/>
      <c r="AD803" s="1504"/>
      <c r="AE803" s="1520"/>
      <c r="AF803" s="1519"/>
      <c r="AG803" s="1504"/>
      <c r="AH803" s="1520"/>
      <c r="AI803" s="1503">
        <v>6620</v>
      </c>
      <c r="AJ803" s="1504">
        <v>0</v>
      </c>
      <c r="AK803" s="3919">
        <v>0</v>
      </c>
      <c r="AL803" s="1505">
        <f t="shared" ref="AL803:AL808" si="233">AI803-AJ803-AK803</f>
        <v>6620</v>
      </c>
      <c r="AM803" s="1508" t="s">
        <v>1061</v>
      </c>
      <c r="AN803" s="3401">
        <v>44964</v>
      </c>
      <c r="AO803" s="3402" t="s">
        <v>10806</v>
      </c>
      <c r="AP803" s="2905" t="s">
        <v>10102</v>
      </c>
      <c r="AQ803" s="2906">
        <v>1.1100000000000001</v>
      </c>
      <c r="AR803" s="1506"/>
      <c r="AS803" s="1507"/>
      <c r="AT803" s="1507"/>
      <c r="AU803" s="1507"/>
      <c r="AV803" s="1507"/>
      <c r="AW803" s="3247">
        <f>ROUND(AL803*AQ803/G803,0)</f>
        <v>6620</v>
      </c>
      <c r="AX803" s="3146"/>
      <c r="BA803" s="267"/>
      <c r="BB803" s="267"/>
      <c r="BC803" s="4117">
        <f t="shared" si="223"/>
        <v>0</v>
      </c>
      <c r="BD803" s="4117">
        <f t="shared" si="224"/>
        <v>0</v>
      </c>
      <c r="BE803" s="5071"/>
      <c r="BF803" s="267"/>
      <c r="BG803" s="267"/>
      <c r="BH803" s="267"/>
    </row>
    <row r="804" spans="1:60" ht="141.75" customHeight="1">
      <c r="A804" s="5981" t="s">
        <v>11003</v>
      </c>
      <c r="B804" s="1538" t="s">
        <v>10740</v>
      </c>
      <c r="C804" s="1509">
        <v>0</v>
      </c>
      <c r="D804" s="1510">
        <v>44637</v>
      </c>
      <c r="E804" s="4344" t="s">
        <v>9156</v>
      </c>
      <c r="F804" s="2497" t="s">
        <v>9005</v>
      </c>
      <c r="G804" s="5387">
        <v>1.0956269999999999</v>
      </c>
      <c r="H804" s="1513" t="s">
        <v>10743</v>
      </c>
      <c r="I804" s="1514" t="s">
        <v>9731</v>
      </c>
      <c r="J804" s="4345" t="s">
        <v>4306</v>
      </c>
      <c r="K804" s="1516">
        <v>45360</v>
      </c>
      <c r="L804" s="1514" t="s">
        <v>9732</v>
      </c>
      <c r="M804" s="1515" t="s">
        <v>9733</v>
      </c>
      <c r="N804" s="1514" t="s">
        <v>9735</v>
      </c>
      <c r="O804" s="1513" t="s">
        <v>9734</v>
      </c>
      <c r="P804" s="1517" t="s">
        <v>10853</v>
      </c>
      <c r="Q804" s="1515" t="s">
        <v>9737</v>
      </c>
      <c r="R804" s="1515" t="s">
        <v>129</v>
      </c>
      <c r="S804" s="1518"/>
      <c r="T804" s="1519"/>
      <c r="U804" s="1504"/>
      <c r="V804" s="1520"/>
      <c r="W804" s="1519"/>
      <c r="X804" s="1504"/>
      <c r="Y804" s="1520"/>
      <c r="Z804" s="1519"/>
      <c r="AA804" s="1504"/>
      <c r="AB804" s="1520"/>
      <c r="AC804" s="1519"/>
      <c r="AD804" s="1504"/>
      <c r="AE804" s="1520"/>
      <c r="AF804" s="1519"/>
      <c r="AG804" s="1504"/>
      <c r="AH804" s="1520"/>
      <c r="AI804" s="1503">
        <v>0</v>
      </c>
      <c r="AJ804" s="1504">
        <v>0</v>
      </c>
      <c r="AK804" s="3919">
        <v>0</v>
      </c>
      <c r="AL804" s="1505">
        <f t="shared" si="233"/>
        <v>0</v>
      </c>
      <c r="AM804" s="1508" t="s">
        <v>1061</v>
      </c>
      <c r="AN804" s="3401">
        <v>44964</v>
      </c>
      <c r="AO804" s="3402" t="s">
        <v>10805</v>
      </c>
      <c r="AP804" s="3539" t="s">
        <v>9004</v>
      </c>
      <c r="AQ804" s="4189">
        <v>1.0956269999999999</v>
      </c>
      <c r="AR804" s="1506"/>
      <c r="AS804" s="1507"/>
      <c r="AT804" s="1507"/>
      <c r="AU804" s="1507"/>
      <c r="AV804" s="1507"/>
      <c r="AW804" s="3247">
        <v>1728.89</v>
      </c>
      <c r="AX804" s="3146"/>
      <c r="BA804" s="267"/>
      <c r="BB804" s="267"/>
      <c r="BC804" s="4117">
        <f t="shared" si="223"/>
        <v>0</v>
      </c>
      <c r="BD804" s="4117">
        <f t="shared" si="224"/>
        <v>0</v>
      </c>
      <c r="BE804" s="5071"/>
      <c r="BF804" s="267"/>
      <c r="BG804" s="267"/>
      <c r="BH804" s="267"/>
    </row>
    <row r="805" spans="1:60" ht="63.75">
      <c r="A805" s="5981" t="s">
        <v>11003</v>
      </c>
      <c r="B805" s="1538" t="s">
        <v>10777</v>
      </c>
      <c r="C805" s="1509">
        <v>0</v>
      </c>
      <c r="D805" s="1510">
        <v>44293</v>
      </c>
      <c r="E805" s="4344" t="s">
        <v>8170</v>
      </c>
      <c r="F805" s="1511" t="s">
        <v>7957</v>
      </c>
      <c r="G805" s="2663">
        <v>1.0795220000000001</v>
      </c>
      <c r="H805" s="1513" t="s">
        <v>8676</v>
      </c>
      <c r="I805" s="1514" t="s">
        <v>1433</v>
      </c>
      <c r="J805" s="1515" t="s">
        <v>1434</v>
      </c>
      <c r="K805" s="1516">
        <v>46483</v>
      </c>
      <c r="L805" s="1514" t="s">
        <v>8677</v>
      </c>
      <c r="M805" s="1515" t="s">
        <v>8678</v>
      </c>
      <c r="N805" s="1514" t="s">
        <v>8680</v>
      </c>
      <c r="O805" s="1513" t="s">
        <v>8679</v>
      </c>
      <c r="P805" s="1517"/>
      <c r="Q805" s="1515" t="s">
        <v>8681</v>
      </c>
      <c r="R805" s="1515" t="s">
        <v>5350</v>
      </c>
      <c r="S805" s="1518"/>
      <c r="T805" s="1519"/>
      <c r="U805" s="1504"/>
      <c r="V805" s="1520"/>
      <c r="W805" s="1519"/>
      <c r="X805" s="1504"/>
      <c r="Y805" s="1520"/>
      <c r="Z805" s="1519"/>
      <c r="AA805" s="1504"/>
      <c r="AB805" s="1520"/>
      <c r="AC805" s="1519"/>
      <c r="AD805" s="1504"/>
      <c r="AE805" s="1520"/>
      <c r="AF805" s="1519"/>
      <c r="AG805" s="1504"/>
      <c r="AH805" s="1520"/>
      <c r="AI805" s="1503">
        <v>26954</v>
      </c>
      <c r="AJ805" s="1504">
        <v>0</v>
      </c>
      <c r="AK805" s="3919">
        <v>0</v>
      </c>
      <c r="AL805" s="1505">
        <f t="shared" si="233"/>
        <v>26954</v>
      </c>
      <c r="AM805" s="1508" t="s">
        <v>1061</v>
      </c>
      <c r="AN805" s="3401">
        <v>44966</v>
      </c>
      <c r="AO805" s="3402" t="s">
        <v>10812</v>
      </c>
      <c r="AP805" s="2905" t="s">
        <v>10102</v>
      </c>
      <c r="AQ805" s="2906">
        <v>1.1100000000000001</v>
      </c>
      <c r="AR805" s="1506"/>
      <c r="AS805" s="1507"/>
      <c r="AT805" s="1507"/>
      <c r="AU805" s="1507"/>
      <c r="AV805" s="1507"/>
      <c r="AW805" s="3247">
        <f t="shared" ref="AW805:AW810" si="234">ROUND(AL805*AQ805/G805,0)</f>
        <v>27715</v>
      </c>
      <c r="AX805" s="3146"/>
      <c r="BA805" s="267"/>
      <c r="BB805" s="267"/>
      <c r="BC805" s="4117">
        <f t="shared" si="223"/>
        <v>0</v>
      </c>
      <c r="BD805" s="4117">
        <f t="shared" si="224"/>
        <v>0</v>
      </c>
      <c r="BE805" s="5071"/>
      <c r="BF805" s="267"/>
      <c r="BG805" s="267"/>
      <c r="BH805" s="267"/>
    </row>
    <row r="806" spans="1:60" ht="76.5">
      <c r="A806" s="5981" t="s">
        <v>11003</v>
      </c>
      <c r="B806" s="1538" t="s">
        <v>9774</v>
      </c>
      <c r="C806" s="1509">
        <v>0</v>
      </c>
      <c r="D806" s="1510">
        <v>44734</v>
      </c>
      <c r="E806" s="4344" t="s">
        <v>9156</v>
      </c>
      <c r="F806" s="2497" t="s">
        <v>9005</v>
      </c>
      <c r="G806" s="5387">
        <v>1.0956269999999999</v>
      </c>
      <c r="H806" s="1513" t="s">
        <v>10054</v>
      </c>
      <c r="I806" s="1514" t="s">
        <v>1433</v>
      </c>
      <c r="J806" s="1515" t="s">
        <v>1434</v>
      </c>
      <c r="K806" s="1516">
        <v>46920</v>
      </c>
      <c r="L806" s="1514" t="s">
        <v>10055</v>
      </c>
      <c r="M806" s="1515" t="s">
        <v>8102</v>
      </c>
      <c r="N806" s="1514" t="s">
        <v>10056</v>
      </c>
      <c r="O806" s="1513" t="s">
        <v>10061</v>
      </c>
      <c r="P806" s="1517"/>
      <c r="Q806" s="1515" t="s">
        <v>10057</v>
      </c>
      <c r="R806" s="1515" t="s">
        <v>10058</v>
      </c>
      <c r="S806" s="1518"/>
      <c r="T806" s="1519"/>
      <c r="U806" s="1504"/>
      <c r="V806" s="1520"/>
      <c r="W806" s="1519"/>
      <c r="X806" s="1504"/>
      <c r="Y806" s="1520"/>
      <c r="Z806" s="1519"/>
      <c r="AA806" s="1504"/>
      <c r="AB806" s="1520"/>
      <c r="AC806" s="1519"/>
      <c r="AD806" s="1504"/>
      <c r="AE806" s="1520"/>
      <c r="AF806" s="1519"/>
      <c r="AG806" s="1504"/>
      <c r="AH806" s="1520"/>
      <c r="AI806" s="1503">
        <v>16611</v>
      </c>
      <c r="AJ806" s="1504">
        <v>0</v>
      </c>
      <c r="AK806" s="3919">
        <v>0</v>
      </c>
      <c r="AL806" s="1505">
        <f t="shared" si="233"/>
        <v>16611</v>
      </c>
      <c r="AM806" s="1508" t="s">
        <v>1061</v>
      </c>
      <c r="AN806" s="3401">
        <v>44971</v>
      </c>
      <c r="AO806" s="3402" t="s">
        <v>10831</v>
      </c>
      <c r="AP806" s="2905" t="s">
        <v>10102</v>
      </c>
      <c r="AQ806" s="2906">
        <v>1.1100000000000001</v>
      </c>
      <c r="AR806" s="1506"/>
      <c r="AS806" s="1507"/>
      <c r="AT806" s="1507"/>
      <c r="AU806" s="1507"/>
      <c r="AV806" s="1507"/>
      <c r="AW806" s="3247">
        <f t="shared" si="234"/>
        <v>16829</v>
      </c>
      <c r="AX806" s="3146"/>
      <c r="BA806" s="267"/>
      <c r="BB806" s="267"/>
      <c r="BC806" s="4117">
        <f t="shared" si="223"/>
        <v>0</v>
      </c>
      <c r="BD806" s="4117">
        <f t="shared" si="224"/>
        <v>0</v>
      </c>
      <c r="BE806" s="267"/>
      <c r="BF806" s="4788"/>
      <c r="BG806" s="267"/>
      <c r="BH806" s="267"/>
    </row>
    <row r="807" spans="1:60" ht="89.25">
      <c r="A807" s="5981" t="s">
        <v>11003</v>
      </c>
      <c r="B807" s="1538" t="s">
        <v>9772</v>
      </c>
      <c r="C807" s="1509">
        <v>0</v>
      </c>
      <c r="D807" s="1510">
        <v>44728</v>
      </c>
      <c r="E807" s="4344" t="s">
        <v>9156</v>
      </c>
      <c r="F807" s="2497" t="s">
        <v>9005</v>
      </c>
      <c r="G807" s="5387">
        <v>1.0956269999999999</v>
      </c>
      <c r="H807" s="1513" t="s">
        <v>10021</v>
      </c>
      <c r="I807" s="1514" t="s">
        <v>10016</v>
      </c>
      <c r="J807" s="4345" t="s">
        <v>4306</v>
      </c>
      <c r="K807" s="1516">
        <v>45457</v>
      </c>
      <c r="L807" s="1514" t="s">
        <v>10017</v>
      </c>
      <c r="M807" s="1515" t="s">
        <v>10018</v>
      </c>
      <c r="N807" s="1514" t="s">
        <v>10019</v>
      </c>
      <c r="O807" s="1513" t="s">
        <v>10020</v>
      </c>
      <c r="P807" s="1517"/>
      <c r="Q807" s="6094" t="s">
        <v>9047</v>
      </c>
      <c r="R807" s="1515" t="s">
        <v>945</v>
      </c>
      <c r="S807" s="1518"/>
      <c r="T807" s="1519"/>
      <c r="U807" s="1504"/>
      <c r="V807" s="1520"/>
      <c r="W807" s="1519"/>
      <c r="X807" s="1504"/>
      <c r="Y807" s="1520"/>
      <c r="Z807" s="1519"/>
      <c r="AA807" s="1504"/>
      <c r="AB807" s="1520"/>
      <c r="AC807" s="1519"/>
      <c r="AD807" s="1504"/>
      <c r="AE807" s="1520"/>
      <c r="AF807" s="1519"/>
      <c r="AG807" s="1504"/>
      <c r="AH807" s="1520"/>
      <c r="AI807" s="1503">
        <v>6534</v>
      </c>
      <c r="AJ807" s="1504">
        <v>0</v>
      </c>
      <c r="AK807" s="3919">
        <v>0</v>
      </c>
      <c r="AL807" s="1505">
        <f t="shared" si="233"/>
        <v>6534</v>
      </c>
      <c r="AM807" s="1508" t="s">
        <v>1061</v>
      </c>
      <c r="AN807" s="3401">
        <v>44971</v>
      </c>
      <c r="AO807" s="3402" t="s">
        <v>10832</v>
      </c>
      <c r="AP807" s="2905" t="s">
        <v>10102</v>
      </c>
      <c r="AQ807" s="2906">
        <v>1.1100000000000001</v>
      </c>
      <c r="AR807" s="1506"/>
      <c r="AS807" s="1507"/>
      <c r="AT807" s="1507"/>
      <c r="AU807" s="1507"/>
      <c r="AV807" s="1507"/>
      <c r="AW807" s="3247">
        <f t="shared" si="234"/>
        <v>6620</v>
      </c>
      <c r="AX807" s="3146"/>
      <c r="BA807" s="267"/>
      <c r="BB807" s="267"/>
      <c r="BC807" s="4117">
        <f t="shared" si="223"/>
        <v>0</v>
      </c>
      <c r="BD807" s="4117">
        <f t="shared" si="224"/>
        <v>0</v>
      </c>
      <c r="BE807" s="267"/>
      <c r="BF807" s="4788"/>
      <c r="BG807" s="267"/>
      <c r="BH807" s="267"/>
    </row>
    <row r="808" spans="1:60" ht="89.25">
      <c r="A808" s="6086" t="s">
        <v>11003</v>
      </c>
      <c r="B808" s="5873" t="s">
        <v>10541</v>
      </c>
      <c r="C808" s="5874">
        <v>0</v>
      </c>
      <c r="D808" s="5875">
        <v>44965</v>
      </c>
      <c r="E808" s="5876" t="s">
        <v>10324</v>
      </c>
      <c r="F808" s="5877" t="s">
        <v>10101</v>
      </c>
      <c r="G808" s="5878">
        <v>1.1100000000000001</v>
      </c>
      <c r="H808" s="5879" t="s">
        <v>10807</v>
      </c>
      <c r="I808" s="5880" t="s">
        <v>10808</v>
      </c>
      <c r="J808" s="5881" t="s">
        <v>4306</v>
      </c>
      <c r="K808" s="5882">
        <v>45696</v>
      </c>
      <c r="L808" s="5880" t="s">
        <v>10809</v>
      </c>
      <c r="M808" s="5881" t="s">
        <v>10810</v>
      </c>
      <c r="N808" s="5880" t="s">
        <v>10811</v>
      </c>
      <c r="O808" s="5881" t="s">
        <v>10810</v>
      </c>
      <c r="P808" s="5883"/>
      <c r="Q808" s="6118" t="s">
        <v>9071</v>
      </c>
      <c r="R808" s="5881" t="s">
        <v>536</v>
      </c>
      <c r="S808" s="5884"/>
      <c r="T808" s="5885"/>
      <c r="U808" s="5886"/>
      <c r="V808" s="5887"/>
      <c r="W808" s="5885"/>
      <c r="X808" s="5886"/>
      <c r="Y808" s="5887"/>
      <c r="Z808" s="5885"/>
      <c r="AA808" s="5886"/>
      <c r="AB808" s="5887"/>
      <c r="AC808" s="5885"/>
      <c r="AD808" s="5886"/>
      <c r="AE808" s="5887"/>
      <c r="AF808" s="5885"/>
      <c r="AG808" s="5886"/>
      <c r="AH808" s="5887"/>
      <c r="AI808" s="5888">
        <v>6619</v>
      </c>
      <c r="AJ808" s="5886">
        <v>0</v>
      </c>
      <c r="AK808" s="5889">
        <v>0</v>
      </c>
      <c r="AL808" s="5890">
        <f t="shared" si="233"/>
        <v>6619</v>
      </c>
      <c r="AM808" s="5891" t="s">
        <v>1061</v>
      </c>
      <c r="AN808" s="5892">
        <v>44972</v>
      </c>
      <c r="AO808" s="5893" t="s">
        <v>10834</v>
      </c>
      <c r="AP808" s="2905" t="s">
        <v>10102</v>
      </c>
      <c r="AQ808" s="2906">
        <v>1.1100000000000001</v>
      </c>
      <c r="AR808" s="1506"/>
      <c r="AS808" s="1507"/>
      <c r="AT808" s="1507"/>
      <c r="AU808" s="1507"/>
      <c r="AV808" s="1507"/>
      <c r="AW808" s="3247">
        <f t="shared" si="234"/>
        <v>6619</v>
      </c>
      <c r="AX808" s="3146"/>
      <c r="BA808" s="267"/>
      <c r="BB808" s="267"/>
      <c r="BC808" s="4117">
        <f t="shared" si="223"/>
        <v>0</v>
      </c>
      <c r="BD808" s="4117">
        <f t="shared" si="224"/>
        <v>0</v>
      </c>
      <c r="BE808" s="267"/>
      <c r="BF808" s="4788"/>
      <c r="BG808" s="267"/>
      <c r="BH808" s="267"/>
    </row>
    <row r="809" spans="1:60" ht="76.5">
      <c r="A809" s="5981" t="s">
        <v>11003</v>
      </c>
      <c r="B809" s="1538" t="s">
        <v>10261</v>
      </c>
      <c r="C809" s="1509">
        <v>0</v>
      </c>
      <c r="D809" s="1510">
        <v>44915</v>
      </c>
      <c r="E809" s="4344" t="s">
        <v>10324</v>
      </c>
      <c r="F809" s="2497" t="s">
        <v>10101</v>
      </c>
      <c r="G809" s="5387">
        <v>1.1100000000000001</v>
      </c>
      <c r="H809" s="1513" t="s">
        <v>10691</v>
      </c>
      <c r="I809" s="1514" t="s">
        <v>1433</v>
      </c>
      <c r="J809" s="1515" t="s">
        <v>1434</v>
      </c>
      <c r="K809" s="1516">
        <v>47099</v>
      </c>
      <c r="L809" s="1514" t="s">
        <v>10692</v>
      </c>
      <c r="M809" s="1515" t="s">
        <v>4394</v>
      </c>
      <c r="N809" s="1514" t="s">
        <v>10694</v>
      </c>
      <c r="O809" s="1513" t="s">
        <v>10693</v>
      </c>
      <c r="P809" s="1517"/>
      <c r="Q809" s="1515" t="s">
        <v>10695</v>
      </c>
      <c r="R809" s="1515" t="s">
        <v>10696</v>
      </c>
      <c r="S809" s="1518"/>
      <c r="T809" s="1519"/>
      <c r="U809" s="1504"/>
      <c r="V809" s="1520"/>
      <c r="W809" s="1519"/>
      <c r="X809" s="1504"/>
      <c r="Y809" s="1520"/>
      <c r="Z809" s="1519"/>
      <c r="AA809" s="1504"/>
      <c r="AB809" s="1520"/>
      <c r="AC809" s="1519"/>
      <c r="AD809" s="1504"/>
      <c r="AE809" s="1520"/>
      <c r="AF809" s="1519"/>
      <c r="AG809" s="1504"/>
      <c r="AH809" s="1520"/>
      <c r="AI809" s="1503">
        <v>3132</v>
      </c>
      <c r="AJ809" s="1504">
        <v>0</v>
      </c>
      <c r="AK809" s="3919">
        <v>0</v>
      </c>
      <c r="AL809" s="1505">
        <f>AI809-AJ809-AK809</f>
        <v>3132</v>
      </c>
      <c r="AM809" s="1508" t="s">
        <v>1061</v>
      </c>
      <c r="AN809" s="3401">
        <v>44974</v>
      </c>
      <c r="AO809" s="3402" t="s">
        <v>10838</v>
      </c>
      <c r="AP809" s="2905" t="s">
        <v>10102</v>
      </c>
      <c r="AQ809" s="2906">
        <v>1.1100000000000001</v>
      </c>
      <c r="AR809" s="1506"/>
      <c r="AS809" s="1507"/>
      <c r="AT809" s="1507"/>
      <c r="AU809" s="1507"/>
      <c r="AV809" s="1507"/>
      <c r="AW809" s="3247">
        <f t="shared" si="234"/>
        <v>3132</v>
      </c>
      <c r="AX809" s="3146"/>
      <c r="BA809" s="267"/>
      <c r="BB809" s="267"/>
      <c r="BC809" s="4117">
        <f t="shared" si="223"/>
        <v>0</v>
      </c>
      <c r="BD809" s="4117">
        <f t="shared" si="224"/>
        <v>0</v>
      </c>
      <c r="BE809" s="267"/>
      <c r="BF809" s="4788"/>
      <c r="BG809" s="267"/>
      <c r="BH809" s="267"/>
    </row>
    <row r="810" spans="1:60" ht="89.25">
      <c r="A810" s="5981" t="s">
        <v>11003</v>
      </c>
      <c r="B810" s="1538" t="s">
        <v>10264</v>
      </c>
      <c r="C810" s="1509">
        <v>0</v>
      </c>
      <c r="D810" s="1510">
        <v>44931</v>
      </c>
      <c r="E810" s="4344" t="s">
        <v>10324</v>
      </c>
      <c r="F810" s="2497" t="s">
        <v>10101</v>
      </c>
      <c r="G810" s="5387">
        <v>1.1100000000000001</v>
      </c>
      <c r="H810" s="1513" t="s">
        <v>10732</v>
      </c>
      <c r="I810" s="1514" t="s">
        <v>10733</v>
      </c>
      <c r="J810" s="4345" t="s">
        <v>4306</v>
      </c>
      <c r="K810" s="1516">
        <v>45935</v>
      </c>
      <c r="L810" s="1514" t="s">
        <v>10734</v>
      </c>
      <c r="M810" s="1515" t="s">
        <v>10735</v>
      </c>
      <c r="N810" s="1514" t="s">
        <v>10736</v>
      </c>
      <c r="O810" s="1513" t="s">
        <v>10737</v>
      </c>
      <c r="P810" s="1517"/>
      <c r="Q810" s="6094" t="s">
        <v>9071</v>
      </c>
      <c r="R810" s="1515" t="s">
        <v>536</v>
      </c>
      <c r="S810" s="1518"/>
      <c r="T810" s="1519"/>
      <c r="U810" s="1504"/>
      <c r="V810" s="1520"/>
      <c r="W810" s="1519"/>
      <c r="X810" s="1504"/>
      <c r="Y810" s="1520"/>
      <c r="Z810" s="1519"/>
      <c r="AA810" s="1504"/>
      <c r="AB810" s="1520"/>
      <c r="AC810" s="1519"/>
      <c r="AD810" s="1504"/>
      <c r="AE810" s="1520"/>
      <c r="AF810" s="1519"/>
      <c r="AG810" s="1504"/>
      <c r="AH810" s="1520"/>
      <c r="AI810" s="1503">
        <v>5639</v>
      </c>
      <c r="AJ810" s="1504">
        <v>0</v>
      </c>
      <c r="AK810" s="3919">
        <v>0</v>
      </c>
      <c r="AL810" s="1505">
        <f>AI810-AJ810-AK810</f>
        <v>5639</v>
      </c>
      <c r="AM810" s="1508" t="s">
        <v>1061</v>
      </c>
      <c r="AN810" s="3401">
        <v>44979</v>
      </c>
      <c r="AO810" s="3402" t="s">
        <v>10862</v>
      </c>
      <c r="AP810" s="2905" t="s">
        <v>10102</v>
      </c>
      <c r="AQ810" s="2906">
        <v>1.1100000000000001</v>
      </c>
      <c r="AR810" s="1506"/>
      <c r="AS810" s="1507"/>
      <c r="AT810" s="1507"/>
      <c r="AU810" s="1507"/>
      <c r="AV810" s="1507"/>
      <c r="AW810" s="3247">
        <f t="shared" si="234"/>
        <v>5639</v>
      </c>
      <c r="AX810" s="3146"/>
      <c r="BB810" s="267"/>
      <c r="BC810" s="4117">
        <f t="shared" si="223"/>
        <v>0</v>
      </c>
      <c r="BD810" s="4117">
        <f t="shared" si="224"/>
        <v>0</v>
      </c>
      <c r="BE810" s="267"/>
      <c r="BF810" s="4788"/>
      <c r="BG810" s="267"/>
      <c r="BH810" s="267"/>
    </row>
    <row r="811" spans="1:60" ht="102.75" thickBot="1">
      <c r="A811" s="6087" t="s">
        <v>11005</v>
      </c>
      <c r="B811" s="5573" t="s">
        <v>10864</v>
      </c>
      <c r="C811" s="5921">
        <v>0</v>
      </c>
      <c r="D811" s="5922">
        <v>43425</v>
      </c>
      <c r="E811" s="5922" t="s">
        <v>6386</v>
      </c>
      <c r="F811" s="5923" t="s">
        <v>9289</v>
      </c>
      <c r="G811" s="5924">
        <v>1.0956269999999999</v>
      </c>
      <c r="H811" s="5925" t="s">
        <v>9153</v>
      </c>
      <c r="I811" s="5580" t="s">
        <v>1433</v>
      </c>
      <c r="J811" s="5926" t="s">
        <v>1434</v>
      </c>
      <c r="K811" s="5927">
        <v>45617</v>
      </c>
      <c r="L811" s="5580" t="s">
        <v>6034</v>
      </c>
      <c r="M811" s="5926" t="s">
        <v>4394</v>
      </c>
      <c r="N811" s="5580" t="s">
        <v>6035</v>
      </c>
      <c r="O811" s="5925" t="s">
        <v>6259</v>
      </c>
      <c r="P811" s="5737" t="s">
        <v>10865</v>
      </c>
      <c r="Q811" s="5926" t="s">
        <v>9154</v>
      </c>
      <c r="R811" s="5926" t="s">
        <v>9155</v>
      </c>
      <c r="S811" s="5928"/>
      <c r="T811" s="5585">
        <v>59816</v>
      </c>
      <c r="U811" s="5929">
        <v>0</v>
      </c>
      <c r="V811" s="5930">
        <f t="shared" ref="V811" si="235">T811-U811</f>
        <v>59816</v>
      </c>
      <c r="W811" s="5585">
        <v>76560</v>
      </c>
      <c r="X811" s="5929">
        <v>0</v>
      </c>
      <c r="Y811" s="5930">
        <f t="shared" ref="Y811" si="236">W811-X811</f>
        <v>76560</v>
      </c>
      <c r="Z811" s="5585">
        <v>7683</v>
      </c>
      <c r="AA811" s="5929">
        <v>0</v>
      </c>
      <c r="AB811" s="5930">
        <f t="shared" ref="AB811" si="237">Z811-AA811</f>
        <v>7683</v>
      </c>
      <c r="AC811" s="5585"/>
      <c r="AD811" s="5929"/>
      <c r="AE811" s="5930"/>
      <c r="AF811" s="5585"/>
      <c r="AG811" s="5929"/>
      <c r="AH811" s="5930"/>
      <c r="AI811" s="5588">
        <v>0</v>
      </c>
      <c r="AJ811" s="5929">
        <f t="shared" ref="AJ811" si="238">U811+X811+AA811+AD811+AG811</f>
        <v>0</v>
      </c>
      <c r="AK811" s="5931">
        <v>0</v>
      </c>
      <c r="AL811" s="5932">
        <f t="shared" ref="AL811" si="239">AI811-AJ811-AK811</f>
        <v>0</v>
      </c>
      <c r="AM811" s="5743" t="s">
        <v>10863</v>
      </c>
      <c r="AN811" s="5933">
        <v>44980</v>
      </c>
      <c r="AO811" s="5934" t="s">
        <v>10867</v>
      </c>
      <c r="AP811" s="5935" t="s">
        <v>9004</v>
      </c>
      <c r="AQ811" s="5936">
        <v>1.0956269999999999</v>
      </c>
      <c r="AR811" s="5596">
        <v>0</v>
      </c>
      <c r="AS811" s="5937">
        <v>0</v>
      </c>
      <c r="AT811" s="5937">
        <v>0</v>
      </c>
      <c r="AU811" s="5937">
        <v>0</v>
      </c>
      <c r="AV811" s="5937">
        <v>0</v>
      </c>
      <c r="AW811" s="5938">
        <v>40000</v>
      </c>
      <c r="AX811" s="5599"/>
      <c r="AY811" s="4029" t="s">
        <v>10803</v>
      </c>
      <c r="AZ811" s="3888">
        <f>SUM(AW802:AW811)</f>
        <v>117977.89</v>
      </c>
      <c r="BA811" s="2119">
        <f>AZ811</f>
        <v>117977.89</v>
      </c>
      <c r="BB811" s="267"/>
      <c r="BC811" s="4117">
        <f t="shared" si="223"/>
        <v>0</v>
      </c>
      <c r="BD811" s="4117">
        <f t="shared" si="224"/>
        <v>0</v>
      </c>
      <c r="BE811" s="267"/>
      <c r="BF811" s="4788"/>
      <c r="BG811" s="267"/>
      <c r="BH811" s="267"/>
    </row>
    <row r="812" spans="1:60" ht="89.25">
      <c r="A812" s="5966" t="s">
        <v>11003</v>
      </c>
      <c r="B812" s="827" t="s">
        <v>10251</v>
      </c>
      <c r="C812" s="828">
        <v>0</v>
      </c>
      <c r="D812" s="829">
        <v>44881</v>
      </c>
      <c r="E812" s="831" t="s">
        <v>10324</v>
      </c>
      <c r="F812" s="830" t="s">
        <v>10101</v>
      </c>
      <c r="G812" s="5356">
        <v>1.1100000000000001</v>
      </c>
      <c r="H812" s="832" t="s">
        <v>10576</v>
      </c>
      <c r="I812" s="833" t="s">
        <v>10577</v>
      </c>
      <c r="J812" s="834" t="s">
        <v>4306</v>
      </c>
      <c r="K812" s="835">
        <v>45612</v>
      </c>
      <c r="L812" s="833" t="s">
        <v>10579</v>
      </c>
      <c r="M812" s="834" t="s">
        <v>10580</v>
      </c>
      <c r="N812" s="833" t="s">
        <v>10581</v>
      </c>
      <c r="O812" s="834" t="s">
        <v>10580</v>
      </c>
      <c r="P812" s="836"/>
      <c r="Q812" s="6096" t="s">
        <v>9071</v>
      </c>
      <c r="R812" s="834" t="s">
        <v>536</v>
      </c>
      <c r="S812" s="837"/>
      <c r="T812" s="838"/>
      <c r="U812" s="839"/>
      <c r="V812" s="840"/>
      <c r="W812" s="838"/>
      <c r="X812" s="839"/>
      <c r="Y812" s="840"/>
      <c r="Z812" s="838"/>
      <c r="AA812" s="839"/>
      <c r="AB812" s="840"/>
      <c r="AC812" s="838"/>
      <c r="AD812" s="839"/>
      <c r="AE812" s="840"/>
      <c r="AF812" s="838"/>
      <c r="AG812" s="839"/>
      <c r="AH812" s="840"/>
      <c r="AI812" s="841">
        <v>5639</v>
      </c>
      <c r="AJ812" s="839">
        <v>0</v>
      </c>
      <c r="AK812" s="3906">
        <v>0</v>
      </c>
      <c r="AL812" s="869">
        <f>AI812-AJ812-AK812</f>
        <v>5639</v>
      </c>
      <c r="AM812" s="3369" t="s">
        <v>1061</v>
      </c>
      <c r="AN812" s="3360">
        <v>45083</v>
      </c>
      <c r="AO812" s="3361" t="s">
        <v>10876</v>
      </c>
      <c r="AP812" s="3362" t="s">
        <v>10102</v>
      </c>
      <c r="AQ812" s="3555">
        <v>1.1100000000000001</v>
      </c>
      <c r="AR812" s="846"/>
      <c r="AS812" s="847"/>
      <c r="AT812" s="847"/>
      <c r="AU812" s="847"/>
      <c r="AV812" s="847"/>
      <c r="AW812" s="2872">
        <f>ROUND(AL812*AQ812/G812,0)</f>
        <v>5639</v>
      </c>
      <c r="AX812" s="2891"/>
      <c r="BA812" s="267"/>
      <c r="BB812" s="267"/>
      <c r="BC812" s="4117">
        <f t="shared" si="223"/>
        <v>0</v>
      </c>
      <c r="BD812" s="4117">
        <f t="shared" si="224"/>
        <v>0</v>
      </c>
      <c r="BE812" s="267"/>
      <c r="BF812" s="4788"/>
      <c r="BG812" s="267"/>
      <c r="BH812" s="267"/>
    </row>
    <row r="813" spans="1:60" ht="50.25" customHeight="1">
      <c r="A813" s="2418" t="s">
        <v>11003</v>
      </c>
      <c r="B813" s="338" t="s">
        <v>10877</v>
      </c>
      <c r="C813" s="321">
        <v>0</v>
      </c>
      <c r="D813" s="323">
        <v>44326</v>
      </c>
      <c r="E813" s="3058" t="s">
        <v>8170</v>
      </c>
      <c r="F813" s="324" t="s">
        <v>7957</v>
      </c>
      <c r="G813" s="2621">
        <v>1.0795220000000001</v>
      </c>
      <c r="H813" s="332" t="s">
        <v>8779</v>
      </c>
      <c r="I813" s="339" t="s">
        <v>5753</v>
      </c>
      <c r="J813" s="322" t="s">
        <v>2712</v>
      </c>
      <c r="K813" s="340">
        <v>45777</v>
      </c>
      <c r="L813" s="339" t="s">
        <v>8773</v>
      </c>
      <c r="M813" s="322" t="s">
        <v>2323</v>
      </c>
      <c r="N813" s="339" t="s">
        <v>8775</v>
      </c>
      <c r="O813" s="332" t="s">
        <v>8774</v>
      </c>
      <c r="P813" s="345"/>
      <c r="Q813" s="322" t="s">
        <v>8776</v>
      </c>
      <c r="R813" s="322" t="s">
        <v>8778</v>
      </c>
      <c r="S813" s="346"/>
      <c r="T813" s="347"/>
      <c r="U813" s="326"/>
      <c r="V813" s="348"/>
      <c r="W813" s="347"/>
      <c r="X813" s="326"/>
      <c r="Y813" s="348"/>
      <c r="Z813" s="347"/>
      <c r="AA813" s="326"/>
      <c r="AB813" s="348"/>
      <c r="AC813" s="347"/>
      <c r="AD813" s="326"/>
      <c r="AE813" s="348"/>
      <c r="AF813" s="347"/>
      <c r="AG813" s="326"/>
      <c r="AH813" s="348"/>
      <c r="AI813" s="482">
        <v>272040</v>
      </c>
      <c r="AJ813" s="326">
        <v>0</v>
      </c>
      <c r="AK813" s="3917">
        <v>0</v>
      </c>
      <c r="AL813" s="349">
        <f>AI813-AJ813-AK813</f>
        <v>272040</v>
      </c>
      <c r="AM813" s="2002" t="s">
        <v>1061</v>
      </c>
      <c r="AN813" s="3357">
        <v>44994</v>
      </c>
      <c r="AO813" s="695" t="s">
        <v>10878</v>
      </c>
      <c r="AP813" s="3362" t="s">
        <v>10102</v>
      </c>
      <c r="AQ813" s="3555">
        <v>1.1100000000000001</v>
      </c>
      <c r="AR813" s="333"/>
      <c r="AS813" s="330"/>
      <c r="AT813" s="330"/>
      <c r="AU813" s="330"/>
      <c r="AV813" s="330"/>
      <c r="AW813" s="3156">
        <f>ROUND(AL813*AQ813/G813,0)</f>
        <v>279720</v>
      </c>
      <c r="AX813" s="3140"/>
      <c r="BA813" s="267"/>
      <c r="BB813" s="267"/>
      <c r="BC813" s="4117">
        <f t="shared" si="223"/>
        <v>0</v>
      </c>
      <c r="BD813" s="4117">
        <f t="shared" si="224"/>
        <v>0</v>
      </c>
      <c r="BE813" s="267"/>
      <c r="BF813" s="4788"/>
      <c r="BG813" s="267"/>
      <c r="BH813" s="267"/>
    </row>
    <row r="814" spans="1:60" ht="76.5">
      <c r="A814" s="2418" t="s">
        <v>11003</v>
      </c>
      <c r="B814" s="338" t="s">
        <v>10890</v>
      </c>
      <c r="C814" s="321">
        <v>0</v>
      </c>
      <c r="D814" s="323">
        <v>43833</v>
      </c>
      <c r="E814" s="3058" t="s">
        <v>7151</v>
      </c>
      <c r="F814" s="324" t="s">
        <v>6893</v>
      </c>
      <c r="G814" s="2621">
        <v>1.047839</v>
      </c>
      <c r="H814" s="332" t="s">
        <v>8259</v>
      </c>
      <c r="I814" s="339" t="s">
        <v>7532</v>
      </c>
      <c r="J814" s="2399" t="s">
        <v>4306</v>
      </c>
      <c r="K814" s="340">
        <v>44549</v>
      </c>
      <c r="L814" s="339" t="s">
        <v>7525</v>
      </c>
      <c r="M814" s="322" t="s">
        <v>7526</v>
      </c>
      <c r="N814" s="339" t="s">
        <v>7527</v>
      </c>
      <c r="O814" s="332" t="s">
        <v>7528</v>
      </c>
      <c r="P814" s="345"/>
      <c r="Q814" s="6094" t="s">
        <v>7529</v>
      </c>
      <c r="R814" s="322" t="s">
        <v>2058</v>
      </c>
      <c r="S814" s="346"/>
      <c r="T814" s="347"/>
      <c r="U814" s="326"/>
      <c r="V814" s="348"/>
      <c r="W814" s="347"/>
      <c r="X814" s="326"/>
      <c r="Y814" s="348"/>
      <c r="Z814" s="347"/>
      <c r="AA814" s="326"/>
      <c r="AB814" s="348"/>
      <c r="AC814" s="347"/>
      <c r="AD814" s="326"/>
      <c r="AE814" s="348"/>
      <c r="AF814" s="347"/>
      <c r="AG814" s="326"/>
      <c r="AH814" s="348"/>
      <c r="AI814" s="482">
        <v>1219</v>
      </c>
      <c r="AJ814" s="326">
        <v>0</v>
      </c>
      <c r="AK814" s="3917">
        <v>0</v>
      </c>
      <c r="AL814" s="349">
        <f>AI814-AJ814-AK814</f>
        <v>1219</v>
      </c>
      <c r="AM814" s="2002" t="s">
        <v>1061</v>
      </c>
      <c r="AN814" s="3357">
        <v>44998</v>
      </c>
      <c r="AO814" s="695" t="s">
        <v>10891</v>
      </c>
      <c r="AP814" s="3362" t="s">
        <v>10102</v>
      </c>
      <c r="AQ814" s="3555">
        <v>1.1100000000000001</v>
      </c>
      <c r="AR814" s="333"/>
      <c r="AS814" s="330"/>
      <c r="AT814" s="330"/>
      <c r="AU814" s="330"/>
      <c r="AV814" s="330"/>
      <c r="AW814" s="3156">
        <f>ROUND(AL814*AQ814/G814,0)</f>
        <v>1291</v>
      </c>
      <c r="AX814" s="3140"/>
      <c r="BA814" s="267"/>
      <c r="BB814" s="267"/>
      <c r="BC814" s="4117">
        <f t="shared" si="223"/>
        <v>0</v>
      </c>
      <c r="BD814" s="4117">
        <f t="shared" si="224"/>
        <v>0</v>
      </c>
      <c r="BE814" s="267"/>
      <c r="BF814" s="4788"/>
      <c r="BG814" s="267"/>
      <c r="BH814" s="267"/>
    </row>
    <row r="815" spans="1:60" ht="89.25">
      <c r="A815" s="2418" t="s">
        <v>11003</v>
      </c>
      <c r="B815" s="338" t="s">
        <v>10899</v>
      </c>
      <c r="C815" s="321">
        <v>0</v>
      </c>
      <c r="D815" s="323">
        <v>44174</v>
      </c>
      <c r="E815" s="3058" t="s">
        <v>8170</v>
      </c>
      <c r="F815" s="324" t="s">
        <v>7957</v>
      </c>
      <c r="G815" s="2621">
        <v>1.0795220000000001</v>
      </c>
      <c r="H815" s="332" t="s">
        <v>8392</v>
      </c>
      <c r="I815" s="339" t="s">
        <v>8393</v>
      </c>
      <c r="J815" s="2399" t="s">
        <v>4306</v>
      </c>
      <c r="K815" s="340">
        <v>44904</v>
      </c>
      <c r="L815" s="339" t="s">
        <v>8394</v>
      </c>
      <c r="M815" s="322" t="s">
        <v>8395</v>
      </c>
      <c r="N815" s="339" t="s">
        <v>8396</v>
      </c>
      <c r="O815" s="322" t="s">
        <v>8395</v>
      </c>
      <c r="P815" s="345"/>
      <c r="Q815" s="6094" t="s">
        <v>5708</v>
      </c>
      <c r="R815" s="322" t="s">
        <v>5350</v>
      </c>
      <c r="S815" s="346"/>
      <c r="T815" s="347"/>
      <c r="U815" s="326"/>
      <c r="V815" s="348"/>
      <c r="W815" s="347"/>
      <c r="X815" s="326"/>
      <c r="Y815" s="348"/>
      <c r="Z815" s="347"/>
      <c r="AA815" s="326"/>
      <c r="AB815" s="348"/>
      <c r="AC815" s="347"/>
      <c r="AD815" s="326"/>
      <c r="AE815" s="348"/>
      <c r="AF815" s="347"/>
      <c r="AG815" s="326"/>
      <c r="AH815" s="348"/>
      <c r="AI815" s="482">
        <v>6128</v>
      </c>
      <c r="AJ815" s="326">
        <v>0</v>
      </c>
      <c r="AK815" s="3917">
        <v>0</v>
      </c>
      <c r="AL815" s="349">
        <f>AI815-AJ815-AK815</f>
        <v>6128</v>
      </c>
      <c r="AM815" s="2002" t="s">
        <v>1061</v>
      </c>
      <c r="AN815" s="3357">
        <v>45001</v>
      </c>
      <c r="AO815" s="695" t="s">
        <v>10900</v>
      </c>
      <c r="AP815" s="3362" t="s">
        <v>10102</v>
      </c>
      <c r="AQ815" s="3555">
        <v>1.1100000000000001</v>
      </c>
      <c r="AR815" s="333"/>
      <c r="AS815" s="330"/>
      <c r="AT815" s="330"/>
      <c r="AU815" s="330"/>
      <c r="AV815" s="330"/>
      <c r="AW815" s="3156">
        <f>ROUND(AL815*AQ815/G815,0)</f>
        <v>6301</v>
      </c>
      <c r="AX815" s="3140"/>
      <c r="BA815" s="267"/>
      <c r="BB815" s="267"/>
      <c r="BC815" s="4117">
        <f t="shared" si="223"/>
        <v>0</v>
      </c>
      <c r="BD815" s="4117">
        <f t="shared" si="224"/>
        <v>0</v>
      </c>
      <c r="BE815" s="267"/>
      <c r="BF815" s="4788"/>
      <c r="BG815" s="267"/>
      <c r="BH815" s="267"/>
    </row>
    <row r="816" spans="1:60" ht="153.75">
      <c r="A816" s="2418" t="s">
        <v>11003</v>
      </c>
      <c r="B816" s="2419" t="s">
        <v>10996</v>
      </c>
      <c r="C816" s="321">
        <v>0</v>
      </c>
      <c r="D816" s="323">
        <v>44637</v>
      </c>
      <c r="E816" s="3058" t="s">
        <v>9156</v>
      </c>
      <c r="F816" s="830" t="s">
        <v>9005</v>
      </c>
      <c r="G816" s="5356">
        <v>1.0956269999999999</v>
      </c>
      <c r="H816" s="332" t="s">
        <v>10743</v>
      </c>
      <c r="I816" s="339" t="s">
        <v>9731</v>
      </c>
      <c r="J816" s="2399" t="s">
        <v>4306</v>
      </c>
      <c r="K816" s="340">
        <v>45360</v>
      </c>
      <c r="L816" s="339" t="s">
        <v>9732</v>
      </c>
      <c r="M816" s="322" t="s">
        <v>9733</v>
      </c>
      <c r="N816" s="339" t="s">
        <v>9735</v>
      </c>
      <c r="O816" s="332" t="s">
        <v>9734</v>
      </c>
      <c r="P816" s="345" t="s">
        <v>10902</v>
      </c>
      <c r="Q816" s="322" t="s">
        <v>9737</v>
      </c>
      <c r="R816" s="322" t="s">
        <v>129</v>
      </c>
      <c r="S816" s="346"/>
      <c r="T816" s="347"/>
      <c r="U816" s="326"/>
      <c r="V816" s="348"/>
      <c r="W816" s="347"/>
      <c r="X816" s="326"/>
      <c r="Y816" s="348"/>
      <c r="Z816" s="347"/>
      <c r="AA816" s="326"/>
      <c r="AB816" s="348"/>
      <c r="AC816" s="347"/>
      <c r="AD816" s="326"/>
      <c r="AE816" s="348"/>
      <c r="AF816" s="347"/>
      <c r="AG816" s="326"/>
      <c r="AH816" s="348"/>
      <c r="AI816" s="482">
        <v>0</v>
      </c>
      <c r="AJ816" s="326">
        <v>0</v>
      </c>
      <c r="AK816" s="3917">
        <v>0</v>
      </c>
      <c r="AL816" s="349">
        <f t="shared" ref="AL816" si="240">AI816-AJ816-AK816</f>
        <v>0</v>
      </c>
      <c r="AM816" s="2002" t="s">
        <v>10904</v>
      </c>
      <c r="AN816" s="3357">
        <v>45005</v>
      </c>
      <c r="AO816" s="695" t="s">
        <v>10903</v>
      </c>
      <c r="AP816" s="3696" t="s">
        <v>9004</v>
      </c>
      <c r="AQ816" s="3697">
        <v>1.0956269999999999</v>
      </c>
      <c r="AR816" s="333"/>
      <c r="AS816" s="330"/>
      <c r="AT816" s="330"/>
      <c r="AU816" s="330"/>
      <c r="AV816" s="330"/>
      <c r="AW816" s="3156">
        <v>3458</v>
      </c>
      <c r="AX816" s="3140"/>
      <c r="AY816" s="3635"/>
      <c r="AZ816" s="4030"/>
      <c r="BA816" s="1727"/>
      <c r="BB816" s="267"/>
      <c r="BC816" s="4117">
        <f t="shared" si="223"/>
        <v>0</v>
      </c>
      <c r="BD816" s="4117">
        <f t="shared" si="224"/>
        <v>0</v>
      </c>
      <c r="BE816" s="267"/>
      <c r="BF816" s="4788"/>
      <c r="BG816" s="267"/>
      <c r="BH816" s="267"/>
    </row>
    <row r="817" spans="1:60" ht="89.25">
      <c r="A817" s="2418" t="s">
        <v>11003</v>
      </c>
      <c r="B817" s="338" t="s">
        <v>10906</v>
      </c>
      <c r="C817" s="321">
        <v>0</v>
      </c>
      <c r="D817" s="323">
        <v>44657</v>
      </c>
      <c r="E817" s="3058" t="s">
        <v>9156</v>
      </c>
      <c r="F817" s="830" t="s">
        <v>9005</v>
      </c>
      <c r="G817" s="5356">
        <v>1.0956269999999999</v>
      </c>
      <c r="H817" s="332" t="s">
        <v>9819</v>
      </c>
      <c r="I817" s="339" t="s">
        <v>9560</v>
      </c>
      <c r="J817" s="2399" t="s">
        <v>4306</v>
      </c>
      <c r="K817" s="340">
        <v>45388</v>
      </c>
      <c r="L817" s="339" t="s">
        <v>9820</v>
      </c>
      <c r="M817" s="322" t="s">
        <v>9821</v>
      </c>
      <c r="N817" s="339" t="s">
        <v>9822</v>
      </c>
      <c r="O817" s="332" t="s">
        <v>9823</v>
      </c>
      <c r="P817" s="345"/>
      <c r="Q817" s="6094" t="s">
        <v>9047</v>
      </c>
      <c r="R817" s="322" t="s">
        <v>945</v>
      </c>
      <c r="S817" s="346"/>
      <c r="T817" s="347"/>
      <c r="U817" s="326"/>
      <c r="V817" s="348"/>
      <c r="W817" s="347"/>
      <c r="X817" s="326"/>
      <c r="Y817" s="348"/>
      <c r="Z817" s="347"/>
      <c r="AA817" s="326"/>
      <c r="AB817" s="348"/>
      <c r="AC817" s="347"/>
      <c r="AD817" s="326"/>
      <c r="AE817" s="348"/>
      <c r="AF817" s="347"/>
      <c r="AG817" s="326"/>
      <c r="AH817" s="348"/>
      <c r="AI817" s="482">
        <v>5567</v>
      </c>
      <c r="AJ817" s="326">
        <v>0</v>
      </c>
      <c r="AK817" s="3917">
        <v>0</v>
      </c>
      <c r="AL817" s="349">
        <f t="shared" ref="AL817:AL822" si="241">AI817-AJ817-AK817</f>
        <v>5567</v>
      </c>
      <c r="AM817" s="2002" t="s">
        <v>1061</v>
      </c>
      <c r="AN817" s="3357">
        <v>45005</v>
      </c>
      <c r="AO817" s="695" t="s">
        <v>10905</v>
      </c>
      <c r="AP817" s="3362" t="s">
        <v>10102</v>
      </c>
      <c r="AQ817" s="3555">
        <v>1.1100000000000001</v>
      </c>
      <c r="AR817" s="333"/>
      <c r="AS817" s="330"/>
      <c r="AT817" s="330"/>
      <c r="AU817" s="330"/>
      <c r="AV817" s="330"/>
      <c r="AW817" s="3156">
        <f t="shared" ref="AW817:AW822" si="242">ROUND(AL817*AQ817/G817,0)</f>
        <v>5640</v>
      </c>
      <c r="AX817" s="3140"/>
      <c r="BA817" s="267"/>
      <c r="BB817" s="267"/>
      <c r="BC817" s="4117">
        <f t="shared" si="223"/>
        <v>0</v>
      </c>
      <c r="BD817" s="4117">
        <f t="shared" si="224"/>
        <v>0</v>
      </c>
      <c r="BE817" s="267"/>
      <c r="BF817" s="4788"/>
      <c r="BG817" s="267"/>
      <c r="BH817" s="267"/>
    </row>
    <row r="818" spans="1:60" ht="102">
      <c r="A818" s="2418" t="s">
        <v>11003</v>
      </c>
      <c r="B818" s="338" t="s">
        <v>10907</v>
      </c>
      <c r="C818" s="321">
        <v>0</v>
      </c>
      <c r="D818" s="323">
        <v>44641</v>
      </c>
      <c r="E818" s="3058" t="s">
        <v>9156</v>
      </c>
      <c r="F818" s="830" t="s">
        <v>9005</v>
      </c>
      <c r="G818" s="5356">
        <v>1.0956269999999999</v>
      </c>
      <c r="H818" s="332" t="s">
        <v>9748</v>
      </c>
      <c r="I818" s="339" t="s">
        <v>9749</v>
      </c>
      <c r="J818" s="2399" t="s">
        <v>4306</v>
      </c>
      <c r="K818" s="340">
        <v>45372</v>
      </c>
      <c r="L818" s="339" t="s">
        <v>9075</v>
      </c>
      <c r="M818" s="322" t="s">
        <v>9750</v>
      </c>
      <c r="N818" s="339" t="s">
        <v>9751</v>
      </c>
      <c r="O818" s="332" t="s">
        <v>9752</v>
      </c>
      <c r="P818" s="345"/>
      <c r="Q818" s="6094" t="s">
        <v>9047</v>
      </c>
      <c r="R818" s="322" t="s">
        <v>945</v>
      </c>
      <c r="S818" s="346"/>
      <c r="T818" s="347"/>
      <c r="U818" s="326"/>
      <c r="V818" s="348"/>
      <c r="W818" s="347"/>
      <c r="X818" s="326"/>
      <c r="Y818" s="348"/>
      <c r="Z818" s="347"/>
      <c r="AA818" s="326"/>
      <c r="AB818" s="348"/>
      <c r="AC818" s="347"/>
      <c r="AD818" s="326"/>
      <c r="AE818" s="348"/>
      <c r="AF818" s="347"/>
      <c r="AG818" s="326"/>
      <c r="AH818" s="348"/>
      <c r="AI818" s="482">
        <v>5567</v>
      </c>
      <c r="AJ818" s="326">
        <v>0</v>
      </c>
      <c r="AK818" s="3917">
        <v>0</v>
      </c>
      <c r="AL818" s="349">
        <f t="shared" si="241"/>
        <v>5567</v>
      </c>
      <c r="AM818" s="2002" t="s">
        <v>1061</v>
      </c>
      <c r="AN818" s="3357">
        <v>45005</v>
      </c>
      <c r="AO818" s="695" t="s">
        <v>10908</v>
      </c>
      <c r="AP818" s="3362" t="s">
        <v>10102</v>
      </c>
      <c r="AQ818" s="3555">
        <v>1.1100000000000001</v>
      </c>
      <c r="AR818" s="333"/>
      <c r="AS818" s="330"/>
      <c r="AT818" s="330"/>
      <c r="AU818" s="330"/>
      <c r="AV818" s="330"/>
      <c r="AW818" s="3156">
        <f t="shared" si="242"/>
        <v>5640</v>
      </c>
      <c r="AX818" s="3140"/>
      <c r="BA818" s="267"/>
      <c r="BB818" s="267"/>
      <c r="BC818" s="4117">
        <f t="shared" si="223"/>
        <v>0</v>
      </c>
      <c r="BD818" s="4117">
        <f t="shared" si="224"/>
        <v>0</v>
      </c>
      <c r="BE818" s="267"/>
      <c r="BF818" s="4788"/>
      <c r="BG818" s="267"/>
      <c r="BH818" s="267"/>
    </row>
    <row r="819" spans="1:60" ht="76.5">
      <c r="A819" s="2418" t="s">
        <v>11004</v>
      </c>
      <c r="B819" s="338" t="s">
        <v>10913</v>
      </c>
      <c r="C819" s="321">
        <v>0</v>
      </c>
      <c r="D819" s="323">
        <v>43716</v>
      </c>
      <c r="E819" s="829" t="s">
        <v>6386</v>
      </c>
      <c r="F819" s="830" t="s">
        <v>6893</v>
      </c>
      <c r="G819" s="2620">
        <v>1.047839</v>
      </c>
      <c r="H819" s="332" t="s">
        <v>7112</v>
      </c>
      <c r="I819" s="339" t="s">
        <v>7113</v>
      </c>
      <c r="J819" s="322" t="s">
        <v>4306</v>
      </c>
      <c r="K819" s="340">
        <v>44448</v>
      </c>
      <c r="L819" s="339" t="s">
        <v>7114</v>
      </c>
      <c r="M819" s="322" t="s">
        <v>7115</v>
      </c>
      <c r="N819" s="339" t="s">
        <v>7116</v>
      </c>
      <c r="O819" s="332" t="s">
        <v>10955</v>
      </c>
      <c r="P819" s="345"/>
      <c r="Q819" s="6094" t="s">
        <v>5708</v>
      </c>
      <c r="R819" s="322" t="s">
        <v>10886</v>
      </c>
      <c r="S819" s="346"/>
      <c r="T819" s="347"/>
      <c r="U819" s="326"/>
      <c r="V819" s="348"/>
      <c r="W819" s="347"/>
      <c r="X819" s="326"/>
      <c r="Y819" s="348"/>
      <c r="Z819" s="347"/>
      <c r="AA819" s="326"/>
      <c r="AB819" s="348"/>
      <c r="AC819" s="347"/>
      <c r="AD819" s="326"/>
      <c r="AE819" s="348"/>
      <c r="AF819" s="347"/>
      <c r="AG819" s="326"/>
      <c r="AH819" s="348"/>
      <c r="AI819" s="482">
        <v>6249</v>
      </c>
      <c r="AJ819" s="326">
        <v>0</v>
      </c>
      <c r="AK819" s="3917">
        <v>0</v>
      </c>
      <c r="AL819" s="349">
        <f t="shared" si="241"/>
        <v>6249</v>
      </c>
      <c r="AM819" s="2002" t="s">
        <v>1061</v>
      </c>
      <c r="AN819" s="3357">
        <v>45008</v>
      </c>
      <c r="AO819" s="695" t="s">
        <v>10951</v>
      </c>
      <c r="AP819" s="3362" t="s">
        <v>10102</v>
      </c>
      <c r="AQ819" s="3555">
        <v>1.1100000000000001</v>
      </c>
      <c r="AR819" s="333"/>
      <c r="AS819" s="330"/>
      <c r="AT819" s="330"/>
      <c r="AU819" s="330"/>
      <c r="AV819" s="330"/>
      <c r="AW819" s="3156">
        <f t="shared" si="242"/>
        <v>6620</v>
      </c>
      <c r="AX819" s="3140"/>
      <c r="BA819" s="267"/>
      <c r="BB819" s="267"/>
      <c r="BC819" s="4117">
        <f t="shared" si="223"/>
        <v>0</v>
      </c>
      <c r="BD819" s="4117">
        <f t="shared" si="224"/>
        <v>0</v>
      </c>
      <c r="BE819" s="267"/>
      <c r="BF819" s="4788"/>
      <c r="BG819" s="267"/>
      <c r="BH819" s="267"/>
    </row>
    <row r="820" spans="1:60" ht="76.5">
      <c r="A820" s="2418" t="s">
        <v>11003</v>
      </c>
      <c r="B820" s="338" t="s">
        <v>10912</v>
      </c>
      <c r="C820" s="321">
        <v>0</v>
      </c>
      <c r="D820" s="323">
        <v>44453</v>
      </c>
      <c r="E820" s="3058" t="s">
        <v>9156</v>
      </c>
      <c r="F820" s="830" t="s">
        <v>9005</v>
      </c>
      <c r="G820" s="5356">
        <v>1.0956269999999999</v>
      </c>
      <c r="H820" s="332" t="s">
        <v>10911</v>
      </c>
      <c r="I820" s="339" t="s">
        <v>1433</v>
      </c>
      <c r="J820" s="322" t="s">
        <v>1434</v>
      </c>
      <c r="K820" s="340">
        <v>46637</v>
      </c>
      <c r="L820" s="339" t="s">
        <v>9220</v>
      </c>
      <c r="M820" s="322" t="s">
        <v>6628</v>
      </c>
      <c r="N820" s="339" t="s">
        <v>9227</v>
      </c>
      <c r="O820" s="332" t="s">
        <v>9221</v>
      </c>
      <c r="P820" s="345"/>
      <c r="Q820" s="322" t="s">
        <v>9223</v>
      </c>
      <c r="R820" s="322" t="s">
        <v>9222</v>
      </c>
      <c r="S820" s="346"/>
      <c r="T820" s="347"/>
      <c r="U820" s="326"/>
      <c r="V820" s="348"/>
      <c r="W820" s="347"/>
      <c r="X820" s="326"/>
      <c r="Y820" s="348"/>
      <c r="Z820" s="347"/>
      <c r="AA820" s="326"/>
      <c r="AB820" s="348"/>
      <c r="AC820" s="347"/>
      <c r="AD820" s="326"/>
      <c r="AE820" s="348"/>
      <c r="AF820" s="347"/>
      <c r="AG820" s="326"/>
      <c r="AH820" s="348"/>
      <c r="AI820" s="482">
        <v>18406</v>
      </c>
      <c r="AJ820" s="326">
        <v>0</v>
      </c>
      <c r="AK820" s="3917">
        <v>0</v>
      </c>
      <c r="AL820" s="349">
        <f t="shared" si="241"/>
        <v>18406</v>
      </c>
      <c r="AM820" s="2002" t="s">
        <v>1061</v>
      </c>
      <c r="AN820" s="3357">
        <v>45008</v>
      </c>
      <c r="AO820" s="695" t="s">
        <v>10952</v>
      </c>
      <c r="AP820" s="3362" t="s">
        <v>10102</v>
      </c>
      <c r="AQ820" s="3555">
        <v>1.1100000000000001</v>
      </c>
      <c r="AR820" s="333"/>
      <c r="AS820" s="330"/>
      <c r="AT820" s="330"/>
      <c r="AU820" s="330"/>
      <c r="AV820" s="330"/>
      <c r="AW820" s="3156">
        <f t="shared" si="242"/>
        <v>18647</v>
      </c>
      <c r="AX820" s="3140"/>
      <c r="BA820" s="267"/>
      <c r="BB820" s="267"/>
      <c r="BC820" s="4117">
        <f t="shared" si="223"/>
        <v>0</v>
      </c>
      <c r="BD820" s="4117">
        <f t="shared" si="224"/>
        <v>0</v>
      </c>
      <c r="BE820" s="267"/>
      <c r="BF820" s="4788"/>
      <c r="BG820" s="267"/>
      <c r="BH820" s="267"/>
    </row>
    <row r="821" spans="1:60" ht="89.25">
      <c r="A821" s="2418" t="s">
        <v>11003</v>
      </c>
      <c r="B821" s="338" t="s">
        <v>10914</v>
      </c>
      <c r="C821" s="321">
        <v>0</v>
      </c>
      <c r="D821" s="323">
        <v>44286</v>
      </c>
      <c r="E821" s="3058" t="s">
        <v>8170</v>
      </c>
      <c r="F821" s="324" t="s">
        <v>7957</v>
      </c>
      <c r="G821" s="2621">
        <v>1.0795220000000001</v>
      </c>
      <c r="H821" s="5939" t="s">
        <v>8706</v>
      </c>
      <c r="I821" s="5940" t="s">
        <v>8666</v>
      </c>
      <c r="J821" s="2399" t="s">
        <v>4306</v>
      </c>
      <c r="K821" s="340">
        <v>45016</v>
      </c>
      <c r="L821" s="339" t="s">
        <v>8667</v>
      </c>
      <c r="M821" s="322" t="s">
        <v>8668</v>
      </c>
      <c r="N821" s="339" t="s">
        <v>8669</v>
      </c>
      <c r="O821" s="322" t="s">
        <v>8668</v>
      </c>
      <c r="P821" s="345"/>
      <c r="Q821" s="6094" t="s">
        <v>5708</v>
      </c>
      <c r="R821" s="322" t="s">
        <v>5350</v>
      </c>
      <c r="S821" s="346"/>
      <c r="T821" s="347"/>
      <c r="U821" s="326"/>
      <c r="V821" s="348"/>
      <c r="W821" s="347"/>
      <c r="X821" s="326"/>
      <c r="Y821" s="348"/>
      <c r="Z821" s="347"/>
      <c r="AA821" s="326"/>
      <c r="AB821" s="348"/>
      <c r="AC821" s="347"/>
      <c r="AD821" s="326"/>
      <c r="AE821" s="348"/>
      <c r="AF821" s="347"/>
      <c r="AG821" s="326"/>
      <c r="AH821" s="348"/>
      <c r="AI821" s="482">
        <v>6437</v>
      </c>
      <c r="AJ821" s="326">
        <v>0</v>
      </c>
      <c r="AK821" s="3917">
        <v>0</v>
      </c>
      <c r="AL821" s="349">
        <f t="shared" si="241"/>
        <v>6437</v>
      </c>
      <c r="AM821" s="2002" t="s">
        <v>1061</v>
      </c>
      <c r="AN821" s="3357">
        <v>45008</v>
      </c>
      <c r="AO821" s="695" t="s">
        <v>10953</v>
      </c>
      <c r="AP821" s="3362" t="s">
        <v>10102</v>
      </c>
      <c r="AQ821" s="3555">
        <v>1.1100000000000001</v>
      </c>
      <c r="AR821" s="333"/>
      <c r="AS821" s="330"/>
      <c r="AT821" s="330"/>
      <c r="AU821" s="330"/>
      <c r="AV821" s="330"/>
      <c r="AW821" s="3156">
        <f t="shared" si="242"/>
        <v>6619</v>
      </c>
      <c r="AX821" s="3140"/>
      <c r="BA821" s="267"/>
      <c r="BB821" s="267"/>
      <c r="BC821" s="4117">
        <f t="shared" si="223"/>
        <v>0</v>
      </c>
      <c r="BD821" s="4117">
        <f t="shared" si="224"/>
        <v>0</v>
      </c>
      <c r="BE821" s="267"/>
      <c r="BF821" s="4788"/>
      <c r="BG821" s="267"/>
      <c r="BH821" s="267"/>
    </row>
    <row r="822" spans="1:60" ht="89.25">
      <c r="A822" s="2418" t="s">
        <v>11003</v>
      </c>
      <c r="B822" s="338" t="s">
        <v>10910</v>
      </c>
      <c r="C822" s="321">
        <v>0</v>
      </c>
      <c r="D822" s="323">
        <v>44798</v>
      </c>
      <c r="E822" s="3058" t="s">
        <v>10324</v>
      </c>
      <c r="F822" s="830" t="s">
        <v>10101</v>
      </c>
      <c r="G822" s="5356">
        <v>1.1100000000000001</v>
      </c>
      <c r="H822" s="332" t="s">
        <v>10353</v>
      </c>
      <c r="I822" s="339" t="s">
        <v>10286</v>
      </c>
      <c r="J822" s="2399" t="s">
        <v>4306</v>
      </c>
      <c r="K822" s="340">
        <v>45529</v>
      </c>
      <c r="L822" s="833" t="s">
        <v>10294</v>
      </c>
      <c r="M822" s="5943" t="s">
        <v>10297</v>
      </c>
      <c r="N822" s="833" t="s">
        <v>10296</v>
      </c>
      <c r="O822" s="834" t="s">
        <v>10295</v>
      </c>
      <c r="P822" s="345"/>
      <c r="Q822" s="6094" t="s">
        <v>9071</v>
      </c>
      <c r="R822" s="322" t="s">
        <v>536</v>
      </c>
      <c r="S822" s="346"/>
      <c r="T822" s="347"/>
      <c r="U822" s="326"/>
      <c r="V822" s="348"/>
      <c r="W822" s="347"/>
      <c r="X822" s="326"/>
      <c r="Y822" s="348"/>
      <c r="Z822" s="347"/>
      <c r="AA822" s="326"/>
      <c r="AB822" s="348"/>
      <c r="AC822" s="347"/>
      <c r="AD822" s="326"/>
      <c r="AE822" s="348"/>
      <c r="AF822" s="347"/>
      <c r="AG822" s="326"/>
      <c r="AH822" s="348"/>
      <c r="AI822" s="482">
        <v>6619</v>
      </c>
      <c r="AJ822" s="326">
        <v>0</v>
      </c>
      <c r="AK822" s="3917">
        <v>0</v>
      </c>
      <c r="AL822" s="349">
        <f t="shared" si="241"/>
        <v>6619</v>
      </c>
      <c r="AM822" s="2002" t="s">
        <v>1061</v>
      </c>
      <c r="AN822" s="3357">
        <v>45008</v>
      </c>
      <c r="AO822" s="695" t="s">
        <v>10954</v>
      </c>
      <c r="AP822" s="3362" t="s">
        <v>10102</v>
      </c>
      <c r="AQ822" s="3555">
        <v>1.1100000000000001</v>
      </c>
      <c r="AR822" s="333"/>
      <c r="AS822" s="330"/>
      <c r="AT822" s="330"/>
      <c r="AU822" s="330"/>
      <c r="AV822" s="330"/>
      <c r="AW822" s="3156">
        <f t="shared" si="242"/>
        <v>6619</v>
      </c>
      <c r="AX822" s="3140"/>
      <c r="BA822" s="267"/>
      <c r="BB822" s="267"/>
      <c r="BC822" s="4117">
        <f t="shared" si="223"/>
        <v>0</v>
      </c>
      <c r="BD822" s="4117">
        <f t="shared" si="224"/>
        <v>0</v>
      </c>
      <c r="BE822" s="267"/>
      <c r="BF822" s="4788"/>
      <c r="BG822" s="267"/>
      <c r="BH822" s="267"/>
    </row>
    <row r="823" spans="1:60" ht="89.25">
      <c r="A823" s="2418" t="s">
        <v>11003</v>
      </c>
      <c r="B823" s="338" t="s">
        <v>10956</v>
      </c>
      <c r="C823" s="321">
        <v>0</v>
      </c>
      <c r="D823" s="323">
        <v>44180</v>
      </c>
      <c r="E823" s="3058" t="s">
        <v>8170</v>
      </c>
      <c r="F823" s="324" t="s">
        <v>7957</v>
      </c>
      <c r="G823" s="2621">
        <v>1.0795220000000001</v>
      </c>
      <c r="H823" s="332" t="s">
        <v>8405</v>
      </c>
      <c r="I823" s="339" t="s">
        <v>8406</v>
      </c>
      <c r="J823" s="2399" t="s">
        <v>4306</v>
      </c>
      <c r="K823" s="340">
        <v>44895</v>
      </c>
      <c r="L823" s="339" t="s">
        <v>8407</v>
      </c>
      <c r="M823" s="322" t="s">
        <v>8408</v>
      </c>
      <c r="N823" s="339" t="s">
        <v>8409</v>
      </c>
      <c r="O823" s="332" t="s">
        <v>8410</v>
      </c>
      <c r="P823" s="345"/>
      <c r="Q823" s="6094" t="s">
        <v>5708</v>
      </c>
      <c r="R823" s="322" t="s">
        <v>5350</v>
      </c>
      <c r="S823" s="346"/>
      <c r="T823" s="347"/>
      <c r="U823" s="326"/>
      <c r="V823" s="348"/>
      <c r="W823" s="347"/>
      <c r="X823" s="326"/>
      <c r="Y823" s="348"/>
      <c r="Z823" s="347"/>
      <c r="AA823" s="326"/>
      <c r="AB823" s="348"/>
      <c r="AC823" s="347"/>
      <c r="AD823" s="326"/>
      <c r="AE823" s="348"/>
      <c r="AF823" s="347"/>
      <c r="AG823" s="326"/>
      <c r="AH823" s="348"/>
      <c r="AI823" s="482">
        <v>6437</v>
      </c>
      <c r="AJ823" s="326">
        <v>0</v>
      </c>
      <c r="AK823" s="3917">
        <v>0</v>
      </c>
      <c r="AL823" s="349">
        <f>AI823-AJ823-AK823</f>
        <v>6437</v>
      </c>
      <c r="AM823" s="2002" t="s">
        <v>1061</v>
      </c>
      <c r="AN823" s="3357">
        <v>45008</v>
      </c>
      <c r="AO823" s="695" t="s">
        <v>10957</v>
      </c>
      <c r="AP823" s="3362" t="s">
        <v>10102</v>
      </c>
      <c r="AQ823" s="3555">
        <v>1.1100000000000001</v>
      </c>
      <c r="AR823" s="333"/>
      <c r="AS823" s="330"/>
      <c r="AT823" s="330"/>
      <c r="AU823" s="330"/>
      <c r="AV823" s="330"/>
      <c r="AW823" s="3156">
        <f>ROUND(AL823*AQ823/G823,0)</f>
        <v>6619</v>
      </c>
      <c r="AX823" s="3140"/>
      <c r="BA823" s="267"/>
      <c r="BB823" s="267"/>
      <c r="BC823" s="4117">
        <f t="shared" si="223"/>
        <v>0</v>
      </c>
      <c r="BD823" s="4117">
        <f t="shared" si="224"/>
        <v>0</v>
      </c>
      <c r="BE823" s="267"/>
      <c r="BF823" s="4788"/>
      <c r="BG823" s="267"/>
      <c r="BH823" s="267"/>
    </row>
    <row r="824" spans="1:60" ht="89.25">
      <c r="A824" s="2418" t="s">
        <v>11003</v>
      </c>
      <c r="B824" s="338" t="s">
        <v>10545</v>
      </c>
      <c r="C824" s="321">
        <v>0</v>
      </c>
      <c r="D824" s="323">
        <v>45007</v>
      </c>
      <c r="E824" s="3058" t="s">
        <v>10324</v>
      </c>
      <c r="F824" s="830" t="s">
        <v>10101</v>
      </c>
      <c r="G824" s="5356">
        <v>1.1100000000000001</v>
      </c>
      <c r="H824" s="332" t="s">
        <v>10946</v>
      </c>
      <c r="I824" s="339" t="s">
        <v>10947</v>
      </c>
      <c r="J824" s="2399" t="s">
        <v>4306</v>
      </c>
      <c r="K824" s="340">
        <v>45738</v>
      </c>
      <c r="L824" s="339" t="s">
        <v>10948</v>
      </c>
      <c r="M824" s="322" t="s">
        <v>10949</v>
      </c>
      <c r="N824" s="339" t="s">
        <v>1766</v>
      </c>
      <c r="O824" s="332" t="s">
        <v>10950</v>
      </c>
      <c r="P824" s="345"/>
      <c r="Q824" s="6094" t="s">
        <v>9071</v>
      </c>
      <c r="R824" s="322" t="s">
        <v>536</v>
      </c>
      <c r="S824" s="346"/>
      <c r="T824" s="347"/>
      <c r="U824" s="326"/>
      <c r="V824" s="348"/>
      <c r="W824" s="347"/>
      <c r="X824" s="326"/>
      <c r="Y824" s="348"/>
      <c r="Z824" s="347"/>
      <c r="AA824" s="326"/>
      <c r="AB824" s="348"/>
      <c r="AC824" s="820"/>
      <c r="AD824" s="821"/>
      <c r="AE824" s="822"/>
      <c r="AF824" s="820"/>
      <c r="AG824" s="821"/>
      <c r="AH824" s="822"/>
      <c r="AI824" s="482">
        <v>5639</v>
      </c>
      <c r="AJ824" s="326">
        <v>0</v>
      </c>
      <c r="AK824" s="3917">
        <v>0</v>
      </c>
      <c r="AL824" s="349">
        <f>AI824-AJ824-AK824</f>
        <v>5639</v>
      </c>
      <c r="AM824" s="2002" t="s">
        <v>1061</v>
      </c>
      <c r="AN824" s="3357">
        <v>45009</v>
      </c>
      <c r="AO824" s="695" t="s">
        <v>10958</v>
      </c>
      <c r="AP824" s="3362" t="s">
        <v>10102</v>
      </c>
      <c r="AQ824" s="3555">
        <v>1.1100000000000001</v>
      </c>
      <c r="AR824" s="333"/>
      <c r="AS824" s="330"/>
      <c r="AT824" s="330"/>
      <c r="AU824" s="849"/>
      <c r="AV824" s="849"/>
      <c r="AW824" s="3156">
        <f>ROUND(AL824*AQ824/G824,0)</f>
        <v>5639</v>
      </c>
      <c r="AX824" s="3140"/>
      <c r="BA824" s="267"/>
      <c r="BB824" s="267"/>
      <c r="BC824" s="4117">
        <f t="shared" si="223"/>
        <v>0</v>
      </c>
      <c r="BD824" s="4117">
        <f t="shared" si="224"/>
        <v>0</v>
      </c>
      <c r="BE824" s="267"/>
      <c r="BF824" s="4788"/>
      <c r="BG824" s="267"/>
      <c r="BH824" s="267"/>
    </row>
    <row r="825" spans="1:60" ht="89.25">
      <c r="A825" s="2418" t="s">
        <v>11003</v>
      </c>
      <c r="B825" s="338" t="s">
        <v>10963</v>
      </c>
      <c r="C825" s="321">
        <v>0</v>
      </c>
      <c r="D825" s="323">
        <v>44335</v>
      </c>
      <c r="E825" s="3058" t="s">
        <v>8170</v>
      </c>
      <c r="F825" s="324" t="s">
        <v>7957</v>
      </c>
      <c r="G825" s="2621">
        <v>1.0795220000000001</v>
      </c>
      <c r="H825" s="332" t="s">
        <v>9110</v>
      </c>
      <c r="I825" s="339" t="s">
        <v>8831</v>
      </c>
      <c r="J825" s="2399" t="s">
        <v>4306</v>
      </c>
      <c r="K825" s="340">
        <v>45065</v>
      </c>
      <c r="L825" s="339" t="s">
        <v>313</v>
      </c>
      <c r="M825" s="322" t="s">
        <v>8832</v>
      </c>
      <c r="N825" s="339" t="s">
        <v>8829</v>
      </c>
      <c r="O825" s="332" t="s">
        <v>8830</v>
      </c>
      <c r="P825" s="345"/>
      <c r="Q825" s="6094" t="s">
        <v>5708</v>
      </c>
      <c r="R825" s="322" t="s">
        <v>5350</v>
      </c>
      <c r="S825" s="346"/>
      <c r="T825" s="347"/>
      <c r="U825" s="326"/>
      <c r="V825" s="348"/>
      <c r="W825" s="347"/>
      <c r="X825" s="326"/>
      <c r="Y825" s="348"/>
      <c r="Z825" s="347"/>
      <c r="AA825" s="326"/>
      <c r="AB825" s="348"/>
      <c r="AC825" s="347"/>
      <c r="AD825" s="326"/>
      <c r="AE825" s="348"/>
      <c r="AF825" s="347"/>
      <c r="AG825" s="326"/>
      <c r="AH825" s="348"/>
      <c r="AI825" s="482">
        <v>6437</v>
      </c>
      <c r="AJ825" s="326">
        <v>0</v>
      </c>
      <c r="AK825" s="3917">
        <v>0</v>
      </c>
      <c r="AL825" s="349">
        <f>AI825-AJ825-AK825</f>
        <v>6437</v>
      </c>
      <c r="AM825" s="2002" t="s">
        <v>1061</v>
      </c>
      <c r="AN825" s="3357">
        <v>45013</v>
      </c>
      <c r="AO825" s="695" t="s">
        <v>10979</v>
      </c>
      <c r="AP825" s="3362" t="s">
        <v>10102</v>
      </c>
      <c r="AQ825" s="3555">
        <v>1.1100000000000001</v>
      </c>
      <c r="AR825" s="333"/>
      <c r="AS825" s="330"/>
      <c r="AT825" s="330"/>
      <c r="AU825" s="330"/>
      <c r="AV825" s="330"/>
      <c r="AW825" s="3156">
        <f>ROUND(AL825*AQ825/G825,0)</f>
        <v>6619</v>
      </c>
      <c r="AX825" s="3140"/>
      <c r="BA825" s="267"/>
      <c r="BB825" s="267"/>
      <c r="BC825" s="4117">
        <f t="shared" si="223"/>
        <v>0</v>
      </c>
      <c r="BD825" s="4117">
        <f t="shared" si="224"/>
        <v>0</v>
      </c>
      <c r="BE825" s="267"/>
      <c r="BF825" s="4788"/>
      <c r="BG825" s="267"/>
      <c r="BH825" s="267"/>
    </row>
    <row r="826" spans="1:60" ht="76.5">
      <c r="A826" s="2418" t="s">
        <v>11005</v>
      </c>
      <c r="B826" s="338" t="s">
        <v>10980</v>
      </c>
      <c r="C826" s="321">
        <v>0</v>
      </c>
      <c r="D826" s="323">
        <v>43388</v>
      </c>
      <c r="E826" s="3051" t="s">
        <v>6386</v>
      </c>
      <c r="F826" s="324" t="s">
        <v>5757</v>
      </c>
      <c r="G826" s="2621">
        <v>1.0247219999999999</v>
      </c>
      <c r="H826" s="332" t="s">
        <v>5980</v>
      </c>
      <c r="I826" s="339" t="s">
        <v>5981</v>
      </c>
      <c r="J826" s="322" t="s">
        <v>4306</v>
      </c>
      <c r="K826" s="340" t="s">
        <v>10012</v>
      </c>
      <c r="L826" s="339" t="s">
        <v>5982</v>
      </c>
      <c r="M826" s="322" t="s">
        <v>5983</v>
      </c>
      <c r="N826" s="339" t="s">
        <v>5985</v>
      </c>
      <c r="O826" s="332" t="s">
        <v>6262</v>
      </c>
      <c r="P826" s="345"/>
      <c r="Q826" s="6094" t="s">
        <v>5708</v>
      </c>
      <c r="R826" s="322" t="s">
        <v>5350</v>
      </c>
      <c r="S826" s="346"/>
      <c r="T826" s="347">
        <v>2444</v>
      </c>
      <c r="U826" s="326">
        <v>0</v>
      </c>
      <c r="V826" s="348">
        <f>T826-U826</f>
        <v>2444</v>
      </c>
      <c r="W826" s="347">
        <v>3056</v>
      </c>
      <c r="X826" s="326">
        <v>0</v>
      </c>
      <c r="Y826" s="348">
        <f>W826-X826</f>
        <v>3056</v>
      </c>
      <c r="Z826" s="347">
        <v>611</v>
      </c>
      <c r="AA826" s="326">
        <v>0</v>
      </c>
      <c r="AB826" s="348">
        <f>Z826-AA826</f>
        <v>611</v>
      </c>
      <c r="AC826" s="347"/>
      <c r="AD826" s="326"/>
      <c r="AE826" s="348"/>
      <c r="AF826" s="347"/>
      <c r="AG826" s="326"/>
      <c r="AH826" s="348"/>
      <c r="AI826" s="482">
        <f>T826+W826+Z826+AC826+AF826</f>
        <v>6111</v>
      </c>
      <c r="AJ826" s="326">
        <f>U826+X826+AA826+AD826+AG826</f>
        <v>0</v>
      </c>
      <c r="AK826" s="3917">
        <v>0</v>
      </c>
      <c r="AL826" s="349">
        <f>AI826-AJ826-AK826</f>
        <v>6111</v>
      </c>
      <c r="AM826" s="2002" t="s">
        <v>1061</v>
      </c>
      <c r="AN826" s="3357">
        <v>45013</v>
      </c>
      <c r="AO826" s="695" t="s">
        <v>10981</v>
      </c>
      <c r="AP826" s="2722" t="s">
        <v>10102</v>
      </c>
      <c r="AQ826" s="2723">
        <v>1.1100000000000001</v>
      </c>
      <c r="AR826" s="333">
        <v>0</v>
      </c>
      <c r="AS826" s="330">
        <v>0</v>
      </c>
      <c r="AT826" s="330">
        <v>0</v>
      </c>
      <c r="AU826" s="330">
        <v>0</v>
      </c>
      <c r="AV826" s="330">
        <v>0</v>
      </c>
      <c r="AW826" s="3156">
        <f>ROUND(AL826*AQ826/G826,0)</f>
        <v>6620</v>
      </c>
      <c r="AX826" s="3140"/>
      <c r="BA826" s="267"/>
      <c r="BB826" s="267"/>
      <c r="BC826" s="4117">
        <f t="shared" si="223"/>
        <v>0</v>
      </c>
      <c r="BD826" s="4117">
        <f t="shared" si="224"/>
        <v>0</v>
      </c>
      <c r="BE826" s="267"/>
      <c r="BF826" s="4788"/>
      <c r="BG826" s="267"/>
      <c r="BH826" s="267"/>
    </row>
    <row r="827" spans="1:60" ht="77.25" thickBot="1">
      <c r="A827" s="6088" t="s">
        <v>11003</v>
      </c>
      <c r="B827" s="5600" t="s">
        <v>9241</v>
      </c>
      <c r="C827" s="5945">
        <v>0</v>
      </c>
      <c r="D827" s="5946">
        <v>44585</v>
      </c>
      <c r="E827" s="5947" t="s">
        <v>9156</v>
      </c>
      <c r="F827" s="3793" t="s">
        <v>9005</v>
      </c>
      <c r="G827" s="5368">
        <v>1.0956269999999999</v>
      </c>
      <c r="H827" s="5948" t="s">
        <v>9601</v>
      </c>
      <c r="I827" s="5605" t="s">
        <v>5753</v>
      </c>
      <c r="J827" s="5949" t="s">
        <v>2712</v>
      </c>
      <c r="K827" s="5950">
        <v>46042</v>
      </c>
      <c r="L827" s="5605" t="s">
        <v>9602</v>
      </c>
      <c r="M827" s="5949" t="s">
        <v>6628</v>
      </c>
      <c r="N827" s="5605" t="s">
        <v>9603</v>
      </c>
      <c r="O827" s="5948" t="s">
        <v>9604</v>
      </c>
      <c r="P827" s="5608"/>
      <c r="Q827" s="5949" t="s">
        <v>9605</v>
      </c>
      <c r="R827" s="5949" t="s">
        <v>8326</v>
      </c>
      <c r="S827" s="5951"/>
      <c r="T827" s="5610"/>
      <c r="U827" s="5952"/>
      <c r="V827" s="5953"/>
      <c r="W827" s="5610"/>
      <c r="X827" s="5952"/>
      <c r="Y827" s="5953"/>
      <c r="Z827" s="5610"/>
      <c r="AA827" s="5952"/>
      <c r="AB827" s="5953"/>
      <c r="AC827" s="5610"/>
      <c r="AD827" s="5952"/>
      <c r="AE827" s="5953"/>
      <c r="AF827" s="5610"/>
      <c r="AG827" s="5952"/>
      <c r="AH827" s="5953"/>
      <c r="AI827" s="5613">
        <v>165659</v>
      </c>
      <c r="AJ827" s="5952">
        <v>0</v>
      </c>
      <c r="AK827" s="5954">
        <v>0</v>
      </c>
      <c r="AL827" s="5955">
        <f>AI827-AJ827-AK827</f>
        <v>165659</v>
      </c>
      <c r="AM827" s="5616" t="s">
        <v>1061</v>
      </c>
      <c r="AN827" s="5956">
        <v>45015</v>
      </c>
      <c r="AO827" s="5957" t="s">
        <v>10982</v>
      </c>
      <c r="AP827" s="3387" t="s">
        <v>10102</v>
      </c>
      <c r="AQ827" s="4753">
        <v>1.1100000000000001</v>
      </c>
      <c r="AR827" s="5619"/>
      <c r="AS827" s="5958"/>
      <c r="AT827" s="5958"/>
      <c r="AU827" s="5959"/>
      <c r="AV827" s="5959"/>
      <c r="AW827" s="5960">
        <f>ROUND(AL827*AQ827/G827,0)</f>
        <v>167832</v>
      </c>
      <c r="AX827" s="5623"/>
      <c r="AY827" s="4031" t="s">
        <v>10875</v>
      </c>
      <c r="AZ827" s="3857">
        <f>SUM(AW812:AW827)</f>
        <v>539523</v>
      </c>
      <c r="BA827" s="1663">
        <f>AZ827</f>
        <v>539523</v>
      </c>
      <c r="BB827" s="267"/>
      <c r="BC827" s="4117">
        <f t="shared" si="223"/>
        <v>0</v>
      </c>
      <c r="BD827" s="4117">
        <f t="shared" si="224"/>
        <v>0</v>
      </c>
      <c r="BE827" s="267"/>
      <c r="BF827" s="4788"/>
      <c r="BG827" s="267"/>
      <c r="BH827" s="267"/>
    </row>
    <row r="828" spans="1:60" ht="114.75">
      <c r="A828" s="6017" t="s">
        <v>11003</v>
      </c>
      <c r="B828" s="2298" t="s">
        <v>10985</v>
      </c>
      <c r="C828" s="2299">
        <v>0</v>
      </c>
      <c r="D828" s="2300">
        <v>44413</v>
      </c>
      <c r="E828" s="4812" t="s">
        <v>8170</v>
      </c>
      <c r="F828" s="2301" t="s">
        <v>10102</v>
      </c>
      <c r="G828" s="5944">
        <v>1.1100000000000001</v>
      </c>
      <c r="H828" s="2306" t="s">
        <v>9104</v>
      </c>
      <c r="I828" s="2303" t="s">
        <v>9074</v>
      </c>
      <c r="J828" s="2304" t="s">
        <v>4306</v>
      </c>
      <c r="K828" s="2305">
        <v>45143</v>
      </c>
      <c r="L828" s="2303" t="s">
        <v>9075</v>
      </c>
      <c r="M828" s="2304" t="s">
        <v>9076</v>
      </c>
      <c r="N828" s="2303" t="s">
        <v>9077</v>
      </c>
      <c r="O828" s="2306" t="s">
        <v>9073</v>
      </c>
      <c r="P828" s="5624" t="s">
        <v>10986</v>
      </c>
      <c r="Q828" s="2304" t="s">
        <v>9078</v>
      </c>
      <c r="R828" s="2304" t="s">
        <v>9079</v>
      </c>
      <c r="S828" s="2307"/>
      <c r="T828" s="2308"/>
      <c r="U828" s="2309"/>
      <c r="V828" s="2310"/>
      <c r="W828" s="2308"/>
      <c r="X828" s="2309"/>
      <c r="Y828" s="2310"/>
      <c r="Z828" s="2308"/>
      <c r="AA828" s="2309"/>
      <c r="AB828" s="2310"/>
      <c r="AC828" s="2308"/>
      <c r="AD828" s="2309"/>
      <c r="AE828" s="2310"/>
      <c r="AF828" s="2308"/>
      <c r="AG828" s="2309"/>
      <c r="AH828" s="2310"/>
      <c r="AI828" s="2311">
        <v>0</v>
      </c>
      <c r="AJ828" s="2309">
        <v>0</v>
      </c>
      <c r="AK828" s="3914">
        <v>0</v>
      </c>
      <c r="AL828" s="2312">
        <f t="shared" ref="AL828" si="243">AI828-AJ828-AK828</f>
        <v>0</v>
      </c>
      <c r="AM828" s="3491" t="s">
        <v>9365</v>
      </c>
      <c r="AN828" s="3492">
        <v>45020</v>
      </c>
      <c r="AO828" s="2492" t="s">
        <v>10988</v>
      </c>
      <c r="AP828" s="2905" t="s">
        <v>10102</v>
      </c>
      <c r="AQ828" s="2906">
        <v>1.1100000000000001</v>
      </c>
      <c r="AR828" s="2313"/>
      <c r="AS828" s="2314"/>
      <c r="AT828" s="2314"/>
      <c r="AU828" s="2314"/>
      <c r="AV828" s="2314"/>
      <c r="AW828" s="2883">
        <v>2979</v>
      </c>
      <c r="AX828" s="2899"/>
      <c r="BB828" s="267"/>
      <c r="BC828" s="4117">
        <f t="shared" si="223"/>
        <v>0</v>
      </c>
      <c r="BD828" s="4117">
        <f t="shared" si="224"/>
        <v>0</v>
      </c>
      <c r="BE828" s="267"/>
      <c r="BF828" s="4788"/>
      <c r="BG828" s="267"/>
      <c r="BH828" s="267"/>
    </row>
    <row r="829" spans="1:60" ht="89.25">
      <c r="A829" s="5981" t="s">
        <v>11003</v>
      </c>
      <c r="B829" s="2546" t="s">
        <v>10992</v>
      </c>
      <c r="C829" s="1509">
        <v>0</v>
      </c>
      <c r="D829" s="1510">
        <v>44433</v>
      </c>
      <c r="E829" s="4344" t="s">
        <v>9156</v>
      </c>
      <c r="F829" s="2497" t="s">
        <v>9005</v>
      </c>
      <c r="G829" s="5387">
        <v>1.0956269999999999</v>
      </c>
      <c r="H829" s="1513" t="s">
        <v>9133</v>
      </c>
      <c r="I829" s="1514" t="s">
        <v>9135</v>
      </c>
      <c r="J829" s="4345" t="s">
        <v>4306</v>
      </c>
      <c r="K829" s="1516">
        <v>45163</v>
      </c>
      <c r="L829" s="1514" t="s">
        <v>9137</v>
      </c>
      <c r="M829" s="1515" t="s">
        <v>9139</v>
      </c>
      <c r="N829" s="1514" t="s">
        <v>9140</v>
      </c>
      <c r="O829" s="1515" t="s">
        <v>9139</v>
      </c>
      <c r="P829" s="1517"/>
      <c r="Q829" s="6094" t="s">
        <v>9047</v>
      </c>
      <c r="R829" s="1515" t="s">
        <v>5350</v>
      </c>
      <c r="S829" s="1518"/>
      <c r="T829" s="1519"/>
      <c r="U829" s="1504"/>
      <c r="V829" s="1520"/>
      <c r="W829" s="1519"/>
      <c r="X829" s="1504"/>
      <c r="Y829" s="1520"/>
      <c r="Z829" s="1519"/>
      <c r="AA829" s="1504"/>
      <c r="AB829" s="1520"/>
      <c r="AC829" s="1519"/>
      <c r="AD829" s="1504"/>
      <c r="AE829" s="1520"/>
      <c r="AF829" s="1519"/>
      <c r="AG829" s="1504"/>
      <c r="AH829" s="1520"/>
      <c r="AI829" s="1503">
        <v>5567</v>
      </c>
      <c r="AJ829" s="1504">
        <v>0</v>
      </c>
      <c r="AK829" s="3919">
        <v>0</v>
      </c>
      <c r="AL829" s="1505">
        <f t="shared" ref="AL829:AL835" si="244">AI829-AJ829-AK829</f>
        <v>5567</v>
      </c>
      <c r="AM829" s="1508" t="s">
        <v>1061</v>
      </c>
      <c r="AN829" s="3401">
        <v>45020</v>
      </c>
      <c r="AO829" s="3402" t="s">
        <v>10989</v>
      </c>
      <c r="AP829" s="2905" t="s">
        <v>10102</v>
      </c>
      <c r="AQ829" s="2906">
        <v>1.1100000000000001</v>
      </c>
      <c r="AR829" s="1506"/>
      <c r="AS829" s="1507"/>
      <c r="AT829" s="1507"/>
      <c r="AU829" s="1507"/>
      <c r="AV829" s="1507"/>
      <c r="AW829" s="3247">
        <f t="shared" ref="AW829:AW835" si="245">ROUND(AL829*AQ829/G829,0)</f>
        <v>5640</v>
      </c>
      <c r="AX829" s="3146"/>
      <c r="BB829" s="267"/>
      <c r="BC829" s="4117">
        <f t="shared" ref="BC829:BC892" si="246">ROUND($AJ829*$AQ829/$G829,0)</f>
        <v>0</v>
      </c>
      <c r="BD829" s="4117">
        <f t="shared" ref="BD829:BD892" si="247">ROUND($AK829*$AQ829/$G829,0)</f>
        <v>0</v>
      </c>
      <c r="BE829" s="267"/>
      <c r="BF829" s="4788"/>
      <c r="BG829" s="267"/>
      <c r="BH829" s="267"/>
    </row>
    <row r="830" spans="1:60" ht="89.25">
      <c r="A830" s="5981" t="s">
        <v>11003</v>
      </c>
      <c r="B830" s="1538" t="s">
        <v>10991</v>
      </c>
      <c r="C830" s="1509">
        <v>0</v>
      </c>
      <c r="D830" s="1510">
        <v>44314</v>
      </c>
      <c r="E830" s="4344" t="s">
        <v>8170</v>
      </c>
      <c r="F830" s="1511" t="s">
        <v>7957</v>
      </c>
      <c r="G830" s="2663">
        <v>1.0795220000000001</v>
      </c>
      <c r="H830" s="5140" t="s">
        <v>8747</v>
      </c>
      <c r="I830" s="5051" t="s">
        <v>8748</v>
      </c>
      <c r="J830" s="4345" t="s">
        <v>4306</v>
      </c>
      <c r="K830" s="1516">
        <v>45044</v>
      </c>
      <c r="L830" s="1514" t="s">
        <v>6917</v>
      </c>
      <c r="M830" s="1515" t="s">
        <v>6918</v>
      </c>
      <c r="N830" s="1514" t="s">
        <v>8749</v>
      </c>
      <c r="O830" s="1513" t="s">
        <v>8750</v>
      </c>
      <c r="P830" s="1517"/>
      <c r="Q830" s="6094" t="s">
        <v>5708</v>
      </c>
      <c r="R830" s="1515" t="s">
        <v>5350</v>
      </c>
      <c r="S830" s="1518"/>
      <c r="T830" s="1519"/>
      <c r="U830" s="1504"/>
      <c r="V830" s="1520"/>
      <c r="W830" s="1519"/>
      <c r="X830" s="1504"/>
      <c r="Y830" s="1520"/>
      <c r="Z830" s="1519"/>
      <c r="AA830" s="1504"/>
      <c r="AB830" s="1520"/>
      <c r="AC830" s="1519"/>
      <c r="AD830" s="1504"/>
      <c r="AE830" s="1520"/>
      <c r="AF830" s="1519"/>
      <c r="AG830" s="1504"/>
      <c r="AH830" s="1520"/>
      <c r="AI830" s="1503">
        <v>6437</v>
      </c>
      <c r="AJ830" s="1504">
        <v>0</v>
      </c>
      <c r="AK830" s="3919">
        <v>0</v>
      </c>
      <c r="AL830" s="1505">
        <f t="shared" si="244"/>
        <v>6437</v>
      </c>
      <c r="AM830" s="1508" t="s">
        <v>1061</v>
      </c>
      <c r="AN830" s="3401">
        <v>45020</v>
      </c>
      <c r="AO830" s="3402" t="s">
        <v>10990</v>
      </c>
      <c r="AP830" s="2905" t="s">
        <v>10102</v>
      </c>
      <c r="AQ830" s="2906">
        <v>1.1100000000000001</v>
      </c>
      <c r="AR830" s="1506"/>
      <c r="AS830" s="1507"/>
      <c r="AT830" s="1507"/>
      <c r="AU830" s="1507"/>
      <c r="AV830" s="1507"/>
      <c r="AW830" s="3247">
        <f t="shared" si="245"/>
        <v>6619</v>
      </c>
      <c r="AX830" s="3146"/>
      <c r="BB830" s="267"/>
      <c r="BC830" s="4117">
        <f t="shared" si="246"/>
        <v>0</v>
      </c>
      <c r="BD830" s="4117">
        <f t="shared" si="247"/>
        <v>0</v>
      </c>
      <c r="BE830" s="267"/>
      <c r="BF830" s="4788"/>
      <c r="BG830" s="267"/>
      <c r="BH830" s="267"/>
    </row>
    <row r="831" spans="1:60" ht="89.25">
      <c r="A831" s="5981" t="s">
        <v>11003</v>
      </c>
      <c r="B831" s="1538" t="s">
        <v>10257</v>
      </c>
      <c r="C831" s="1509">
        <v>0</v>
      </c>
      <c r="D831" s="1510">
        <v>44902</v>
      </c>
      <c r="E831" s="4344" t="s">
        <v>10324</v>
      </c>
      <c r="F831" s="2497" t="s">
        <v>10101</v>
      </c>
      <c r="G831" s="5387">
        <v>1.1100000000000001</v>
      </c>
      <c r="H831" s="1513" t="s">
        <v>10901</v>
      </c>
      <c r="I831" s="1514" t="s">
        <v>10624</v>
      </c>
      <c r="J831" s="4345" t="s">
        <v>4306</v>
      </c>
      <c r="K831" s="1516">
        <v>45633</v>
      </c>
      <c r="L831" s="1514" t="s">
        <v>10630</v>
      </c>
      <c r="M831" s="1515" t="s">
        <v>10631</v>
      </c>
      <c r="N831" s="1514" t="s">
        <v>10632</v>
      </c>
      <c r="O831" s="1513" t="s">
        <v>10633</v>
      </c>
      <c r="P831" s="1517"/>
      <c r="Q831" s="6094" t="s">
        <v>9071</v>
      </c>
      <c r="R831" s="1515" t="s">
        <v>536</v>
      </c>
      <c r="S831" s="1518"/>
      <c r="T831" s="1519"/>
      <c r="U831" s="1504"/>
      <c r="V831" s="1520"/>
      <c r="W831" s="1519"/>
      <c r="X831" s="1504"/>
      <c r="Y831" s="1520"/>
      <c r="Z831" s="1519"/>
      <c r="AA831" s="1504"/>
      <c r="AB831" s="1520"/>
      <c r="AC831" s="1519"/>
      <c r="AD831" s="1504"/>
      <c r="AE831" s="1520"/>
      <c r="AF831" s="1519"/>
      <c r="AG831" s="1504"/>
      <c r="AH831" s="1520"/>
      <c r="AI831" s="1503">
        <v>6619</v>
      </c>
      <c r="AJ831" s="1504">
        <v>0</v>
      </c>
      <c r="AK831" s="3919">
        <v>0</v>
      </c>
      <c r="AL831" s="1505">
        <f t="shared" si="244"/>
        <v>6619</v>
      </c>
      <c r="AM831" s="1508" t="s">
        <v>2977</v>
      </c>
      <c r="AN831" s="3401">
        <v>45027</v>
      </c>
      <c r="AO831" s="3402" t="s">
        <v>10993</v>
      </c>
      <c r="AP831" s="2905" t="s">
        <v>10102</v>
      </c>
      <c r="AQ831" s="2906">
        <v>1.1100000000000001</v>
      </c>
      <c r="AR831" s="1506"/>
      <c r="AS831" s="1507"/>
      <c r="AT831" s="1507"/>
      <c r="AU831" s="1507"/>
      <c r="AV831" s="1507"/>
      <c r="AW831" s="3247">
        <f t="shared" si="245"/>
        <v>6619</v>
      </c>
      <c r="AX831" s="3146"/>
      <c r="BB831" s="267"/>
      <c r="BC831" s="4117">
        <f t="shared" si="246"/>
        <v>0</v>
      </c>
      <c r="BD831" s="4117">
        <f t="shared" si="247"/>
        <v>0</v>
      </c>
      <c r="BE831" s="267"/>
      <c r="BF831" s="4788"/>
      <c r="BG831" s="267"/>
      <c r="BH831" s="267"/>
    </row>
    <row r="832" spans="1:60" ht="89.25">
      <c r="A832" s="5981" t="s">
        <v>11003</v>
      </c>
      <c r="B832" s="1538" t="s">
        <v>10995</v>
      </c>
      <c r="C832" s="1509">
        <v>0</v>
      </c>
      <c r="D832" s="1510">
        <v>44488</v>
      </c>
      <c r="E832" s="4344" t="s">
        <v>9156</v>
      </c>
      <c r="F832" s="2497" t="s">
        <v>9005</v>
      </c>
      <c r="G832" s="5387">
        <v>1.0956269999999999</v>
      </c>
      <c r="H832" s="1513" t="s">
        <v>9339</v>
      </c>
      <c r="I832" s="1514" t="s">
        <v>9340</v>
      </c>
      <c r="J832" s="4345" t="s">
        <v>4306</v>
      </c>
      <c r="K832" s="1516">
        <v>45212</v>
      </c>
      <c r="L832" s="1514" t="s">
        <v>9116</v>
      </c>
      <c r="M832" s="1515" t="s">
        <v>9341</v>
      </c>
      <c r="N832" s="1514" t="s">
        <v>9342</v>
      </c>
      <c r="O832" s="1513" t="s">
        <v>9343</v>
      </c>
      <c r="P832" s="1517"/>
      <c r="Q832" s="6094" t="s">
        <v>9047</v>
      </c>
      <c r="R832" s="1515" t="s">
        <v>129</v>
      </c>
      <c r="S832" s="1518"/>
      <c r="T832" s="1519"/>
      <c r="U832" s="1504"/>
      <c r="V832" s="1520"/>
      <c r="W832" s="1519"/>
      <c r="X832" s="1504"/>
      <c r="Y832" s="1520"/>
      <c r="Z832" s="1519"/>
      <c r="AA832" s="1504"/>
      <c r="AB832" s="1520"/>
      <c r="AC832" s="1519"/>
      <c r="AD832" s="1504"/>
      <c r="AE832" s="1520"/>
      <c r="AF832" s="1519"/>
      <c r="AG832" s="1504"/>
      <c r="AH832" s="1520"/>
      <c r="AI832" s="1503">
        <v>5567</v>
      </c>
      <c r="AJ832" s="1504">
        <v>0</v>
      </c>
      <c r="AK832" s="3919">
        <v>0</v>
      </c>
      <c r="AL832" s="1505">
        <f t="shared" si="244"/>
        <v>5567</v>
      </c>
      <c r="AM832" s="1508" t="s">
        <v>1061</v>
      </c>
      <c r="AN832" s="3401">
        <v>45027</v>
      </c>
      <c r="AO832" s="3402" t="s">
        <v>10994</v>
      </c>
      <c r="AP832" s="2905" t="s">
        <v>10102</v>
      </c>
      <c r="AQ832" s="2906">
        <v>1.1100000000000001</v>
      </c>
      <c r="AR832" s="1506"/>
      <c r="AS832" s="1507"/>
      <c r="AT832" s="1507"/>
      <c r="AU832" s="1507"/>
      <c r="AV832" s="1507"/>
      <c r="AW832" s="3247">
        <f t="shared" si="245"/>
        <v>5640</v>
      </c>
      <c r="AX832" s="3146"/>
      <c r="BA832" s="267"/>
      <c r="BB832" s="267"/>
      <c r="BC832" s="4117">
        <f t="shared" si="246"/>
        <v>0</v>
      </c>
      <c r="BD832" s="4117">
        <f t="shared" si="247"/>
        <v>0</v>
      </c>
      <c r="BE832" s="267"/>
      <c r="BF832" s="4788"/>
      <c r="BG832" s="267"/>
      <c r="BH832" s="267"/>
    </row>
    <row r="833" spans="1:112" ht="89.25">
      <c r="A833" s="5981" t="s">
        <v>11003</v>
      </c>
      <c r="B833" s="1538" t="s">
        <v>11000</v>
      </c>
      <c r="C833" s="1509">
        <v>0</v>
      </c>
      <c r="D833" s="1510">
        <v>44299</v>
      </c>
      <c r="E833" s="4344" t="s">
        <v>8170</v>
      </c>
      <c r="F833" s="1511" t="s">
        <v>7957</v>
      </c>
      <c r="G833" s="2663">
        <v>1.0795220000000001</v>
      </c>
      <c r="H833" s="5140" t="s">
        <v>8708</v>
      </c>
      <c r="I833" s="5051" t="s">
        <v>8709</v>
      </c>
      <c r="J833" s="4345" t="s">
        <v>4306</v>
      </c>
      <c r="K833" s="1516">
        <v>45029</v>
      </c>
      <c r="L833" s="1514" t="s">
        <v>8710</v>
      </c>
      <c r="M833" s="1515" t="s">
        <v>8711</v>
      </c>
      <c r="N833" s="1514" t="s">
        <v>8712</v>
      </c>
      <c r="O833" s="1513" t="s">
        <v>8713</v>
      </c>
      <c r="P833" s="1517"/>
      <c r="Q833" s="6094" t="s">
        <v>5708</v>
      </c>
      <c r="R833" s="1515" t="s">
        <v>5350</v>
      </c>
      <c r="S833" s="1518"/>
      <c r="T833" s="1519"/>
      <c r="U833" s="1504"/>
      <c r="V833" s="1520"/>
      <c r="W833" s="1519"/>
      <c r="X833" s="1504"/>
      <c r="Y833" s="1520"/>
      <c r="Z833" s="1519"/>
      <c r="AA833" s="1504"/>
      <c r="AB833" s="1520"/>
      <c r="AC833" s="1519"/>
      <c r="AD833" s="1504"/>
      <c r="AE833" s="1520"/>
      <c r="AF833" s="1519"/>
      <c r="AG833" s="1504"/>
      <c r="AH833" s="1520"/>
      <c r="AI833" s="1503">
        <v>5484</v>
      </c>
      <c r="AJ833" s="1504">
        <v>0</v>
      </c>
      <c r="AK833" s="3919">
        <v>0</v>
      </c>
      <c r="AL833" s="1505">
        <f t="shared" si="244"/>
        <v>5484</v>
      </c>
      <c r="AM833" s="1508" t="s">
        <v>1061</v>
      </c>
      <c r="AN833" s="3401">
        <v>45027</v>
      </c>
      <c r="AO833" s="3402" t="s">
        <v>10997</v>
      </c>
      <c r="AP833" s="2905" t="s">
        <v>10102</v>
      </c>
      <c r="AQ833" s="2906">
        <v>1.1100000000000001</v>
      </c>
      <c r="AR833" s="1506"/>
      <c r="AS833" s="1507"/>
      <c r="AT833" s="1507"/>
      <c r="AU833" s="1507"/>
      <c r="AV833" s="1507"/>
      <c r="AW833" s="3247">
        <f t="shared" si="245"/>
        <v>5639</v>
      </c>
      <c r="AX833" s="3146"/>
      <c r="BA833" s="285"/>
      <c r="BB833" s="267"/>
      <c r="BC833" s="4117">
        <f t="shared" si="246"/>
        <v>0</v>
      </c>
      <c r="BD833" s="4117">
        <f t="shared" si="247"/>
        <v>0</v>
      </c>
      <c r="BE833" s="267"/>
      <c r="BF833" s="4788"/>
      <c r="BG833" s="267"/>
      <c r="BH833" s="267"/>
    </row>
    <row r="834" spans="1:112" ht="76.5">
      <c r="A834" s="5981" t="s">
        <v>11003</v>
      </c>
      <c r="B834" s="1538" t="s">
        <v>11001</v>
      </c>
      <c r="C834" s="1509">
        <v>0</v>
      </c>
      <c r="D834" s="1510">
        <v>44203</v>
      </c>
      <c r="E834" s="4344" t="s">
        <v>8170</v>
      </c>
      <c r="F834" s="1511" t="s">
        <v>7957</v>
      </c>
      <c r="G834" s="2663">
        <v>1.0795220000000001</v>
      </c>
      <c r="H834" s="1513" t="s">
        <v>8445</v>
      </c>
      <c r="I834" s="5260" t="s">
        <v>5127</v>
      </c>
      <c r="J834" s="4345" t="s">
        <v>4306</v>
      </c>
      <c r="K834" s="1516">
        <v>45663</v>
      </c>
      <c r="L834" s="1514" t="s">
        <v>8446</v>
      </c>
      <c r="M834" s="1515" t="s">
        <v>8447</v>
      </c>
      <c r="N834" s="1514" t="s">
        <v>8448</v>
      </c>
      <c r="O834" s="1513" t="s">
        <v>8449</v>
      </c>
      <c r="P834" s="1517"/>
      <c r="Q834" s="1515" t="s">
        <v>8451</v>
      </c>
      <c r="R834" s="1515" t="s">
        <v>8450</v>
      </c>
      <c r="S834" s="1518"/>
      <c r="T834" s="1519"/>
      <c r="U834" s="1504"/>
      <c r="V834" s="1520"/>
      <c r="W834" s="1519"/>
      <c r="X834" s="1504"/>
      <c r="Y834" s="1520"/>
      <c r="Z834" s="1519"/>
      <c r="AA834" s="1504"/>
      <c r="AB834" s="1520"/>
      <c r="AC834" s="1519"/>
      <c r="AD834" s="1504"/>
      <c r="AE834" s="1520"/>
      <c r="AF834" s="1519"/>
      <c r="AG834" s="1504"/>
      <c r="AH834" s="1520"/>
      <c r="AI834" s="1503">
        <v>2457</v>
      </c>
      <c r="AJ834" s="1504">
        <v>0</v>
      </c>
      <c r="AK834" s="3919">
        <v>0</v>
      </c>
      <c r="AL834" s="1505">
        <f t="shared" si="244"/>
        <v>2457</v>
      </c>
      <c r="AM834" s="1508" t="s">
        <v>1061</v>
      </c>
      <c r="AN834" s="3401">
        <v>45028</v>
      </c>
      <c r="AO834" s="3402" t="s">
        <v>10998</v>
      </c>
      <c r="AP834" s="2905" t="s">
        <v>10102</v>
      </c>
      <c r="AQ834" s="2906">
        <v>1.1100000000000001</v>
      </c>
      <c r="AR834" s="1506"/>
      <c r="AS834" s="1507"/>
      <c r="AT834" s="1507"/>
      <c r="AU834" s="1507"/>
      <c r="AV834" s="1507"/>
      <c r="AW834" s="3247">
        <f t="shared" si="245"/>
        <v>2526</v>
      </c>
      <c r="AX834" s="3146"/>
      <c r="BB834" s="285"/>
      <c r="BC834" s="4117">
        <f t="shared" si="246"/>
        <v>0</v>
      </c>
      <c r="BD834" s="4117">
        <f t="shared" si="247"/>
        <v>0</v>
      </c>
      <c r="BE834" s="267"/>
      <c r="BF834" s="4788"/>
      <c r="BG834" s="267"/>
      <c r="BH834" s="267"/>
      <c r="BJ834" s="286"/>
      <c r="BN834" s="309"/>
      <c r="BO834" s="289"/>
      <c r="BR834" s="320"/>
      <c r="BS834" s="283"/>
      <c r="BT834" s="284"/>
      <c r="BU834" s="281"/>
      <c r="BV834" s="283"/>
      <c r="BW834" s="284"/>
      <c r="BX834" s="281"/>
      <c r="BY834" s="283"/>
      <c r="BZ834" s="284"/>
      <c r="CA834" s="281"/>
      <c r="CB834" s="283"/>
      <c r="CC834" s="284"/>
      <c r="CD834" s="281"/>
      <c r="CE834" s="283"/>
      <c r="CF834" s="284"/>
      <c r="CG834" s="282"/>
      <c r="CH834" s="283"/>
      <c r="CI834" s="284"/>
      <c r="CJ834" s="284"/>
      <c r="CK834" s="312"/>
      <c r="CL834" s="305"/>
      <c r="CM834" s="303"/>
      <c r="CN834" s="291"/>
      <c r="CO834" s="292"/>
      <c r="CP834" s="299"/>
      <c r="CQ834" s="293"/>
      <c r="CR834" s="294"/>
      <c r="CS834" s="294"/>
      <c r="CT834" s="294"/>
      <c r="CU834" s="294"/>
      <c r="CV834" s="2885"/>
      <c r="CW834" s="2894"/>
      <c r="CZ834" s="290"/>
      <c r="DA834" s="290"/>
      <c r="DC834" s="4117"/>
      <c r="DD834" s="4111"/>
      <c r="DE834" s="4522"/>
      <c r="DF834" s="4514"/>
      <c r="DG834" s="4514"/>
      <c r="DH834" s="4524"/>
    </row>
    <row r="835" spans="1:112" ht="89.25">
      <c r="A835" s="5981" t="s">
        <v>11003</v>
      </c>
      <c r="B835" s="1538" t="s">
        <v>11002</v>
      </c>
      <c r="C835" s="1509">
        <v>0</v>
      </c>
      <c r="D835" s="1510">
        <v>44804</v>
      </c>
      <c r="E835" s="4344" t="s">
        <v>10324</v>
      </c>
      <c r="F835" s="2497" t="s">
        <v>10101</v>
      </c>
      <c r="G835" s="5387">
        <v>1.1100000000000001</v>
      </c>
      <c r="H835" s="1513" t="s">
        <v>10356</v>
      </c>
      <c r="I835" s="1514" t="s">
        <v>10318</v>
      </c>
      <c r="J835" s="4345" t="s">
        <v>4306</v>
      </c>
      <c r="K835" s="1516">
        <v>45535</v>
      </c>
      <c r="L835" s="1514" t="s">
        <v>10315</v>
      </c>
      <c r="M835" s="1515" t="s">
        <v>10316</v>
      </c>
      <c r="N835" s="1514" t="s">
        <v>10317</v>
      </c>
      <c r="O835" s="1515" t="s">
        <v>10316</v>
      </c>
      <c r="P835" s="1517"/>
      <c r="Q835" s="6094" t="s">
        <v>9071</v>
      </c>
      <c r="R835" s="1515" t="s">
        <v>536</v>
      </c>
      <c r="S835" s="1518"/>
      <c r="T835" s="1519"/>
      <c r="U835" s="1504"/>
      <c r="V835" s="1520"/>
      <c r="W835" s="1519"/>
      <c r="X835" s="1504"/>
      <c r="Y835" s="1520"/>
      <c r="Z835" s="1519"/>
      <c r="AA835" s="1504"/>
      <c r="AB835" s="1520"/>
      <c r="AC835" s="1519"/>
      <c r="AD835" s="1504"/>
      <c r="AE835" s="1520"/>
      <c r="AF835" s="1519"/>
      <c r="AG835" s="1504"/>
      <c r="AH835" s="1520"/>
      <c r="AI835" s="1503">
        <v>5639</v>
      </c>
      <c r="AJ835" s="1504">
        <v>0</v>
      </c>
      <c r="AK835" s="3919">
        <v>0</v>
      </c>
      <c r="AL835" s="1505">
        <f t="shared" si="244"/>
        <v>5639</v>
      </c>
      <c r="AM835" s="1508" t="s">
        <v>1061</v>
      </c>
      <c r="AN835" s="3401">
        <v>45028</v>
      </c>
      <c r="AO835" s="3402" t="s">
        <v>10999</v>
      </c>
      <c r="AP835" s="2905" t="s">
        <v>10102</v>
      </c>
      <c r="AQ835" s="2906">
        <v>1.1100000000000001</v>
      </c>
      <c r="AR835" s="1506"/>
      <c r="AS835" s="1507"/>
      <c r="AT835" s="1507"/>
      <c r="AU835" s="1507"/>
      <c r="AV835" s="1507"/>
      <c r="AW835" s="3247">
        <f t="shared" si="245"/>
        <v>5639</v>
      </c>
      <c r="AX835" s="3146"/>
      <c r="BB835" s="267"/>
      <c r="BC835" s="4117">
        <f t="shared" si="246"/>
        <v>0</v>
      </c>
      <c r="BD835" s="4117">
        <f t="shared" si="247"/>
        <v>0</v>
      </c>
      <c r="BE835" s="267"/>
      <c r="BF835" s="4788"/>
      <c r="BG835" s="267"/>
      <c r="BH835" s="267"/>
    </row>
    <row r="836" spans="1:112" ht="89.25">
      <c r="A836" s="5981" t="s">
        <v>11003</v>
      </c>
      <c r="B836" s="1538" t="s">
        <v>11020</v>
      </c>
      <c r="C836" s="1509">
        <v>0</v>
      </c>
      <c r="D836" s="1510">
        <v>44279</v>
      </c>
      <c r="E836" s="4344" t="s">
        <v>8170</v>
      </c>
      <c r="F836" s="1511" t="s">
        <v>7957</v>
      </c>
      <c r="G836" s="2663">
        <v>1.0795220000000001</v>
      </c>
      <c r="H836" s="5140" t="s">
        <v>8622</v>
      </c>
      <c r="I836" s="5051" t="s">
        <v>8623</v>
      </c>
      <c r="J836" s="4345" t="s">
        <v>4306</v>
      </c>
      <c r="K836" s="1516">
        <v>45009</v>
      </c>
      <c r="L836" s="1514" t="s">
        <v>8624</v>
      </c>
      <c r="M836" s="1515" t="s">
        <v>8625</v>
      </c>
      <c r="N836" s="1514" t="s">
        <v>8626</v>
      </c>
      <c r="O836" s="1513" t="s">
        <v>8627</v>
      </c>
      <c r="P836" s="1517"/>
      <c r="Q836" s="6094" t="s">
        <v>5708</v>
      </c>
      <c r="R836" s="1515" t="s">
        <v>5350</v>
      </c>
      <c r="S836" s="1518"/>
      <c r="T836" s="1519"/>
      <c r="U836" s="1504"/>
      <c r="V836" s="1520"/>
      <c r="W836" s="1519"/>
      <c r="X836" s="1504"/>
      <c r="Y836" s="1520"/>
      <c r="Z836" s="1519"/>
      <c r="AA836" s="1504"/>
      <c r="AB836" s="1520"/>
      <c r="AC836" s="1519"/>
      <c r="AD836" s="1504"/>
      <c r="AE836" s="1520"/>
      <c r="AF836" s="1519"/>
      <c r="AG836" s="1504"/>
      <c r="AH836" s="1520"/>
      <c r="AI836" s="1503">
        <v>6437</v>
      </c>
      <c r="AJ836" s="1504">
        <v>0</v>
      </c>
      <c r="AK836" s="3919">
        <v>0</v>
      </c>
      <c r="AL836" s="1505">
        <f t="shared" ref="AL836:AL841" si="248">AI836-AJ836-AK836</f>
        <v>6437</v>
      </c>
      <c r="AM836" s="1508" t="s">
        <v>1061</v>
      </c>
      <c r="AN836" s="3401">
        <v>45029</v>
      </c>
      <c r="AO836" s="3402" t="s">
        <v>10988</v>
      </c>
      <c r="AP836" s="2905" t="s">
        <v>10102</v>
      </c>
      <c r="AQ836" s="2906">
        <v>1.1100000000000001</v>
      </c>
      <c r="AR836" s="1506"/>
      <c r="AS836" s="1507"/>
      <c r="AT836" s="1507"/>
      <c r="AU836" s="1507"/>
      <c r="AV836" s="1507"/>
      <c r="AW836" s="3247">
        <f>ROUND(AL836*AQ836/G836,0)</f>
        <v>6619</v>
      </c>
      <c r="AX836" s="3146"/>
      <c r="BA836" s="267"/>
      <c r="BB836" s="267"/>
      <c r="BC836" s="4117">
        <f t="shared" si="246"/>
        <v>0</v>
      </c>
      <c r="BD836" s="4117">
        <f t="shared" si="247"/>
        <v>0</v>
      </c>
      <c r="BE836" s="267"/>
      <c r="BF836" s="4788"/>
      <c r="BG836" s="267"/>
      <c r="BH836" s="267"/>
    </row>
    <row r="837" spans="1:112" ht="51" customHeight="1">
      <c r="A837" s="5981" t="s">
        <v>11006</v>
      </c>
      <c r="B837" s="1538" t="s">
        <v>11012</v>
      </c>
      <c r="C837" s="1509">
        <v>0</v>
      </c>
      <c r="D837" s="1510">
        <v>44936</v>
      </c>
      <c r="E837" s="4344" t="s">
        <v>10324</v>
      </c>
      <c r="F837" s="2497" t="s">
        <v>10101</v>
      </c>
      <c r="G837" s="5387">
        <v>1.1100000000000001</v>
      </c>
      <c r="H837" s="1513" t="s">
        <v>10745</v>
      </c>
      <c r="I837" s="1514" t="s">
        <v>1433</v>
      </c>
      <c r="J837" s="1515" t="s">
        <v>1434</v>
      </c>
      <c r="K837" s="1516">
        <v>46762</v>
      </c>
      <c r="L837" s="1514" t="s">
        <v>10746</v>
      </c>
      <c r="M837" s="1515" t="s">
        <v>9803</v>
      </c>
      <c r="N837" s="1514" t="s">
        <v>10747</v>
      </c>
      <c r="O837" s="1513" t="s">
        <v>10748</v>
      </c>
      <c r="P837" s="1517"/>
      <c r="Q837" s="1515" t="s">
        <v>10749</v>
      </c>
      <c r="R837" s="1515" t="s">
        <v>10750</v>
      </c>
      <c r="S837" s="1518"/>
      <c r="T837" s="1519"/>
      <c r="U837" s="1504"/>
      <c r="V837" s="1520"/>
      <c r="W837" s="1519"/>
      <c r="X837" s="1504"/>
      <c r="Y837" s="1520"/>
      <c r="Z837" s="1519"/>
      <c r="AA837" s="1504"/>
      <c r="AB837" s="1520"/>
      <c r="AC837" s="1519"/>
      <c r="AD837" s="1504"/>
      <c r="AE837" s="1520"/>
      <c r="AF837" s="1519"/>
      <c r="AG837" s="1504"/>
      <c r="AH837" s="1520"/>
      <c r="AI837" s="1503">
        <v>18648</v>
      </c>
      <c r="AJ837" s="1504">
        <v>0</v>
      </c>
      <c r="AK837" s="3919">
        <v>0</v>
      </c>
      <c r="AL837" s="1505">
        <f t="shared" si="248"/>
        <v>18648</v>
      </c>
      <c r="AM837" s="1508" t="s">
        <v>1061</v>
      </c>
      <c r="AN837" s="3401">
        <v>45033</v>
      </c>
      <c r="AO837" s="3402" t="s">
        <v>11042</v>
      </c>
      <c r="AP837" s="2905" t="s">
        <v>10102</v>
      </c>
      <c r="AQ837" s="2906">
        <v>1.1100000000000001</v>
      </c>
      <c r="AR837" s="1506"/>
      <c r="AS837" s="1507"/>
      <c r="AT837" s="1507"/>
      <c r="AU837" s="1507"/>
      <c r="AV837" s="1507"/>
      <c r="AW837" s="3247">
        <f>ROUND(AL837*AQ837/G837,0)</f>
        <v>18648</v>
      </c>
      <c r="AX837" s="3146"/>
      <c r="BB837" s="267"/>
      <c r="BC837" s="4117">
        <f t="shared" si="246"/>
        <v>0</v>
      </c>
      <c r="BD837" s="4117">
        <f t="shared" si="247"/>
        <v>0</v>
      </c>
      <c r="BE837" s="267"/>
      <c r="BF837" s="4788"/>
      <c r="BG837" s="267"/>
      <c r="BH837" s="267"/>
    </row>
    <row r="838" spans="1:112" ht="76.5">
      <c r="A838" s="5981" t="s">
        <v>11004</v>
      </c>
      <c r="B838" s="1538" t="s">
        <v>11210</v>
      </c>
      <c r="C838" s="1509">
        <v>0</v>
      </c>
      <c r="D838" s="1510">
        <v>43766</v>
      </c>
      <c r="E838" s="2300" t="s">
        <v>7151</v>
      </c>
      <c r="F838" s="2497" t="s">
        <v>6893</v>
      </c>
      <c r="G838" s="3110">
        <v>1.047839</v>
      </c>
      <c r="H838" s="1513" t="s">
        <v>7253</v>
      </c>
      <c r="I838" s="1514" t="s">
        <v>7256</v>
      </c>
      <c r="J838" s="1515" t="s">
        <v>4306</v>
      </c>
      <c r="K838" s="1516">
        <v>44497</v>
      </c>
      <c r="L838" s="1514" t="s">
        <v>7257</v>
      </c>
      <c r="M838" s="1515" t="s">
        <v>7258</v>
      </c>
      <c r="N838" s="1514" t="s">
        <v>7254</v>
      </c>
      <c r="O838" s="1513" t="s">
        <v>7255</v>
      </c>
      <c r="P838" s="1517"/>
      <c r="Q838" s="6094" t="s">
        <v>5708</v>
      </c>
      <c r="R838" s="1515" t="s">
        <v>10885</v>
      </c>
      <c r="S838" s="1518"/>
      <c r="T838" s="1519"/>
      <c r="U838" s="1504"/>
      <c r="V838" s="1520"/>
      <c r="W838" s="1519"/>
      <c r="X838" s="1504"/>
      <c r="Y838" s="1520"/>
      <c r="Z838" s="1519"/>
      <c r="AA838" s="1504"/>
      <c r="AB838" s="1520"/>
      <c r="AC838" s="1519"/>
      <c r="AD838" s="1504"/>
      <c r="AE838" s="1520"/>
      <c r="AF838" s="1519"/>
      <c r="AG838" s="1504"/>
      <c r="AH838" s="1520"/>
      <c r="AI838" s="1503">
        <v>6249</v>
      </c>
      <c r="AJ838" s="1504">
        <v>0</v>
      </c>
      <c r="AK838" s="3919">
        <v>0</v>
      </c>
      <c r="AL838" s="1505">
        <f t="shared" si="248"/>
        <v>6249</v>
      </c>
      <c r="AM838" s="3586" t="s">
        <v>5540</v>
      </c>
      <c r="AN838" s="3587">
        <v>45037</v>
      </c>
      <c r="AO838" s="3588" t="s">
        <v>11214</v>
      </c>
      <c r="AP838" s="3539" t="s">
        <v>11208</v>
      </c>
      <c r="AQ838" s="2906">
        <v>1.1100000000000001</v>
      </c>
      <c r="AR838" s="1506"/>
      <c r="AS838" s="1507"/>
      <c r="AT838" s="1507"/>
      <c r="AU838" s="1507"/>
      <c r="AV838" s="1507"/>
      <c r="AW838" s="3247">
        <v>7981</v>
      </c>
      <c r="AX838" s="3146"/>
      <c r="BA838" s="267"/>
      <c r="BB838" s="267"/>
      <c r="BC838" s="4117">
        <f t="shared" si="246"/>
        <v>0</v>
      </c>
      <c r="BD838" s="4117">
        <f t="shared" si="247"/>
        <v>0</v>
      </c>
      <c r="BE838" s="267"/>
      <c r="BF838" s="4788"/>
      <c r="BG838" s="267"/>
      <c r="BH838" s="267"/>
    </row>
    <row r="839" spans="1:112" ht="89.25">
      <c r="A839" s="5981" t="s">
        <v>11006</v>
      </c>
      <c r="B839" s="1538" t="s">
        <v>11209</v>
      </c>
      <c r="C839" s="1509">
        <v>0</v>
      </c>
      <c r="D839" s="1510">
        <v>44279</v>
      </c>
      <c r="E839" s="4344" t="s">
        <v>8170</v>
      </c>
      <c r="F839" s="1511" t="s">
        <v>7957</v>
      </c>
      <c r="G839" s="2663">
        <v>1.0795220000000001</v>
      </c>
      <c r="H839" s="5140" t="s">
        <v>8707</v>
      </c>
      <c r="I839" s="5051" t="s">
        <v>8628</v>
      </c>
      <c r="J839" s="4345" t="s">
        <v>4306</v>
      </c>
      <c r="K839" s="1516">
        <v>45009</v>
      </c>
      <c r="L839" s="1514" t="s">
        <v>8629</v>
      </c>
      <c r="M839" s="1515" t="s">
        <v>8630</v>
      </c>
      <c r="N839" s="1514" t="s">
        <v>8631</v>
      </c>
      <c r="O839" s="1513" t="s">
        <v>8632</v>
      </c>
      <c r="P839" s="1517"/>
      <c r="Q839" s="6094" t="s">
        <v>5708</v>
      </c>
      <c r="R839" s="1515" t="s">
        <v>5350</v>
      </c>
      <c r="S839" s="1518"/>
      <c r="T839" s="1519"/>
      <c r="U839" s="1504"/>
      <c r="V839" s="1520"/>
      <c r="W839" s="1519"/>
      <c r="X839" s="1504"/>
      <c r="Y839" s="1520"/>
      <c r="Z839" s="1519"/>
      <c r="AA839" s="1504"/>
      <c r="AB839" s="1520"/>
      <c r="AC839" s="1519"/>
      <c r="AD839" s="1504"/>
      <c r="AE839" s="1520"/>
      <c r="AF839" s="1519"/>
      <c r="AG839" s="1504"/>
      <c r="AH839" s="1520"/>
      <c r="AI839" s="1503">
        <v>5484</v>
      </c>
      <c r="AJ839" s="1504">
        <v>0</v>
      </c>
      <c r="AK839" s="3919">
        <v>0</v>
      </c>
      <c r="AL839" s="1505">
        <f t="shared" si="248"/>
        <v>5484</v>
      </c>
      <c r="AM839" s="3586" t="s">
        <v>5540</v>
      </c>
      <c r="AN839" s="3587">
        <v>45037</v>
      </c>
      <c r="AO839" s="3588" t="s">
        <v>11215</v>
      </c>
      <c r="AP839" s="3539" t="s">
        <v>11212</v>
      </c>
      <c r="AQ839" s="2906">
        <v>1.1100000000000001</v>
      </c>
      <c r="AR839" s="1506"/>
      <c r="AS839" s="1507"/>
      <c r="AT839" s="1507"/>
      <c r="AU839" s="1507"/>
      <c r="AV839" s="1507"/>
      <c r="AW839" s="3247">
        <v>6150</v>
      </c>
      <c r="AX839" s="3146"/>
      <c r="BA839" s="267"/>
      <c r="BB839" s="267"/>
      <c r="BC839" s="4117">
        <f t="shared" si="246"/>
        <v>0</v>
      </c>
      <c r="BD839" s="4117">
        <f t="shared" si="247"/>
        <v>0</v>
      </c>
      <c r="BE839" s="267"/>
      <c r="BF839" s="4788"/>
      <c r="BG839" s="267"/>
      <c r="BH839" s="267"/>
    </row>
    <row r="840" spans="1:112" ht="89.25">
      <c r="A840" s="5981" t="s">
        <v>11006</v>
      </c>
      <c r="B840" s="1538" t="s">
        <v>11211</v>
      </c>
      <c r="C840" s="1509">
        <v>0</v>
      </c>
      <c r="D840" s="1510">
        <v>44644</v>
      </c>
      <c r="E840" s="4344" t="s">
        <v>9156</v>
      </c>
      <c r="F840" s="2497" t="s">
        <v>9005</v>
      </c>
      <c r="G840" s="5387">
        <v>1.0956269999999999</v>
      </c>
      <c r="H840" s="1513" t="s">
        <v>9761</v>
      </c>
      <c r="I840" s="1514" t="s">
        <v>9763</v>
      </c>
      <c r="J840" s="4345" t="s">
        <v>4306</v>
      </c>
      <c r="K840" s="1516">
        <v>45375</v>
      </c>
      <c r="L840" s="1514" t="s">
        <v>9764</v>
      </c>
      <c r="M840" s="1515" t="s">
        <v>9765</v>
      </c>
      <c r="N840" s="1514" t="s">
        <v>9766</v>
      </c>
      <c r="O840" s="1513" t="s">
        <v>9765</v>
      </c>
      <c r="P840" s="1517"/>
      <c r="Q840" s="6094" t="s">
        <v>9047</v>
      </c>
      <c r="R840" s="1515" t="s">
        <v>945</v>
      </c>
      <c r="S840" s="1518"/>
      <c r="T840" s="1519"/>
      <c r="U840" s="1504"/>
      <c r="V840" s="1520"/>
      <c r="W840" s="1519"/>
      <c r="X840" s="1504"/>
      <c r="Y840" s="1520"/>
      <c r="Z840" s="1519"/>
      <c r="AA840" s="1504"/>
      <c r="AB840" s="1520"/>
      <c r="AC840" s="1519"/>
      <c r="AD840" s="1504"/>
      <c r="AE840" s="1520"/>
      <c r="AF840" s="1519"/>
      <c r="AG840" s="1504"/>
      <c r="AH840" s="1520"/>
      <c r="AI840" s="1503">
        <v>6534</v>
      </c>
      <c r="AJ840" s="1504">
        <v>0</v>
      </c>
      <c r="AK840" s="3919">
        <v>0</v>
      </c>
      <c r="AL840" s="1505">
        <f t="shared" si="248"/>
        <v>6534</v>
      </c>
      <c r="AM840" s="3586" t="s">
        <v>5540</v>
      </c>
      <c r="AN840" s="3587">
        <v>45037</v>
      </c>
      <c r="AO840" s="3588" t="s">
        <v>11216</v>
      </c>
      <c r="AP840" s="3539" t="s">
        <v>11213</v>
      </c>
      <c r="AQ840" s="2906">
        <v>1.1100000000000001</v>
      </c>
      <c r="AR840" s="1506"/>
      <c r="AS840" s="1507"/>
      <c r="AT840" s="1507"/>
      <c r="AU840" s="1507"/>
      <c r="AV840" s="1507"/>
      <c r="AW840" s="3247">
        <v>6815</v>
      </c>
      <c r="AX840" s="3146"/>
      <c r="BA840" s="267"/>
      <c r="BB840" s="267"/>
      <c r="BC840" s="4117">
        <f t="shared" si="246"/>
        <v>0</v>
      </c>
      <c r="BD840" s="4117">
        <f t="shared" si="247"/>
        <v>0</v>
      </c>
      <c r="BE840" s="267"/>
      <c r="BF840" s="4788"/>
      <c r="BG840" s="267"/>
      <c r="BH840" s="267"/>
    </row>
    <row r="841" spans="1:112" ht="89.25">
      <c r="A841" s="5981" t="s">
        <v>11030</v>
      </c>
      <c r="B841" s="1538" t="s">
        <v>10549</v>
      </c>
      <c r="C841" s="1509">
        <v>0</v>
      </c>
      <c r="D841" s="1510">
        <v>45036</v>
      </c>
      <c r="E841" s="4344" t="s">
        <v>10324</v>
      </c>
      <c r="F841" s="2497" t="s">
        <v>10101</v>
      </c>
      <c r="G841" s="5387">
        <v>1.1100000000000001</v>
      </c>
      <c r="H841" s="1513" t="s">
        <v>11066</v>
      </c>
      <c r="I841" s="1514" t="s">
        <v>11068</v>
      </c>
      <c r="J841" s="4345" t="s">
        <v>4306</v>
      </c>
      <c r="K841" s="1516">
        <v>45036</v>
      </c>
      <c r="L841" s="1514" t="s">
        <v>11069</v>
      </c>
      <c r="M841" s="6092" t="s">
        <v>11071</v>
      </c>
      <c r="N841" s="1514" t="s">
        <v>11072</v>
      </c>
      <c r="O841" s="1515" t="s">
        <v>11070</v>
      </c>
      <c r="P841" s="1517"/>
      <c r="Q841" s="6094" t="s">
        <v>9071</v>
      </c>
      <c r="R841" s="1515" t="s">
        <v>536</v>
      </c>
      <c r="S841" s="1518"/>
      <c r="T841" s="1519"/>
      <c r="U841" s="1504"/>
      <c r="V841" s="1520"/>
      <c r="W841" s="1519"/>
      <c r="X841" s="1504"/>
      <c r="Y841" s="1520"/>
      <c r="Z841" s="1519"/>
      <c r="AA841" s="1504"/>
      <c r="AB841" s="1520"/>
      <c r="AC841" s="1519"/>
      <c r="AD841" s="1504"/>
      <c r="AE841" s="1520"/>
      <c r="AF841" s="1519"/>
      <c r="AG841" s="1504"/>
      <c r="AH841" s="1520"/>
      <c r="AI841" s="1503">
        <v>5639</v>
      </c>
      <c r="AJ841" s="1504">
        <v>0</v>
      </c>
      <c r="AK841" s="3919">
        <v>0</v>
      </c>
      <c r="AL841" s="1505">
        <f t="shared" si="248"/>
        <v>5639</v>
      </c>
      <c r="AM841" s="1508" t="s">
        <v>1061</v>
      </c>
      <c r="AN841" s="3401">
        <v>45042</v>
      </c>
      <c r="AO841" s="3402" t="s">
        <v>11257</v>
      </c>
      <c r="AP841" s="2905" t="s">
        <v>10102</v>
      </c>
      <c r="AQ841" s="2906">
        <v>1.1100000000000001</v>
      </c>
      <c r="AR841" s="1506"/>
      <c r="AS841" s="1507"/>
      <c r="AT841" s="1507"/>
      <c r="AU841" s="1507"/>
      <c r="AV841" s="1507"/>
      <c r="AW841" s="3247">
        <f>ROUND(AL841*AQ841/G841,0)</f>
        <v>5639</v>
      </c>
      <c r="AX841" s="3146"/>
      <c r="BA841" s="267"/>
      <c r="BB841" s="267"/>
      <c r="BC841" s="4117">
        <f t="shared" si="246"/>
        <v>0</v>
      </c>
      <c r="BD841" s="4117">
        <f t="shared" si="247"/>
        <v>0</v>
      </c>
      <c r="BE841" s="267"/>
      <c r="BF841" s="4788"/>
      <c r="BG841" s="267"/>
      <c r="BH841" s="267"/>
    </row>
    <row r="842" spans="1:112" ht="154.5" thickBot="1">
      <c r="A842" s="6119" t="s">
        <v>11030</v>
      </c>
      <c r="B842" s="5573" t="s">
        <v>10740</v>
      </c>
      <c r="C842" s="6120">
        <v>0</v>
      </c>
      <c r="D842" s="6121">
        <v>44637</v>
      </c>
      <c r="E842" s="6122" t="s">
        <v>9156</v>
      </c>
      <c r="F842" s="3835" t="s">
        <v>9005</v>
      </c>
      <c r="G842" s="5775">
        <v>1.0956269999999999</v>
      </c>
      <c r="H842" s="6123" t="s">
        <v>10743</v>
      </c>
      <c r="I842" s="5580" t="s">
        <v>9731</v>
      </c>
      <c r="J842" s="6124" t="s">
        <v>4306</v>
      </c>
      <c r="K842" s="6125">
        <v>45360</v>
      </c>
      <c r="L842" s="5580" t="s">
        <v>9732</v>
      </c>
      <c r="M842" s="6124" t="s">
        <v>9733</v>
      </c>
      <c r="N842" s="5580" t="s">
        <v>9735</v>
      </c>
      <c r="O842" s="6123" t="s">
        <v>9734</v>
      </c>
      <c r="P842" s="5737" t="s">
        <v>10902</v>
      </c>
      <c r="Q842" s="6124" t="s">
        <v>9737</v>
      </c>
      <c r="R842" s="6124" t="s">
        <v>129</v>
      </c>
      <c r="S842" s="6126"/>
      <c r="T842" s="5585"/>
      <c r="U842" s="6127"/>
      <c r="V842" s="6128"/>
      <c r="W842" s="5585"/>
      <c r="X842" s="6127"/>
      <c r="Y842" s="6128"/>
      <c r="Z842" s="5585"/>
      <c r="AA842" s="6127"/>
      <c r="AB842" s="6128"/>
      <c r="AC842" s="5585"/>
      <c r="AD842" s="6127"/>
      <c r="AE842" s="6128"/>
      <c r="AF842" s="5585"/>
      <c r="AG842" s="6127"/>
      <c r="AH842" s="6128"/>
      <c r="AI842" s="5588">
        <f>(ROUNDUP(26345*1.05,0))-6916</f>
        <v>20747</v>
      </c>
      <c r="AJ842" s="6127">
        <v>0</v>
      </c>
      <c r="AK842" s="6129">
        <v>0</v>
      </c>
      <c r="AL842" s="6130">
        <f t="shared" ref="AL842:AL846" si="249">AI842-AJ842-AK842</f>
        <v>20747</v>
      </c>
      <c r="AM842" s="5743" t="s">
        <v>11258</v>
      </c>
      <c r="AN842" s="6131">
        <v>45043</v>
      </c>
      <c r="AO842" s="6132">
        <v>3457.88</v>
      </c>
      <c r="AP842" s="4718" t="s">
        <v>9004</v>
      </c>
      <c r="AQ842" s="4719">
        <v>1.0956269999999999</v>
      </c>
      <c r="AR842" s="5596"/>
      <c r="AS842" s="6133"/>
      <c r="AT842" s="6133"/>
      <c r="AU842" s="6133"/>
      <c r="AV842" s="6133"/>
      <c r="AW842" s="6134">
        <f>ROUND(AL842*AQ842/G842,0)-1728.89-1728.89-1728.89-1728.89-1728.89-1728.89-1728.89-1728.89-3458</f>
        <v>3457.8800000000037</v>
      </c>
      <c r="AX842" s="5599"/>
      <c r="AY842" s="4029" t="s">
        <v>10987</v>
      </c>
      <c r="AZ842" s="3888">
        <f>SUM(AW828:AW842)</f>
        <v>96610.880000000005</v>
      </c>
      <c r="BA842" s="2119">
        <f>AZ842</f>
        <v>96610.880000000005</v>
      </c>
      <c r="BB842" s="267"/>
      <c r="BC842" s="4117">
        <f t="shared" si="246"/>
        <v>0</v>
      </c>
      <c r="BD842" s="4117">
        <f t="shared" si="247"/>
        <v>0</v>
      </c>
      <c r="BE842" s="267"/>
      <c r="BF842" s="4788"/>
      <c r="BG842" s="267"/>
      <c r="BH842" s="267"/>
    </row>
    <row r="843" spans="1:112" ht="123.75">
      <c r="A843" s="2418" t="s">
        <v>11030</v>
      </c>
      <c r="B843" s="338" t="s">
        <v>10550</v>
      </c>
      <c r="C843" s="321">
        <v>0</v>
      </c>
      <c r="D843" s="323">
        <v>45050</v>
      </c>
      <c r="E843" s="3058" t="s">
        <v>10324</v>
      </c>
      <c r="F843" s="830" t="s">
        <v>10101</v>
      </c>
      <c r="G843" s="5356">
        <v>1.1100000000000001</v>
      </c>
      <c r="H843" s="332" t="s">
        <v>11280</v>
      </c>
      <c r="I843" s="339" t="s">
        <v>11273</v>
      </c>
      <c r="J843" s="2399" t="s">
        <v>4306</v>
      </c>
      <c r="K843" s="340">
        <v>45036</v>
      </c>
      <c r="L843" s="339" t="s">
        <v>11274</v>
      </c>
      <c r="M843" s="322" t="s">
        <v>11275</v>
      </c>
      <c r="N843" s="339" t="s">
        <v>11277</v>
      </c>
      <c r="O843" s="332" t="s">
        <v>11276</v>
      </c>
      <c r="P843" s="3315" t="s">
        <v>11278</v>
      </c>
      <c r="Q843" s="322" t="s">
        <v>11322</v>
      </c>
      <c r="R843" s="322" t="s">
        <v>11279</v>
      </c>
      <c r="S843" s="346"/>
      <c r="T843" s="347"/>
      <c r="U843" s="326"/>
      <c r="V843" s="348"/>
      <c r="W843" s="347"/>
      <c r="X843" s="326"/>
      <c r="Y843" s="348"/>
      <c r="Z843" s="347"/>
      <c r="AA843" s="326"/>
      <c r="AB843" s="348"/>
      <c r="AC843" s="347"/>
      <c r="AD843" s="326"/>
      <c r="AE843" s="348"/>
      <c r="AF843" s="347"/>
      <c r="AG843" s="326"/>
      <c r="AH843" s="348"/>
      <c r="AI843" s="482">
        <v>15888</v>
      </c>
      <c r="AJ843" s="326">
        <v>0</v>
      </c>
      <c r="AK843" s="3917">
        <v>0</v>
      </c>
      <c r="AL843" s="349">
        <f t="shared" si="249"/>
        <v>15888</v>
      </c>
      <c r="AM843" s="2002" t="s">
        <v>1061</v>
      </c>
      <c r="AN843" s="3357">
        <v>45068</v>
      </c>
      <c r="AO843" s="695" t="s">
        <v>11303</v>
      </c>
      <c r="AP843" s="3362" t="s">
        <v>10102</v>
      </c>
      <c r="AQ843" s="3555">
        <v>1.1100000000000001</v>
      </c>
      <c r="AR843" s="333"/>
      <c r="AS843" s="330"/>
      <c r="AT843" s="330"/>
      <c r="AU843" s="330"/>
      <c r="AV843" s="330"/>
      <c r="AW843" s="3156">
        <f t="shared" ref="AW843:AW848" si="250">ROUND(AL843*AQ843/G843,0)</f>
        <v>15888</v>
      </c>
      <c r="AX843" s="3140"/>
      <c r="BA843" s="267"/>
      <c r="BB843" s="267"/>
      <c r="BC843" s="4117">
        <f t="shared" si="246"/>
        <v>0</v>
      </c>
      <c r="BD843" s="4117">
        <f t="shared" si="247"/>
        <v>0</v>
      </c>
      <c r="BE843" s="267"/>
      <c r="BF843" s="4788"/>
      <c r="BG843" s="267"/>
      <c r="BH843" s="267"/>
    </row>
    <row r="844" spans="1:112" ht="76.5">
      <c r="A844" s="2418" t="s">
        <v>10984</v>
      </c>
      <c r="B844" s="338" t="s">
        <v>11321</v>
      </c>
      <c r="C844" s="321">
        <v>0</v>
      </c>
      <c r="D844" s="323">
        <v>45065</v>
      </c>
      <c r="E844" s="3058" t="s">
        <v>10324</v>
      </c>
      <c r="F844" s="830" t="s">
        <v>10101</v>
      </c>
      <c r="G844" s="5356">
        <v>1.1100000000000001</v>
      </c>
      <c r="H844" s="332" t="s">
        <v>11299</v>
      </c>
      <c r="I844" s="339" t="s">
        <v>1433</v>
      </c>
      <c r="J844" s="322" t="s">
        <v>1434</v>
      </c>
      <c r="K844" s="340">
        <v>47250</v>
      </c>
      <c r="L844" s="339" t="s">
        <v>11301</v>
      </c>
      <c r="M844" s="322" t="s">
        <v>11300</v>
      </c>
      <c r="N844" s="339" t="s">
        <v>2356</v>
      </c>
      <c r="O844" s="332" t="s">
        <v>11297</v>
      </c>
      <c r="P844" s="345"/>
      <c r="Q844" s="6094" t="s">
        <v>11298</v>
      </c>
      <c r="R844" s="322" t="s">
        <v>959</v>
      </c>
      <c r="S844" s="346"/>
      <c r="T844" s="347"/>
      <c r="U844" s="326"/>
      <c r="V844" s="348"/>
      <c r="W844" s="347"/>
      <c r="X844" s="326"/>
      <c r="Y844" s="348"/>
      <c r="Z844" s="347"/>
      <c r="AA844" s="326"/>
      <c r="AB844" s="348"/>
      <c r="AC844" s="820"/>
      <c r="AD844" s="821"/>
      <c r="AE844" s="822"/>
      <c r="AF844" s="820"/>
      <c r="AG844" s="821"/>
      <c r="AH844" s="822"/>
      <c r="AI844" s="482">
        <v>15888</v>
      </c>
      <c r="AJ844" s="326">
        <v>0</v>
      </c>
      <c r="AK844" s="3917">
        <v>0</v>
      </c>
      <c r="AL844" s="349">
        <f t="shared" si="249"/>
        <v>15888</v>
      </c>
      <c r="AM844" s="2002" t="s">
        <v>1061</v>
      </c>
      <c r="AN844" s="3357">
        <v>45071</v>
      </c>
      <c r="AO844" s="695" t="s">
        <v>11320</v>
      </c>
      <c r="AP844" s="3362" t="s">
        <v>10102</v>
      </c>
      <c r="AQ844" s="3555">
        <v>1.1100000000000001</v>
      </c>
      <c r="AR844" s="333"/>
      <c r="AS844" s="330"/>
      <c r="AT844" s="330"/>
      <c r="AU844" s="849"/>
      <c r="AV844" s="849"/>
      <c r="AW844" s="3156">
        <f t="shared" si="250"/>
        <v>15888</v>
      </c>
      <c r="AX844" s="3140"/>
      <c r="BA844" s="267"/>
      <c r="BB844" s="267"/>
      <c r="BC844" s="4117">
        <f t="shared" si="246"/>
        <v>0</v>
      </c>
      <c r="BD844" s="4117">
        <f t="shared" si="247"/>
        <v>0</v>
      </c>
      <c r="BE844" s="267"/>
      <c r="BF844" s="4788"/>
      <c r="BG844" s="267"/>
      <c r="BH844" s="267"/>
    </row>
    <row r="845" spans="1:112" ht="89.25">
      <c r="A845" s="2418" t="s">
        <v>11006</v>
      </c>
      <c r="B845" s="338" t="s">
        <v>11323</v>
      </c>
      <c r="C845" s="321">
        <v>0</v>
      </c>
      <c r="D845" s="323">
        <v>44453</v>
      </c>
      <c r="E845" s="3058" t="s">
        <v>9156</v>
      </c>
      <c r="F845" s="830" t="s">
        <v>9005</v>
      </c>
      <c r="G845" s="5356">
        <v>1.0956269999999999</v>
      </c>
      <c r="H845" s="332" t="s">
        <v>9231</v>
      </c>
      <c r="I845" s="339" t="s">
        <v>9225</v>
      </c>
      <c r="J845" s="2399" t="s">
        <v>4306</v>
      </c>
      <c r="K845" s="340">
        <v>45183</v>
      </c>
      <c r="L845" s="339" t="s">
        <v>4609</v>
      </c>
      <c r="M845" s="322" t="s">
        <v>9226</v>
      </c>
      <c r="N845" s="339" t="s">
        <v>9229</v>
      </c>
      <c r="O845" s="332" t="s">
        <v>9228</v>
      </c>
      <c r="P845" s="345"/>
      <c r="Q845" s="6094" t="s">
        <v>9047</v>
      </c>
      <c r="R845" s="322" t="s">
        <v>129</v>
      </c>
      <c r="S845" s="346"/>
      <c r="T845" s="347"/>
      <c r="U845" s="326"/>
      <c r="V845" s="348"/>
      <c r="W845" s="347"/>
      <c r="X845" s="326"/>
      <c r="Y845" s="348"/>
      <c r="Z845" s="347"/>
      <c r="AA845" s="326"/>
      <c r="AB845" s="348"/>
      <c r="AC845" s="347"/>
      <c r="AD845" s="326"/>
      <c r="AE845" s="348"/>
      <c r="AF845" s="347"/>
      <c r="AG845" s="326"/>
      <c r="AH845" s="348"/>
      <c r="AI845" s="482">
        <v>5567</v>
      </c>
      <c r="AJ845" s="326">
        <v>0</v>
      </c>
      <c r="AK845" s="3917">
        <v>0</v>
      </c>
      <c r="AL845" s="349">
        <f t="shared" si="249"/>
        <v>5567</v>
      </c>
      <c r="AM845" s="2002" t="s">
        <v>1061</v>
      </c>
      <c r="AN845" s="3357">
        <v>45075</v>
      </c>
      <c r="AO845" s="695" t="s">
        <v>11365</v>
      </c>
      <c r="AP845" s="3362" t="s">
        <v>10102</v>
      </c>
      <c r="AQ845" s="3555">
        <v>1.1100000000000001</v>
      </c>
      <c r="AR845" s="333"/>
      <c r="AS845" s="330"/>
      <c r="AT845" s="330"/>
      <c r="AU845" s="330"/>
      <c r="AV845" s="330"/>
      <c r="AW845" s="3156">
        <f t="shared" si="250"/>
        <v>5640</v>
      </c>
      <c r="AX845" s="3140"/>
      <c r="BA845" s="267"/>
      <c r="BB845" s="267"/>
      <c r="BC845" s="4117">
        <f t="shared" si="246"/>
        <v>0</v>
      </c>
      <c r="BD845" s="4117">
        <f t="shared" si="247"/>
        <v>0</v>
      </c>
      <c r="BE845" s="267"/>
      <c r="BF845" s="4788"/>
      <c r="BG845" s="267"/>
      <c r="BH845" s="267"/>
    </row>
    <row r="846" spans="1:112" ht="89.25">
      <c r="A846" s="2418" t="s">
        <v>11030</v>
      </c>
      <c r="B846" s="338" t="s">
        <v>11363</v>
      </c>
      <c r="C846" s="321">
        <v>0</v>
      </c>
      <c r="D846" s="323">
        <v>45036</v>
      </c>
      <c r="E846" s="3058" t="s">
        <v>10324</v>
      </c>
      <c r="F846" s="830" t="s">
        <v>10101</v>
      </c>
      <c r="G846" s="5356">
        <v>1.1100000000000001</v>
      </c>
      <c r="H846" s="332" t="s">
        <v>11058</v>
      </c>
      <c r="I846" s="339" t="s">
        <v>11059</v>
      </c>
      <c r="J846" s="2399" t="s">
        <v>4306</v>
      </c>
      <c r="K846" s="340">
        <v>45036</v>
      </c>
      <c r="L846" s="339" t="s">
        <v>313</v>
      </c>
      <c r="M846" s="322" t="s">
        <v>8832</v>
      </c>
      <c r="N846" s="339" t="s">
        <v>11060</v>
      </c>
      <c r="O846" s="332" t="s">
        <v>11061</v>
      </c>
      <c r="P846" s="345"/>
      <c r="Q846" s="6094" t="s">
        <v>9071</v>
      </c>
      <c r="R846" s="322" t="s">
        <v>536</v>
      </c>
      <c r="S846" s="346"/>
      <c r="T846" s="347"/>
      <c r="U846" s="326"/>
      <c r="V846" s="348"/>
      <c r="W846" s="347"/>
      <c r="X846" s="326"/>
      <c r="Y846" s="348"/>
      <c r="Z846" s="347"/>
      <c r="AA846" s="326"/>
      <c r="AB846" s="348"/>
      <c r="AC846" s="347"/>
      <c r="AD846" s="326"/>
      <c r="AE846" s="348"/>
      <c r="AF846" s="347"/>
      <c r="AG846" s="326"/>
      <c r="AH846" s="348"/>
      <c r="AI846" s="482">
        <v>5639</v>
      </c>
      <c r="AJ846" s="326">
        <v>0</v>
      </c>
      <c r="AK846" s="3917">
        <v>0</v>
      </c>
      <c r="AL846" s="349">
        <f t="shared" si="249"/>
        <v>5639</v>
      </c>
      <c r="AM846" s="2002" t="s">
        <v>1061</v>
      </c>
      <c r="AN846" s="3357">
        <v>45075</v>
      </c>
      <c r="AO846" s="695" t="s">
        <v>11366</v>
      </c>
      <c r="AP846" s="3362" t="s">
        <v>10102</v>
      </c>
      <c r="AQ846" s="3555">
        <v>1.1100000000000001</v>
      </c>
      <c r="AR846" s="333"/>
      <c r="AS846" s="330"/>
      <c r="AT846" s="330"/>
      <c r="AU846" s="330"/>
      <c r="AV846" s="330"/>
      <c r="AW846" s="3156">
        <f t="shared" si="250"/>
        <v>5639</v>
      </c>
      <c r="AX846" s="3140"/>
      <c r="BB846" s="267"/>
      <c r="BC846" s="4117">
        <f t="shared" si="246"/>
        <v>0</v>
      </c>
      <c r="BD846" s="4117">
        <f t="shared" si="247"/>
        <v>0</v>
      </c>
      <c r="BE846" s="267"/>
      <c r="BF846" s="4788"/>
      <c r="BG846" s="267"/>
      <c r="BH846" s="267"/>
    </row>
    <row r="847" spans="1:112" ht="115.5" thickBot="1">
      <c r="A847" s="6136" t="s">
        <v>11006</v>
      </c>
      <c r="B847" s="5600" t="s">
        <v>11260</v>
      </c>
      <c r="C847" s="6137">
        <v>3</v>
      </c>
      <c r="D847" s="6138" t="s">
        <v>11265</v>
      </c>
      <c r="E847" s="6139" t="s">
        <v>11263</v>
      </c>
      <c r="F847" s="6140" t="s">
        <v>11264</v>
      </c>
      <c r="G847" s="6141">
        <v>1.1100000000000001</v>
      </c>
      <c r="H847" s="6142" t="s">
        <v>11272</v>
      </c>
      <c r="I847" s="5605" t="s">
        <v>1433</v>
      </c>
      <c r="J847" s="6143" t="s">
        <v>1434</v>
      </c>
      <c r="K847" s="6144">
        <v>46507</v>
      </c>
      <c r="L847" s="5605" t="s">
        <v>8765</v>
      </c>
      <c r="M847" s="6143" t="s">
        <v>8766</v>
      </c>
      <c r="N847" s="5605" t="s">
        <v>9462</v>
      </c>
      <c r="O847" s="6142" t="s">
        <v>9461</v>
      </c>
      <c r="P847" s="5608"/>
      <c r="Q847" s="6143" t="s">
        <v>11269</v>
      </c>
      <c r="R847" s="6145" t="s">
        <v>11266</v>
      </c>
      <c r="S847" s="6146" t="s">
        <v>8767</v>
      </c>
      <c r="T847" s="5610"/>
      <c r="U847" s="6147"/>
      <c r="V847" s="6148"/>
      <c r="W847" s="5610"/>
      <c r="X847" s="6147"/>
      <c r="Y847" s="6148"/>
      <c r="Z847" s="5610"/>
      <c r="AA847" s="6147"/>
      <c r="AB847" s="6148"/>
      <c r="AC847" s="5610"/>
      <c r="AD847" s="6147"/>
      <c r="AE847" s="6148"/>
      <c r="AF847" s="5610"/>
      <c r="AG847" s="6147"/>
      <c r="AH847" s="6148"/>
      <c r="AI847" s="5613">
        <v>317282</v>
      </c>
      <c r="AJ847" s="6147">
        <v>0</v>
      </c>
      <c r="AK847" s="6149">
        <v>58208</v>
      </c>
      <c r="AL847" s="6150">
        <f>AI847-AJ847-AK847</f>
        <v>259074</v>
      </c>
      <c r="AM847" s="5616" t="s">
        <v>1061</v>
      </c>
      <c r="AN847" s="6151">
        <v>45075</v>
      </c>
      <c r="AO847" s="6137" t="s">
        <v>11367</v>
      </c>
      <c r="AP847" s="3387" t="s">
        <v>10102</v>
      </c>
      <c r="AQ847" s="4753">
        <v>1.1100000000000001</v>
      </c>
      <c r="AR847" s="5619"/>
      <c r="AS847" s="6152"/>
      <c r="AT847" s="6152"/>
      <c r="AU847" s="6152"/>
      <c r="AV847" s="6152"/>
      <c r="AW847" s="6153">
        <f t="shared" si="250"/>
        <v>259074</v>
      </c>
      <c r="AX847" s="5623"/>
      <c r="AY847" s="4031" t="s">
        <v>11296</v>
      </c>
      <c r="AZ847" s="3857">
        <f>SUM(AW843:AW847)</f>
        <v>302129</v>
      </c>
      <c r="BA847" s="1663">
        <f>AZ847</f>
        <v>302129</v>
      </c>
      <c r="BB847" s="267"/>
      <c r="BC847" s="4117">
        <f t="shared" si="246"/>
        <v>0</v>
      </c>
      <c r="BD847" s="4117">
        <f t="shared" si="247"/>
        <v>58208</v>
      </c>
      <c r="BE847" s="267"/>
      <c r="BF847" s="4788"/>
      <c r="BG847" s="267"/>
      <c r="BH847" s="267"/>
    </row>
    <row r="848" spans="1:112" ht="76.5">
      <c r="A848" s="6017" t="s">
        <v>11004</v>
      </c>
      <c r="B848" s="2298" t="s">
        <v>9483</v>
      </c>
      <c r="C848" s="2299">
        <v>0</v>
      </c>
      <c r="D848" s="2300" t="s">
        <v>7189</v>
      </c>
      <c r="E848" s="2300" t="s">
        <v>6387</v>
      </c>
      <c r="F848" s="2497" t="s">
        <v>4932</v>
      </c>
      <c r="G848" s="3110">
        <v>1</v>
      </c>
      <c r="H848" s="2306" t="s">
        <v>7191</v>
      </c>
      <c r="I848" s="2303" t="s">
        <v>1433</v>
      </c>
      <c r="J848" s="2304" t="s">
        <v>1434</v>
      </c>
      <c r="K848" s="2305" t="s">
        <v>7190</v>
      </c>
      <c r="L848" s="2303" t="s">
        <v>3211</v>
      </c>
      <c r="M848" s="2304" t="s">
        <v>3205</v>
      </c>
      <c r="N848" s="2303" t="s">
        <v>3212</v>
      </c>
      <c r="O848" s="2306" t="s">
        <v>6205</v>
      </c>
      <c r="P848" s="2321"/>
      <c r="Q848" s="2304" t="s">
        <v>3213</v>
      </c>
      <c r="R848" s="2304" t="s">
        <v>1046</v>
      </c>
      <c r="S848" s="2307"/>
      <c r="T848" s="2308">
        <v>13600</v>
      </c>
      <c r="U848" s="2309">
        <v>0</v>
      </c>
      <c r="V848" s="2310">
        <f>T848-U848</f>
        <v>13600</v>
      </c>
      <c r="W848" s="2308">
        <v>2400</v>
      </c>
      <c r="X848" s="2309">
        <v>0</v>
      </c>
      <c r="Y848" s="2310">
        <f>W848-X848</f>
        <v>2400</v>
      </c>
      <c r="Z848" s="2308">
        <v>9480</v>
      </c>
      <c r="AA848" s="2309">
        <v>0</v>
      </c>
      <c r="AB848" s="2310">
        <f>Z848-AA848</f>
        <v>9480</v>
      </c>
      <c r="AC848" s="2308"/>
      <c r="AD848" s="2309"/>
      <c r="AE848" s="2310"/>
      <c r="AF848" s="2308"/>
      <c r="AG848" s="2309"/>
      <c r="AH848" s="2310"/>
      <c r="AI848" s="2311">
        <f>T848+W848+Z848+AC848+AF848</f>
        <v>25480</v>
      </c>
      <c r="AJ848" s="2309">
        <f>U848+X848+AA848</f>
        <v>0</v>
      </c>
      <c r="AK848" s="3914">
        <v>0</v>
      </c>
      <c r="AL848" s="2312">
        <f>AI848-AJ848-AK848</f>
        <v>25480</v>
      </c>
      <c r="AM848" s="3491" t="s">
        <v>1061</v>
      </c>
      <c r="AN848" s="3492">
        <v>45079</v>
      </c>
      <c r="AO848" s="2492" t="s">
        <v>11375</v>
      </c>
      <c r="AP848" s="2905" t="s">
        <v>10102</v>
      </c>
      <c r="AQ848" s="2906">
        <v>1.1100000000000001</v>
      </c>
      <c r="AR848" s="2313">
        <v>0</v>
      </c>
      <c r="AS848" s="2314">
        <v>0</v>
      </c>
      <c r="AT848" s="2314">
        <v>0</v>
      </c>
      <c r="AU848" s="2314">
        <v>0</v>
      </c>
      <c r="AV848" s="2314">
        <v>0</v>
      </c>
      <c r="AW848" s="2883">
        <f t="shared" si="250"/>
        <v>28283</v>
      </c>
      <c r="AX848" s="2899"/>
      <c r="BB848" s="267"/>
      <c r="BC848" s="4117">
        <f t="shared" si="246"/>
        <v>0</v>
      </c>
      <c r="BD848" s="4117">
        <f t="shared" si="247"/>
        <v>0</v>
      </c>
      <c r="BE848" s="267"/>
      <c r="BF848" s="4788"/>
      <c r="BG848" s="267"/>
      <c r="BH848" s="267"/>
    </row>
    <row r="849" spans="1:61" ht="89.25">
      <c r="A849" s="5981" t="s">
        <v>11030</v>
      </c>
      <c r="B849" s="1538" t="s">
        <v>11304</v>
      </c>
      <c r="C849" s="1509">
        <v>0</v>
      </c>
      <c r="D849" s="1510">
        <v>44902</v>
      </c>
      <c r="E849" s="4344" t="s">
        <v>10324</v>
      </c>
      <c r="F849" s="2497" t="s">
        <v>10101</v>
      </c>
      <c r="G849" s="5387">
        <v>1.1100000000000001</v>
      </c>
      <c r="H849" s="1513" t="s">
        <v>10625</v>
      </c>
      <c r="I849" s="1514" t="s">
        <v>10626</v>
      </c>
      <c r="J849" s="4345" t="s">
        <v>4306</v>
      </c>
      <c r="K849" s="1516">
        <v>45633</v>
      </c>
      <c r="L849" s="1514" t="s">
        <v>10634</v>
      </c>
      <c r="M849" s="1515" t="s">
        <v>10635</v>
      </c>
      <c r="N849" s="1514" t="s">
        <v>10636</v>
      </c>
      <c r="O849" s="1515" t="s">
        <v>10635</v>
      </c>
      <c r="P849" s="1517"/>
      <c r="Q849" s="6094" t="s">
        <v>9071</v>
      </c>
      <c r="R849" s="1515" t="s">
        <v>536</v>
      </c>
      <c r="S849" s="1518"/>
      <c r="T849" s="1519"/>
      <c r="U849" s="1504"/>
      <c r="V849" s="1520"/>
      <c r="W849" s="1519"/>
      <c r="X849" s="1504"/>
      <c r="Y849" s="1520"/>
      <c r="Z849" s="1519"/>
      <c r="AA849" s="1504"/>
      <c r="AB849" s="1520"/>
      <c r="AC849" s="1519"/>
      <c r="AD849" s="1504"/>
      <c r="AE849" s="1520"/>
      <c r="AF849" s="1519"/>
      <c r="AG849" s="1504"/>
      <c r="AH849" s="1520"/>
      <c r="AI849" s="1503">
        <v>5639</v>
      </c>
      <c r="AJ849" s="1504">
        <v>0</v>
      </c>
      <c r="AK849" s="3919">
        <v>0</v>
      </c>
      <c r="AL849" s="1505">
        <f>AI849-AJ849-AK849</f>
        <v>5639</v>
      </c>
      <c r="AM849" s="1508" t="s">
        <v>1061</v>
      </c>
      <c r="AN849" s="3401">
        <v>45082</v>
      </c>
      <c r="AO849" s="3402" t="s">
        <v>11382</v>
      </c>
      <c r="AP849" s="2905" t="s">
        <v>10102</v>
      </c>
      <c r="AQ849" s="2906">
        <v>1.1100000000000001</v>
      </c>
      <c r="AR849" s="1506"/>
      <c r="AS849" s="1507"/>
      <c r="AT849" s="1507"/>
      <c r="AU849" s="1507"/>
      <c r="AV849" s="1507"/>
      <c r="AW849" s="3247">
        <f>ROUND(AL849*AQ849/G849,0)</f>
        <v>5639</v>
      </c>
      <c r="AX849" s="3146"/>
      <c r="BA849" s="267"/>
      <c r="BB849" s="267"/>
      <c r="BC849" s="4117">
        <f t="shared" si="246"/>
        <v>0</v>
      </c>
      <c r="BD849" s="4117">
        <f t="shared" si="247"/>
        <v>0</v>
      </c>
      <c r="BE849" s="267"/>
      <c r="BF849" s="4788"/>
      <c r="BG849" s="267"/>
      <c r="BH849" s="267"/>
    </row>
    <row r="850" spans="1:61" ht="76.5">
      <c r="A850" s="5981" t="s">
        <v>11006</v>
      </c>
      <c r="B850" s="1538" t="s">
        <v>11392</v>
      </c>
      <c r="C850" s="1509">
        <v>0</v>
      </c>
      <c r="D850" s="1510">
        <v>44125</v>
      </c>
      <c r="E850" s="4344" t="s">
        <v>8170</v>
      </c>
      <c r="F850" s="1511" t="s">
        <v>7957</v>
      </c>
      <c r="G850" s="2663">
        <v>1.0795220000000001</v>
      </c>
      <c r="H850" s="1513" t="s">
        <v>8198</v>
      </c>
      <c r="I850" s="1514" t="s">
        <v>5753</v>
      </c>
      <c r="J850" s="1515" t="s">
        <v>2712</v>
      </c>
      <c r="K850" s="1516">
        <v>45534</v>
      </c>
      <c r="L850" s="1514" t="s">
        <v>8199</v>
      </c>
      <c r="M850" s="1515" t="s">
        <v>8203</v>
      </c>
      <c r="N850" s="1514" t="s">
        <v>8201</v>
      </c>
      <c r="O850" s="1513" t="s">
        <v>8200</v>
      </c>
      <c r="P850" s="1517"/>
      <c r="Q850" s="1515" t="s">
        <v>8202</v>
      </c>
      <c r="R850" s="1515" t="s">
        <v>2545</v>
      </c>
      <c r="S850" s="1518"/>
      <c r="T850" s="1519"/>
      <c r="U850" s="1504"/>
      <c r="V850" s="1520"/>
      <c r="W850" s="1519"/>
      <c r="X850" s="1504"/>
      <c r="Y850" s="1520"/>
      <c r="Z850" s="1519"/>
      <c r="AA850" s="1504"/>
      <c r="AB850" s="1520"/>
      <c r="AC850" s="1519"/>
      <c r="AD850" s="1504"/>
      <c r="AE850" s="1520"/>
      <c r="AF850" s="1519"/>
      <c r="AG850" s="1504"/>
      <c r="AH850" s="1520"/>
      <c r="AI850" s="1503">
        <v>54408</v>
      </c>
      <c r="AJ850" s="1504">
        <v>0</v>
      </c>
      <c r="AK850" s="3919">
        <v>0</v>
      </c>
      <c r="AL850" s="1505">
        <f>AI850-AJ850-AK850</f>
        <v>54408</v>
      </c>
      <c r="AM850" s="1508" t="s">
        <v>1061</v>
      </c>
      <c r="AN850" s="3401">
        <v>45089</v>
      </c>
      <c r="AO850" s="3402" t="s">
        <v>11394</v>
      </c>
      <c r="AP850" s="2905" t="s">
        <v>10102</v>
      </c>
      <c r="AQ850" s="2906">
        <v>1.1100000000000001</v>
      </c>
      <c r="AR850" s="1506"/>
      <c r="AS850" s="1507"/>
      <c r="AT850" s="1507"/>
      <c r="AU850" s="1507"/>
      <c r="AV850" s="1507"/>
      <c r="AW850" s="3247">
        <f>ROUND(AL850*AQ850/G850,0)</f>
        <v>55944</v>
      </c>
      <c r="AX850" s="3146"/>
      <c r="BA850" s="267"/>
      <c r="BB850" s="267"/>
      <c r="BC850" s="4117">
        <f t="shared" si="246"/>
        <v>0</v>
      </c>
      <c r="BD850" s="4117">
        <f t="shared" si="247"/>
        <v>0</v>
      </c>
      <c r="BE850" s="267"/>
      <c r="BF850" s="4788"/>
      <c r="BG850" s="267"/>
      <c r="BH850" s="267"/>
    </row>
    <row r="851" spans="1:61" ht="38.25">
      <c r="A851" s="6006" t="s">
        <v>11013</v>
      </c>
      <c r="B851" s="6157" t="s">
        <v>11409</v>
      </c>
      <c r="C851" s="6158">
        <v>0</v>
      </c>
      <c r="D851" s="5261">
        <v>43647</v>
      </c>
      <c r="E851" s="2300" t="s">
        <v>6386</v>
      </c>
      <c r="F851" s="2301" t="s">
        <v>6949</v>
      </c>
      <c r="G851" s="2645">
        <v>114.1</v>
      </c>
      <c r="H851" s="6159" t="s">
        <v>6948</v>
      </c>
      <c r="I851" s="1514" t="s">
        <v>1433</v>
      </c>
      <c r="J851" s="1515" t="s">
        <v>1434</v>
      </c>
      <c r="K851" s="1516">
        <v>44744</v>
      </c>
      <c r="L851" s="6160" t="s">
        <v>6950</v>
      </c>
      <c r="M851" s="6161" t="s">
        <v>6951</v>
      </c>
      <c r="N851" s="6160" t="s">
        <v>6952</v>
      </c>
      <c r="O851" s="6159" t="s">
        <v>6953</v>
      </c>
      <c r="P851" s="6162" t="s">
        <v>6954</v>
      </c>
      <c r="Q851" s="6161" t="s">
        <v>6957</v>
      </c>
      <c r="R851" s="6161" t="s">
        <v>6955</v>
      </c>
      <c r="S851" s="6163"/>
      <c r="T851" s="6164"/>
      <c r="U851" s="6165"/>
      <c r="V851" s="6166"/>
      <c r="W851" s="6164"/>
      <c r="X851" s="6165"/>
      <c r="Y851" s="6166"/>
      <c r="Z851" s="6164"/>
      <c r="AA851" s="6165"/>
      <c r="AB851" s="6166"/>
      <c r="AC851" s="6164"/>
      <c r="AD851" s="6165"/>
      <c r="AE851" s="6166"/>
      <c r="AF851" s="6164"/>
      <c r="AG851" s="6165"/>
      <c r="AH851" s="6166"/>
      <c r="AI851" s="6167">
        <v>0</v>
      </c>
      <c r="AJ851" s="1504">
        <v>0</v>
      </c>
      <c r="AK851" s="3919">
        <v>0</v>
      </c>
      <c r="AL851" s="1505">
        <f t="shared" ref="AL851" si="251">AI851-AJ851-AK851</f>
        <v>0</v>
      </c>
      <c r="AM851" s="6168" t="s">
        <v>11406</v>
      </c>
      <c r="AN851" s="6169">
        <v>45092</v>
      </c>
      <c r="AO851" s="6171" t="s">
        <v>11408</v>
      </c>
      <c r="AP851" s="3539" t="s">
        <v>11302</v>
      </c>
      <c r="AQ851" s="2906">
        <v>134.6</v>
      </c>
      <c r="AR851" s="1506"/>
      <c r="AS851" s="1507"/>
      <c r="AT851" s="1507"/>
      <c r="AU851" s="1507"/>
      <c r="AV851" s="1507"/>
      <c r="AW851" s="3247">
        <v>46994</v>
      </c>
      <c r="AX851" s="6170"/>
      <c r="BB851" s="267"/>
      <c r="BC851" s="4117">
        <f t="shared" si="246"/>
        <v>0</v>
      </c>
      <c r="BD851" s="4117">
        <f t="shared" si="247"/>
        <v>0</v>
      </c>
      <c r="BE851" s="267"/>
      <c r="BF851" s="4788"/>
      <c r="BG851" s="267"/>
      <c r="BH851" s="267"/>
    </row>
    <row r="852" spans="1:61" ht="38.25">
      <c r="A852" s="6006" t="s">
        <v>11013</v>
      </c>
      <c r="B852" s="6157" t="s">
        <v>11409</v>
      </c>
      <c r="C852" s="6158">
        <v>0</v>
      </c>
      <c r="D852" s="5261">
        <v>43647</v>
      </c>
      <c r="E852" s="2300" t="s">
        <v>6386</v>
      </c>
      <c r="F852" s="2301" t="s">
        <v>6949</v>
      </c>
      <c r="G852" s="2645">
        <v>114.1</v>
      </c>
      <c r="H852" s="6159" t="s">
        <v>6948</v>
      </c>
      <c r="I852" s="1514" t="s">
        <v>1433</v>
      </c>
      <c r="J852" s="1515" t="s">
        <v>1434</v>
      </c>
      <c r="K852" s="1516">
        <v>44744</v>
      </c>
      <c r="L852" s="6160" t="s">
        <v>6950</v>
      </c>
      <c r="M852" s="6161" t="s">
        <v>6951</v>
      </c>
      <c r="N852" s="6160" t="s">
        <v>6952</v>
      </c>
      <c r="O852" s="6159" t="s">
        <v>6953</v>
      </c>
      <c r="P852" s="6162" t="s">
        <v>6954</v>
      </c>
      <c r="Q852" s="6161" t="s">
        <v>6957</v>
      </c>
      <c r="R852" s="6161" t="s">
        <v>6955</v>
      </c>
      <c r="S852" s="6163"/>
      <c r="T852" s="6164"/>
      <c r="U852" s="6165"/>
      <c r="V852" s="6166"/>
      <c r="W852" s="6164"/>
      <c r="X852" s="6165"/>
      <c r="Y852" s="6166"/>
      <c r="Z852" s="6164"/>
      <c r="AA852" s="6165"/>
      <c r="AB852" s="6166"/>
      <c r="AC852" s="6164"/>
      <c r="AD852" s="6165"/>
      <c r="AE852" s="6166"/>
      <c r="AF852" s="6164"/>
      <c r="AG852" s="6165"/>
      <c r="AH852" s="6166"/>
      <c r="AI852" s="6167">
        <v>102326</v>
      </c>
      <c r="AJ852" s="1504">
        <v>0</v>
      </c>
      <c r="AK852" s="3919">
        <v>0</v>
      </c>
      <c r="AL852" s="1505">
        <f>AI852-AJ852-AK852</f>
        <v>102326</v>
      </c>
      <c r="AM852" s="6168" t="s">
        <v>4872</v>
      </c>
      <c r="AN852" s="6169">
        <v>45093</v>
      </c>
      <c r="AO852" s="6171" t="s">
        <v>11412</v>
      </c>
      <c r="AP852" s="3539" t="s">
        <v>11302</v>
      </c>
      <c r="AQ852" s="2906">
        <v>134.6</v>
      </c>
      <c r="AR852" s="1506"/>
      <c r="AS852" s="1507"/>
      <c r="AT852" s="1507"/>
      <c r="AU852" s="1507"/>
      <c r="AV852" s="1507"/>
      <c r="AW852" s="3247">
        <f>ROUND(AL852*AQ852/G852,0)-46994</f>
        <v>73717</v>
      </c>
      <c r="AX852" s="6170"/>
      <c r="BA852" s="267"/>
      <c r="BB852" s="267"/>
      <c r="BC852" s="4117">
        <f t="shared" si="246"/>
        <v>0</v>
      </c>
      <c r="BD852" s="4117">
        <f t="shared" si="247"/>
        <v>0</v>
      </c>
      <c r="BE852" s="267"/>
      <c r="BF852" s="4788"/>
      <c r="BG852" s="267"/>
      <c r="BH852" s="267"/>
    </row>
    <row r="853" spans="1:61" ht="127.5">
      <c r="A853" s="5981" t="s">
        <v>11006</v>
      </c>
      <c r="B853" s="1538" t="s">
        <v>11410</v>
      </c>
      <c r="C853" s="1509">
        <v>0</v>
      </c>
      <c r="D853" s="1510">
        <v>44447</v>
      </c>
      <c r="E853" s="4344" t="s">
        <v>9156</v>
      </c>
      <c r="F853" s="2497" t="s">
        <v>9005</v>
      </c>
      <c r="G853" s="5387">
        <v>1.0956269999999999</v>
      </c>
      <c r="H853" s="1513" t="s">
        <v>9199</v>
      </c>
      <c r="I853" s="1514" t="s">
        <v>1433</v>
      </c>
      <c r="J853" s="1515" t="s">
        <v>1434</v>
      </c>
      <c r="K853" s="1516">
        <v>46555</v>
      </c>
      <c r="L853" s="1514" t="s">
        <v>9200</v>
      </c>
      <c r="M853" s="1515" t="s">
        <v>9201</v>
      </c>
      <c r="N853" s="1514" t="s">
        <v>6952</v>
      </c>
      <c r="O853" s="1513" t="s">
        <v>9202</v>
      </c>
      <c r="P853" s="1517" t="s">
        <v>9205</v>
      </c>
      <c r="Q853" s="1515" t="s">
        <v>9211</v>
      </c>
      <c r="R853" s="1515" t="s">
        <v>9204</v>
      </c>
      <c r="S853" s="1518"/>
      <c r="T853" s="1519"/>
      <c r="U853" s="1504"/>
      <c r="V853" s="1520"/>
      <c r="W853" s="1519"/>
      <c r="X853" s="1504"/>
      <c r="Y853" s="1520"/>
      <c r="Z853" s="1519"/>
      <c r="AA853" s="1504"/>
      <c r="AB853" s="1520"/>
      <c r="AC853" s="1519"/>
      <c r="AD853" s="1504"/>
      <c r="AE853" s="1520"/>
      <c r="AF853" s="1519"/>
      <c r="AG853" s="1504"/>
      <c r="AH853" s="1520"/>
      <c r="AI853" s="1503">
        <v>0</v>
      </c>
      <c r="AJ853" s="1504">
        <v>0</v>
      </c>
      <c r="AK853" s="3919">
        <v>0</v>
      </c>
      <c r="AL853" s="1505">
        <f>AI853-AJ853-AK853</f>
        <v>0</v>
      </c>
      <c r="AM853" s="6168" t="s">
        <v>11406</v>
      </c>
      <c r="AN853" s="6169" t="s">
        <v>11411</v>
      </c>
      <c r="AO853" s="3402" t="s">
        <v>11412</v>
      </c>
      <c r="AP853" s="2905" t="s">
        <v>10102</v>
      </c>
      <c r="AQ853" s="2906">
        <v>1.1100000000000001</v>
      </c>
      <c r="AR853" s="1506"/>
      <c r="AS853" s="1507"/>
      <c r="AT853" s="1507"/>
      <c r="AU853" s="1507"/>
      <c r="AV853" s="1507"/>
      <c r="AW853" s="3247">
        <v>26283</v>
      </c>
      <c r="AX853" s="3146"/>
      <c r="BA853" s="267"/>
      <c r="BB853" s="267"/>
      <c r="BC853" s="4117">
        <f t="shared" si="246"/>
        <v>0</v>
      </c>
      <c r="BD853" s="4117">
        <f t="shared" si="247"/>
        <v>0</v>
      </c>
      <c r="BE853" s="267"/>
      <c r="BF853" s="4788"/>
      <c r="BG853" s="267"/>
      <c r="BH853" s="267"/>
    </row>
    <row r="854" spans="1:61" ht="127.5">
      <c r="A854" s="5981" t="s">
        <v>11006</v>
      </c>
      <c r="B854" s="1538" t="s">
        <v>11410</v>
      </c>
      <c r="C854" s="1509">
        <v>0</v>
      </c>
      <c r="D854" s="1510">
        <v>44447</v>
      </c>
      <c r="E854" s="4344" t="s">
        <v>9156</v>
      </c>
      <c r="F854" s="2497" t="s">
        <v>9005</v>
      </c>
      <c r="G854" s="5387">
        <v>1.0956269999999999</v>
      </c>
      <c r="H854" s="1513" t="s">
        <v>9199</v>
      </c>
      <c r="I854" s="1514" t="s">
        <v>1433</v>
      </c>
      <c r="J854" s="1515" t="s">
        <v>1434</v>
      </c>
      <c r="K854" s="1516">
        <v>46555</v>
      </c>
      <c r="L854" s="1514" t="s">
        <v>9200</v>
      </c>
      <c r="M854" s="1515" t="s">
        <v>9201</v>
      </c>
      <c r="N854" s="1514" t="s">
        <v>6952</v>
      </c>
      <c r="O854" s="1513" t="s">
        <v>9202</v>
      </c>
      <c r="P854" s="1517" t="s">
        <v>9205</v>
      </c>
      <c r="Q854" s="1515" t="s">
        <v>9211</v>
      </c>
      <c r="R854" s="1515" t="s">
        <v>9204</v>
      </c>
      <c r="S854" s="1518"/>
      <c r="T854" s="1519"/>
      <c r="U854" s="1504"/>
      <c r="V854" s="1520"/>
      <c r="W854" s="1519"/>
      <c r="X854" s="1504"/>
      <c r="Y854" s="1520"/>
      <c r="Z854" s="1519"/>
      <c r="AA854" s="1504"/>
      <c r="AB854" s="1520"/>
      <c r="AC854" s="1519"/>
      <c r="AD854" s="1504"/>
      <c r="AE854" s="1520"/>
      <c r="AF854" s="1519"/>
      <c r="AG854" s="1504"/>
      <c r="AH854" s="1520"/>
      <c r="AI854" s="1503">
        <v>124648</v>
      </c>
      <c r="AJ854" s="1504">
        <v>0</v>
      </c>
      <c r="AK854" s="3919">
        <v>0</v>
      </c>
      <c r="AL854" s="1505">
        <f>AI854-AJ854-AK854</f>
        <v>124648</v>
      </c>
      <c r="AM854" s="1508" t="s">
        <v>4872</v>
      </c>
      <c r="AN854" s="3401">
        <v>45096</v>
      </c>
      <c r="AO854" s="3402" t="s">
        <v>11428</v>
      </c>
      <c r="AP854" s="2905" t="s">
        <v>10102</v>
      </c>
      <c r="AQ854" s="2906">
        <v>1.1100000000000001</v>
      </c>
      <c r="AR854" s="1506"/>
      <c r="AS854" s="1507"/>
      <c r="AT854" s="1507"/>
      <c r="AU854" s="1507"/>
      <c r="AV854" s="1507"/>
      <c r="AW854" s="3247">
        <f>ROUND(AL854*AQ854/G854,0)-26283</f>
        <v>100000</v>
      </c>
      <c r="AX854" s="3146"/>
      <c r="BA854" s="267"/>
      <c r="BB854" s="267"/>
      <c r="BC854" s="4117">
        <f t="shared" si="246"/>
        <v>0</v>
      </c>
      <c r="BD854" s="4117">
        <f t="shared" si="247"/>
        <v>0</v>
      </c>
      <c r="BE854" s="267"/>
      <c r="BF854" s="4788"/>
      <c r="BG854" s="267"/>
      <c r="BH854" s="267"/>
    </row>
    <row r="855" spans="1:61" ht="102">
      <c r="A855" s="5981" t="s">
        <v>11006</v>
      </c>
      <c r="B855" s="1538" t="s">
        <v>11419</v>
      </c>
      <c r="C855" s="1509">
        <v>0</v>
      </c>
      <c r="D855" s="1510" t="s">
        <v>9964</v>
      </c>
      <c r="E855" s="4344" t="s">
        <v>8170</v>
      </c>
      <c r="F855" s="1511" t="s">
        <v>7957</v>
      </c>
      <c r="G855" s="2663">
        <v>1.0795220000000001</v>
      </c>
      <c r="H855" s="1513" t="s">
        <v>8837</v>
      </c>
      <c r="I855" s="1514" t="s">
        <v>1433</v>
      </c>
      <c r="J855" s="1515" t="s">
        <v>1434</v>
      </c>
      <c r="K855" s="1516">
        <v>46524</v>
      </c>
      <c r="L855" s="1514" t="s">
        <v>8835</v>
      </c>
      <c r="M855" s="1515" t="s">
        <v>8836</v>
      </c>
      <c r="N855" s="1514" t="s">
        <v>8908</v>
      </c>
      <c r="O855" s="1513" t="s">
        <v>8907</v>
      </c>
      <c r="P855" s="1517" t="s">
        <v>11008</v>
      </c>
      <c r="Q855" s="1515" t="s">
        <v>8838</v>
      </c>
      <c r="R855" s="1515" t="s">
        <v>8909</v>
      </c>
      <c r="S855" s="1518"/>
      <c r="T855" s="1519"/>
      <c r="U855" s="1504"/>
      <c r="V855" s="1520"/>
      <c r="W855" s="1519"/>
      <c r="X855" s="1504"/>
      <c r="Y855" s="1520"/>
      <c r="Z855" s="1519"/>
      <c r="AA855" s="1504"/>
      <c r="AB855" s="1520"/>
      <c r="AC855" s="1519"/>
      <c r="AD855" s="1504"/>
      <c r="AE855" s="1520"/>
      <c r="AF855" s="1519"/>
      <c r="AG855" s="1504"/>
      <c r="AH855" s="1520"/>
      <c r="AI855" s="1503">
        <f>850+2551</f>
        <v>3401</v>
      </c>
      <c r="AJ855" s="1504">
        <v>0</v>
      </c>
      <c r="AK855" s="3919">
        <v>0</v>
      </c>
      <c r="AL855" s="1505">
        <f>AI855-AJ855-AK855</f>
        <v>3401</v>
      </c>
      <c r="AM855" s="3586" t="s">
        <v>11421</v>
      </c>
      <c r="AN855" s="3587">
        <v>45096</v>
      </c>
      <c r="AO855" s="3588" t="s">
        <v>11429</v>
      </c>
      <c r="AP855" s="3539" t="s">
        <v>11420</v>
      </c>
      <c r="AQ855" s="4189">
        <v>1.0795220000000001</v>
      </c>
      <c r="AR855" s="1506"/>
      <c r="AS855" s="1507"/>
      <c r="AT855" s="1507"/>
      <c r="AU855" s="1507"/>
      <c r="AV855" s="1507"/>
      <c r="AW855" s="3247">
        <v>2989</v>
      </c>
      <c r="AX855" s="3146"/>
      <c r="BB855" s="267"/>
      <c r="BC855" s="4117">
        <f t="shared" si="246"/>
        <v>0</v>
      </c>
      <c r="BD855" s="4117">
        <f t="shared" si="247"/>
        <v>0</v>
      </c>
      <c r="BE855" s="267"/>
      <c r="BF855" s="4788"/>
      <c r="BG855" s="267"/>
      <c r="BH855" s="267"/>
    </row>
    <row r="856" spans="1:61" ht="76.5">
      <c r="A856" s="5981" t="s">
        <v>11006</v>
      </c>
      <c r="B856" s="1538" t="s">
        <v>11459</v>
      </c>
      <c r="C856" s="1509">
        <v>0</v>
      </c>
      <c r="D856" s="1510">
        <v>44517</v>
      </c>
      <c r="E856" s="4344" t="s">
        <v>9156</v>
      </c>
      <c r="F856" s="2497" t="s">
        <v>9005</v>
      </c>
      <c r="G856" s="5387">
        <v>1.0956269999999999</v>
      </c>
      <c r="H856" s="1513" t="s">
        <v>9417</v>
      </c>
      <c r="I856" s="1514" t="s">
        <v>9415</v>
      </c>
      <c r="J856" s="4345" t="s">
        <v>4306</v>
      </c>
      <c r="K856" s="1516">
        <v>45247</v>
      </c>
      <c r="L856" s="1514" t="s">
        <v>9420</v>
      </c>
      <c r="M856" s="1515" t="s">
        <v>9421</v>
      </c>
      <c r="N856" s="1514" t="s">
        <v>9422</v>
      </c>
      <c r="O856" s="1515" t="s">
        <v>9421</v>
      </c>
      <c r="P856" s="1517"/>
      <c r="Q856" s="6094" t="s">
        <v>9047</v>
      </c>
      <c r="R856" s="1515" t="s">
        <v>945</v>
      </c>
      <c r="S856" s="1518"/>
      <c r="T856" s="1519"/>
      <c r="U856" s="1504"/>
      <c r="V856" s="1520"/>
      <c r="W856" s="1519"/>
      <c r="X856" s="1504"/>
      <c r="Y856" s="1520"/>
      <c r="Z856" s="1519"/>
      <c r="AA856" s="1504"/>
      <c r="AB856" s="1520"/>
      <c r="AC856" s="1519"/>
      <c r="AD856" s="1504"/>
      <c r="AE856" s="1520"/>
      <c r="AF856" s="1519"/>
      <c r="AG856" s="1504"/>
      <c r="AH856" s="1520"/>
      <c r="AI856" s="1503">
        <v>0</v>
      </c>
      <c r="AJ856" s="1504">
        <v>0</v>
      </c>
      <c r="AK856" s="3919">
        <v>0</v>
      </c>
      <c r="AL856" s="1505">
        <f t="shared" ref="AL856" si="252">AI856-AJ856-AK856</f>
        <v>0</v>
      </c>
      <c r="AM856" s="1508" t="s">
        <v>4488</v>
      </c>
      <c r="AN856" s="3401">
        <v>45098</v>
      </c>
      <c r="AO856" s="3402" t="s">
        <v>11434</v>
      </c>
      <c r="AP856" s="2905" t="s">
        <v>10102</v>
      </c>
      <c r="AQ856" s="2906">
        <v>1.1100000000000001</v>
      </c>
      <c r="AR856" s="1506"/>
      <c r="AS856" s="1507"/>
      <c r="AT856" s="1507"/>
      <c r="AU856" s="1507"/>
      <c r="AV856" s="1507"/>
      <c r="AW856" s="3247">
        <v>3000</v>
      </c>
      <c r="AX856" s="3146"/>
      <c r="BA856" s="267"/>
      <c r="BB856" s="267"/>
      <c r="BC856" s="4117">
        <f t="shared" si="246"/>
        <v>0</v>
      </c>
      <c r="BD856" s="4117">
        <f t="shared" si="247"/>
        <v>0</v>
      </c>
      <c r="BE856" s="267"/>
      <c r="BF856" s="4788"/>
      <c r="BG856" s="267"/>
      <c r="BH856" s="267"/>
    </row>
    <row r="857" spans="1:61" ht="76.5">
      <c r="A857" s="5981" t="s">
        <v>11006</v>
      </c>
      <c r="B857" s="1538" t="s">
        <v>11458</v>
      </c>
      <c r="C857" s="1509">
        <v>0</v>
      </c>
      <c r="D857" s="1510">
        <v>44517</v>
      </c>
      <c r="E857" s="4344" t="s">
        <v>9156</v>
      </c>
      <c r="F857" s="2497" t="s">
        <v>9005</v>
      </c>
      <c r="G857" s="5387">
        <v>1.0956269999999999</v>
      </c>
      <c r="H857" s="1513" t="s">
        <v>9417</v>
      </c>
      <c r="I857" s="1514" t="s">
        <v>9415</v>
      </c>
      <c r="J857" s="4345" t="s">
        <v>4306</v>
      </c>
      <c r="K857" s="1516">
        <v>45247</v>
      </c>
      <c r="L857" s="1514" t="s">
        <v>9420</v>
      </c>
      <c r="M857" s="1515" t="s">
        <v>9421</v>
      </c>
      <c r="N857" s="1514" t="s">
        <v>9422</v>
      </c>
      <c r="O857" s="1515" t="s">
        <v>9421</v>
      </c>
      <c r="P857" s="1517"/>
      <c r="Q857" s="6094" t="s">
        <v>9047</v>
      </c>
      <c r="R857" s="1515" t="s">
        <v>945</v>
      </c>
      <c r="S857" s="1518"/>
      <c r="T857" s="1519"/>
      <c r="U857" s="1504"/>
      <c r="V857" s="1520"/>
      <c r="W857" s="1519"/>
      <c r="X857" s="1504"/>
      <c r="Y857" s="1520"/>
      <c r="Z857" s="1519"/>
      <c r="AA857" s="1504"/>
      <c r="AB857" s="1520"/>
      <c r="AC857" s="1519"/>
      <c r="AD857" s="1504"/>
      <c r="AE857" s="1520"/>
      <c r="AF857" s="1519"/>
      <c r="AG857" s="1504"/>
      <c r="AH857" s="1520"/>
      <c r="AI857" s="1503">
        <v>5567</v>
      </c>
      <c r="AJ857" s="1504">
        <v>0</v>
      </c>
      <c r="AK857" s="3919">
        <v>0</v>
      </c>
      <c r="AL857" s="1505">
        <f t="shared" ref="AL857:AL862" si="253">AI857-AJ857-AK857</f>
        <v>5567</v>
      </c>
      <c r="AM857" s="1508" t="s">
        <v>4872</v>
      </c>
      <c r="AN857" s="3401">
        <v>45099</v>
      </c>
      <c r="AO857" s="3402" t="s">
        <v>11460</v>
      </c>
      <c r="AP857" s="2905" t="s">
        <v>10102</v>
      </c>
      <c r="AQ857" s="2906">
        <v>1.1100000000000001</v>
      </c>
      <c r="AR857" s="1506"/>
      <c r="AS857" s="1507"/>
      <c r="AT857" s="1507"/>
      <c r="AU857" s="1507"/>
      <c r="AV857" s="1507"/>
      <c r="AW857" s="3247">
        <f>ROUND(AL857*AQ857/G857,0)-3000</f>
        <v>2640</v>
      </c>
      <c r="AX857" s="3146"/>
      <c r="BA857" s="267"/>
      <c r="BB857" s="267"/>
      <c r="BC857" s="4117">
        <f t="shared" si="246"/>
        <v>0</v>
      </c>
      <c r="BD857" s="4117">
        <f t="shared" si="247"/>
        <v>0</v>
      </c>
      <c r="BE857" s="267"/>
      <c r="BF857" s="4788"/>
      <c r="BG857" s="267"/>
      <c r="BH857" s="267"/>
    </row>
    <row r="858" spans="1:61" ht="76.5">
      <c r="A858" s="5981" t="s">
        <v>11030</v>
      </c>
      <c r="B858" s="1538" t="s">
        <v>11407</v>
      </c>
      <c r="C858" s="1509">
        <v>0</v>
      </c>
      <c r="D858" s="1510">
        <v>44698</v>
      </c>
      <c r="E858" s="4344" t="s">
        <v>9156</v>
      </c>
      <c r="F858" s="2497" t="s">
        <v>9005</v>
      </c>
      <c r="G858" s="5387">
        <v>1.0956269999999999</v>
      </c>
      <c r="H858" s="1513" t="s">
        <v>10059</v>
      </c>
      <c r="I858" s="1514" t="s">
        <v>5753</v>
      </c>
      <c r="J858" s="1515" t="s">
        <v>2712</v>
      </c>
      <c r="K858" s="1516">
        <v>46189</v>
      </c>
      <c r="L858" s="1514" t="s">
        <v>786</v>
      </c>
      <c r="M858" s="1515" t="s">
        <v>9803</v>
      </c>
      <c r="N858" s="1514" t="s">
        <v>10060</v>
      </c>
      <c r="O858" s="1513" t="s">
        <v>10062</v>
      </c>
      <c r="P858" s="1517"/>
      <c r="Q858" s="1515" t="s">
        <v>10065</v>
      </c>
      <c r="R858" s="1515" t="s">
        <v>10063</v>
      </c>
      <c r="S858" s="1518"/>
      <c r="T858" s="1519"/>
      <c r="U858" s="1504"/>
      <c r="V858" s="1520"/>
      <c r="W858" s="1519"/>
      <c r="X858" s="1504"/>
      <c r="Y858" s="1520"/>
      <c r="Z858" s="1519"/>
      <c r="AA858" s="1504"/>
      <c r="AB858" s="1520"/>
      <c r="AC858" s="1519"/>
      <c r="AD858" s="1504"/>
      <c r="AE858" s="1520"/>
      <c r="AF858" s="1519"/>
      <c r="AG858" s="1504"/>
      <c r="AH858" s="1520"/>
      <c r="AI858" s="1503">
        <v>94094</v>
      </c>
      <c r="AJ858" s="1504">
        <v>0</v>
      </c>
      <c r="AK858" s="3919">
        <v>0</v>
      </c>
      <c r="AL858" s="1505">
        <f t="shared" si="253"/>
        <v>94094</v>
      </c>
      <c r="AM858" s="1508" t="s">
        <v>1061</v>
      </c>
      <c r="AN858" s="3401">
        <v>45105</v>
      </c>
      <c r="AO858" s="3402" t="s">
        <v>11461</v>
      </c>
      <c r="AP858" s="2905" t="s">
        <v>10102</v>
      </c>
      <c r="AQ858" s="2906">
        <v>1.1100000000000001</v>
      </c>
      <c r="AR858" s="1506"/>
      <c r="AS858" s="1507"/>
      <c r="AT858" s="1507"/>
      <c r="AU858" s="1507"/>
      <c r="AV858" s="1507"/>
      <c r="AW858" s="3247">
        <f>ROUND(AL858*AQ858/G858,0)</f>
        <v>95328</v>
      </c>
      <c r="AX858" s="3146"/>
      <c r="BA858" s="267"/>
      <c r="BB858" s="267"/>
      <c r="BC858" s="4117">
        <f t="shared" si="246"/>
        <v>0</v>
      </c>
      <c r="BD858" s="4117">
        <f t="shared" si="247"/>
        <v>0</v>
      </c>
      <c r="BE858" s="267"/>
      <c r="BF858" s="4788"/>
      <c r="BG858" s="267"/>
      <c r="BH858" s="267"/>
    </row>
    <row r="859" spans="1:61" ht="114.75">
      <c r="A859" s="5981" t="s">
        <v>11006</v>
      </c>
      <c r="B859" s="1538" t="s">
        <v>11261</v>
      </c>
      <c r="C859" s="3402">
        <v>3</v>
      </c>
      <c r="D859" s="1510" t="s">
        <v>11265</v>
      </c>
      <c r="E859" s="4344" t="s">
        <v>11263</v>
      </c>
      <c r="F859" s="1511" t="s">
        <v>11264</v>
      </c>
      <c r="G859" s="6172">
        <v>1.1100000000000001</v>
      </c>
      <c r="H859" s="1513" t="s">
        <v>11272</v>
      </c>
      <c r="I859" s="1514" t="s">
        <v>1433</v>
      </c>
      <c r="J859" s="1515" t="s">
        <v>1434</v>
      </c>
      <c r="K859" s="1516">
        <v>46507</v>
      </c>
      <c r="L859" s="1514" t="s">
        <v>8765</v>
      </c>
      <c r="M859" s="1515" t="s">
        <v>8766</v>
      </c>
      <c r="N859" s="1514" t="s">
        <v>9462</v>
      </c>
      <c r="O859" s="1513" t="s">
        <v>9461</v>
      </c>
      <c r="P859" s="1517"/>
      <c r="Q859" s="1515" t="s">
        <v>11270</v>
      </c>
      <c r="R859" s="2145" t="s">
        <v>11267</v>
      </c>
      <c r="S859" s="1518"/>
      <c r="T859" s="1519"/>
      <c r="U859" s="1504"/>
      <c r="V859" s="1520"/>
      <c r="W859" s="1519"/>
      <c r="X859" s="1504"/>
      <c r="Y859" s="1520"/>
      <c r="Z859" s="1519"/>
      <c r="AA859" s="1504"/>
      <c r="AB859" s="1520"/>
      <c r="AC859" s="1519"/>
      <c r="AD859" s="1504"/>
      <c r="AE859" s="1520"/>
      <c r="AF859" s="1519"/>
      <c r="AG859" s="1504"/>
      <c r="AH859" s="1520"/>
      <c r="AI859" s="1503">
        <v>264943</v>
      </c>
      <c r="AJ859" s="1504">
        <v>0</v>
      </c>
      <c r="AK859" s="3919">
        <v>0</v>
      </c>
      <c r="AL859" s="1505">
        <f t="shared" si="253"/>
        <v>264943</v>
      </c>
      <c r="AM859" s="1508" t="s">
        <v>2977</v>
      </c>
      <c r="AN859" s="3401">
        <v>45106</v>
      </c>
      <c r="AO859" s="3402" t="s">
        <v>11475</v>
      </c>
      <c r="AP859" s="2905" t="s">
        <v>10102</v>
      </c>
      <c r="AQ859" s="2906">
        <v>1.1100000000000001</v>
      </c>
      <c r="AR859" s="1506"/>
      <c r="AS859" s="1507"/>
      <c r="AT859" s="1507"/>
      <c r="AU859" s="1507"/>
      <c r="AV859" s="1507"/>
      <c r="AW859" s="3247">
        <f>ROUND(AL859*AQ859/G859,0)</f>
        <v>264943</v>
      </c>
      <c r="AX859" s="3146"/>
      <c r="BA859" s="267"/>
      <c r="BB859" s="267"/>
      <c r="BC859" s="4117">
        <f t="shared" si="246"/>
        <v>0</v>
      </c>
      <c r="BD859" s="4117">
        <f t="shared" si="247"/>
        <v>0</v>
      </c>
      <c r="BE859" s="267"/>
      <c r="BF859" s="4788"/>
      <c r="BG859" s="267"/>
      <c r="BH859" s="267"/>
    </row>
    <row r="860" spans="1:61" ht="114.75">
      <c r="A860" s="5981" t="s">
        <v>11006</v>
      </c>
      <c r="B860" s="1538" t="s">
        <v>11262</v>
      </c>
      <c r="C860" s="3402">
        <v>3</v>
      </c>
      <c r="D860" s="1510" t="s">
        <v>11265</v>
      </c>
      <c r="E860" s="4344" t="s">
        <v>11263</v>
      </c>
      <c r="F860" s="1511" t="s">
        <v>11264</v>
      </c>
      <c r="G860" s="6172">
        <v>1.1100000000000001</v>
      </c>
      <c r="H860" s="1513" t="s">
        <v>11271</v>
      </c>
      <c r="I860" s="1514" t="s">
        <v>1433</v>
      </c>
      <c r="J860" s="1515" t="s">
        <v>1434</v>
      </c>
      <c r="K860" s="1516">
        <v>46507</v>
      </c>
      <c r="L860" s="1514" t="s">
        <v>8765</v>
      </c>
      <c r="M860" s="1515" t="s">
        <v>8766</v>
      </c>
      <c r="N860" s="1514" t="s">
        <v>9462</v>
      </c>
      <c r="O860" s="1513" t="s">
        <v>9461</v>
      </c>
      <c r="P860" s="1517"/>
      <c r="Q860" s="1515" t="s">
        <v>11268</v>
      </c>
      <c r="R860" s="2145" t="s">
        <v>1046</v>
      </c>
      <c r="S860" s="1518"/>
      <c r="T860" s="1519"/>
      <c r="U860" s="1504"/>
      <c r="V860" s="1520"/>
      <c r="W860" s="1519"/>
      <c r="X860" s="1504"/>
      <c r="Y860" s="1520"/>
      <c r="Z860" s="1519"/>
      <c r="AA860" s="1504"/>
      <c r="AB860" s="1520"/>
      <c r="AC860" s="1519"/>
      <c r="AD860" s="1504"/>
      <c r="AE860" s="1520"/>
      <c r="AF860" s="1519"/>
      <c r="AG860" s="1504"/>
      <c r="AH860" s="1520"/>
      <c r="AI860" s="1503">
        <v>71928</v>
      </c>
      <c r="AJ860" s="1504">
        <v>0</v>
      </c>
      <c r="AK860" s="3919">
        <v>0</v>
      </c>
      <c r="AL860" s="1505">
        <f t="shared" si="253"/>
        <v>71928</v>
      </c>
      <c r="AM860" s="1508" t="s">
        <v>2977</v>
      </c>
      <c r="AN860" s="3401">
        <v>45106</v>
      </c>
      <c r="AO860" s="3402" t="s">
        <v>11475</v>
      </c>
      <c r="AP860" s="2905" t="s">
        <v>10102</v>
      </c>
      <c r="AQ860" s="2906">
        <v>1.1100000000000001</v>
      </c>
      <c r="AR860" s="1506"/>
      <c r="AS860" s="1507"/>
      <c r="AT860" s="1507"/>
      <c r="AU860" s="1507"/>
      <c r="AV860" s="1507"/>
      <c r="AW860" s="3247">
        <f>ROUND(AL860*AQ860/G860,0)</f>
        <v>71928</v>
      </c>
      <c r="AX860" s="3146"/>
      <c r="BA860" s="267"/>
      <c r="BB860" s="267"/>
      <c r="BC860" s="4117">
        <f t="shared" si="246"/>
        <v>0</v>
      </c>
      <c r="BD860" s="4117">
        <f t="shared" si="247"/>
        <v>0</v>
      </c>
      <c r="BE860" s="267"/>
      <c r="BF860" s="4788"/>
      <c r="BG860" s="267"/>
      <c r="BH860" s="267"/>
    </row>
    <row r="861" spans="1:61" ht="128.25" thickBot="1">
      <c r="A861" s="6173" t="s">
        <v>11006</v>
      </c>
      <c r="B861" s="5573" t="s">
        <v>11476</v>
      </c>
      <c r="C861" s="6174">
        <v>0</v>
      </c>
      <c r="D861" s="6175">
        <v>44413</v>
      </c>
      <c r="E861" s="6176" t="s">
        <v>8170</v>
      </c>
      <c r="F861" s="6177" t="s">
        <v>10102</v>
      </c>
      <c r="G861" s="6178">
        <v>1.1100000000000001</v>
      </c>
      <c r="H861" s="6179" t="s">
        <v>9104</v>
      </c>
      <c r="I861" s="5580" t="s">
        <v>9074</v>
      </c>
      <c r="J861" s="6180" t="s">
        <v>4306</v>
      </c>
      <c r="K861" s="6181">
        <v>45143</v>
      </c>
      <c r="L861" s="5580" t="s">
        <v>9075</v>
      </c>
      <c r="M861" s="6180" t="s">
        <v>9076</v>
      </c>
      <c r="N861" s="5580" t="s">
        <v>9077</v>
      </c>
      <c r="O861" s="6179" t="s">
        <v>9073</v>
      </c>
      <c r="P861" s="5583" t="s">
        <v>11393</v>
      </c>
      <c r="Q861" s="6180" t="s">
        <v>11324</v>
      </c>
      <c r="R861" s="6180" t="s">
        <v>9079</v>
      </c>
      <c r="S861" s="6182"/>
      <c r="T861" s="5585"/>
      <c r="U861" s="6183"/>
      <c r="V861" s="6184"/>
      <c r="W861" s="5585"/>
      <c r="X861" s="6183"/>
      <c r="Y861" s="6184"/>
      <c r="Z861" s="5585"/>
      <c r="AA861" s="6183"/>
      <c r="AB861" s="6184"/>
      <c r="AC861" s="5585"/>
      <c r="AD861" s="6183"/>
      <c r="AE861" s="6184"/>
      <c r="AF861" s="5585"/>
      <c r="AG861" s="6183"/>
      <c r="AH861" s="6184"/>
      <c r="AI861" s="5588">
        <f>2979+8938</f>
        <v>11917</v>
      </c>
      <c r="AJ861" s="6183">
        <v>0</v>
      </c>
      <c r="AK861" s="6185">
        <v>0</v>
      </c>
      <c r="AL861" s="6186">
        <f t="shared" si="253"/>
        <v>11917</v>
      </c>
      <c r="AM861" s="5743" t="s">
        <v>11477</v>
      </c>
      <c r="AN861" s="6187">
        <v>45107</v>
      </c>
      <c r="AO861" s="6188" t="s">
        <v>11478</v>
      </c>
      <c r="AP861" s="4718" t="s">
        <v>10102</v>
      </c>
      <c r="AQ861" s="4719">
        <v>1.1100000000000001</v>
      </c>
      <c r="AR861" s="5596"/>
      <c r="AS861" s="6189"/>
      <c r="AT861" s="6189"/>
      <c r="AU861" s="6189"/>
      <c r="AV861" s="6189"/>
      <c r="AW861" s="6190">
        <f>ROUND(AL861*AQ861/G861,0)-2979</f>
        <v>8938</v>
      </c>
      <c r="AX861" s="5599"/>
      <c r="AY861" s="4029" t="s">
        <v>11376</v>
      </c>
      <c r="AZ861" s="3888">
        <f>SUM(AW848:AW861)</f>
        <v>786626</v>
      </c>
      <c r="BA861" s="2119">
        <f>AZ861</f>
        <v>786626</v>
      </c>
      <c r="BB861" s="307"/>
      <c r="BC861" s="4118">
        <f t="shared" si="246"/>
        <v>0</v>
      </c>
      <c r="BD861" s="4118">
        <f t="shared" si="247"/>
        <v>0</v>
      </c>
      <c r="BE861" s="307"/>
      <c r="BF861" s="4722">
        <f>SUM(BA728:BA861)</f>
        <v>2907581</v>
      </c>
      <c r="BG861" s="4673">
        <f>SUM(BC728:BC861)</f>
        <v>215619</v>
      </c>
      <c r="BH861" s="4673">
        <f>SUM(BD728:BD861)</f>
        <v>87913</v>
      </c>
      <c r="BI861" s="4674">
        <f>SUM(BE727:BE861)</f>
        <v>0</v>
      </c>
    </row>
    <row r="862" spans="1:61" ht="114.75">
      <c r="A862" s="2418" t="s">
        <v>11006</v>
      </c>
      <c r="B862" s="338" t="s">
        <v>11483</v>
      </c>
      <c r="C862" s="321">
        <v>0</v>
      </c>
      <c r="D862" s="323">
        <v>44553</v>
      </c>
      <c r="E862" s="3058" t="s">
        <v>9156</v>
      </c>
      <c r="F862" s="830" t="s">
        <v>9005</v>
      </c>
      <c r="G862" s="5356">
        <v>1.0956269999999999</v>
      </c>
      <c r="H862" s="332" t="s">
        <v>9673</v>
      </c>
      <c r="I862" s="339" t="s">
        <v>9548</v>
      </c>
      <c r="J862" s="2399" t="s">
        <v>4306</v>
      </c>
      <c r="K862" s="340">
        <v>45282</v>
      </c>
      <c r="L862" s="339" t="s">
        <v>9547</v>
      </c>
      <c r="M862" s="322" t="s">
        <v>9545</v>
      </c>
      <c r="N862" s="339" t="s">
        <v>9546</v>
      </c>
      <c r="O862" s="332" t="s">
        <v>9545</v>
      </c>
      <c r="P862" s="345" t="s">
        <v>10762</v>
      </c>
      <c r="Q862" s="6094" t="s">
        <v>9047</v>
      </c>
      <c r="R862" s="322" t="s">
        <v>945</v>
      </c>
      <c r="S862" s="346"/>
      <c r="T862" s="347"/>
      <c r="U862" s="326"/>
      <c r="V862" s="348"/>
      <c r="W862" s="347"/>
      <c r="X862" s="326"/>
      <c r="Y862" s="348"/>
      <c r="Z862" s="347"/>
      <c r="AA862" s="326"/>
      <c r="AB862" s="348"/>
      <c r="AC862" s="347"/>
      <c r="AD862" s="326"/>
      <c r="AE862" s="348"/>
      <c r="AF862" s="347"/>
      <c r="AG862" s="326"/>
      <c r="AH862" s="348"/>
      <c r="AI862" s="482">
        <v>6534</v>
      </c>
      <c r="AJ862" s="326">
        <v>0</v>
      </c>
      <c r="AK862" s="3917">
        <v>0</v>
      </c>
      <c r="AL862" s="349">
        <f t="shared" si="253"/>
        <v>6534</v>
      </c>
      <c r="AM862" s="5360" t="s">
        <v>11482</v>
      </c>
      <c r="AN862" s="3357">
        <v>45110</v>
      </c>
      <c r="AO862" s="695" t="s">
        <v>11484</v>
      </c>
      <c r="AP862" s="3696" t="s">
        <v>10102</v>
      </c>
      <c r="AQ862" s="3697">
        <v>1.1100000000000001</v>
      </c>
      <c r="AR862" s="333"/>
      <c r="AS862" s="330"/>
      <c r="AT862" s="330"/>
      <c r="AU862" s="330"/>
      <c r="AV862" s="330"/>
      <c r="AW862" s="3156">
        <f>((ROUND(AL862*AQ862/G862,0)-1800)*1.05)-1220</f>
        <v>3841</v>
      </c>
      <c r="AX862" s="3140"/>
      <c r="BA862" s="267"/>
      <c r="BB862" s="267"/>
      <c r="BC862" s="4117">
        <f t="shared" si="246"/>
        <v>0</v>
      </c>
      <c r="BD862" s="4117">
        <f t="shared" si="247"/>
        <v>0</v>
      </c>
      <c r="BE862" s="6155"/>
      <c r="BF862" s="6154"/>
    </row>
    <row r="863" spans="1:61" ht="76.5">
      <c r="A863" s="2418" t="s">
        <v>11030</v>
      </c>
      <c r="B863" s="338" t="s">
        <v>11486</v>
      </c>
      <c r="C863" s="321">
        <v>0</v>
      </c>
      <c r="D863" s="323">
        <v>44823</v>
      </c>
      <c r="E863" s="3058" t="s">
        <v>10324</v>
      </c>
      <c r="F863" s="830" t="s">
        <v>10101</v>
      </c>
      <c r="G863" s="5356">
        <v>1.1100000000000001</v>
      </c>
      <c r="H863" s="332" t="s">
        <v>11084</v>
      </c>
      <c r="I863" s="339" t="s">
        <v>9560</v>
      </c>
      <c r="J863" s="2399" t="s">
        <v>4306</v>
      </c>
      <c r="K863" s="340">
        <v>45554</v>
      </c>
      <c r="L863" s="339" t="s">
        <v>10389</v>
      </c>
      <c r="M863" s="322" t="s">
        <v>9660</v>
      </c>
      <c r="N863" s="339" t="s">
        <v>10390</v>
      </c>
      <c r="O863" s="332" t="s">
        <v>10391</v>
      </c>
      <c r="P863" s="345"/>
      <c r="Q863" s="6094" t="s">
        <v>9071</v>
      </c>
      <c r="R863" s="322" t="s">
        <v>536</v>
      </c>
      <c r="S863" s="346"/>
      <c r="T863" s="347"/>
      <c r="U863" s="326"/>
      <c r="V863" s="348"/>
      <c r="W863" s="347"/>
      <c r="X863" s="326"/>
      <c r="Y863" s="348"/>
      <c r="Z863" s="347"/>
      <c r="AA863" s="326"/>
      <c r="AB863" s="348"/>
      <c r="AC863" s="820"/>
      <c r="AD863" s="821"/>
      <c r="AE863" s="822"/>
      <c r="AF863" s="820"/>
      <c r="AG863" s="821"/>
      <c r="AH863" s="822"/>
      <c r="AI863" s="482">
        <v>5639</v>
      </c>
      <c r="AJ863" s="326">
        <v>0</v>
      </c>
      <c r="AK863" s="3917">
        <v>0</v>
      </c>
      <c r="AL863" s="349">
        <f t="shared" ref="AL863:AL868" si="254">AI863-AJ863-AK863</f>
        <v>5639</v>
      </c>
      <c r="AM863" s="2002" t="s">
        <v>1061</v>
      </c>
      <c r="AN863" s="3357">
        <v>45117</v>
      </c>
      <c r="AO863" s="695" t="s">
        <v>11518</v>
      </c>
      <c r="AP863" s="3362" t="s">
        <v>11479</v>
      </c>
      <c r="AQ863" s="3555">
        <v>1.1576249999999999</v>
      </c>
      <c r="AR863" s="333"/>
      <c r="AS863" s="330"/>
      <c r="AT863" s="330"/>
      <c r="AU863" s="849"/>
      <c r="AV863" s="849"/>
      <c r="AW863" s="3156">
        <f>ROUND(AL863*AQ863/G863,0)</f>
        <v>5881</v>
      </c>
      <c r="AX863" s="3140"/>
      <c r="BA863" s="267"/>
      <c r="BB863" s="267"/>
      <c r="BC863" s="4117">
        <f t="shared" si="246"/>
        <v>0</v>
      </c>
      <c r="BD863" s="4117">
        <f t="shared" si="247"/>
        <v>0</v>
      </c>
      <c r="BE863" s="6155"/>
      <c r="BF863" s="6154"/>
    </row>
    <row r="864" spans="1:61" ht="89.25">
      <c r="A864" s="2418" t="s">
        <v>11030</v>
      </c>
      <c r="B864" s="338" t="s">
        <v>11534</v>
      </c>
      <c r="C864" s="321">
        <v>0</v>
      </c>
      <c r="D864" s="323">
        <v>44804</v>
      </c>
      <c r="E864" s="3058" t="s">
        <v>10324</v>
      </c>
      <c r="F864" s="830" t="s">
        <v>10101</v>
      </c>
      <c r="G864" s="5356">
        <v>1.1100000000000001</v>
      </c>
      <c r="H864" s="332" t="s">
        <v>10357</v>
      </c>
      <c r="I864" s="339" t="s">
        <v>10318</v>
      </c>
      <c r="J864" s="2399" t="s">
        <v>4306</v>
      </c>
      <c r="K864" s="340">
        <v>45535</v>
      </c>
      <c r="L864" s="339" t="s">
        <v>10319</v>
      </c>
      <c r="M864" s="322" t="s">
        <v>10320</v>
      </c>
      <c r="N864" s="339" t="s">
        <v>10321</v>
      </c>
      <c r="O864" s="332" t="s">
        <v>10322</v>
      </c>
      <c r="P864" s="345"/>
      <c r="Q864" s="6094" t="s">
        <v>9071</v>
      </c>
      <c r="R864" s="322" t="s">
        <v>536</v>
      </c>
      <c r="S864" s="346"/>
      <c r="T864" s="347"/>
      <c r="U864" s="326"/>
      <c r="V864" s="348"/>
      <c r="W864" s="347"/>
      <c r="X864" s="326"/>
      <c r="Y864" s="348"/>
      <c r="Z864" s="347"/>
      <c r="AA864" s="326"/>
      <c r="AB864" s="348"/>
      <c r="AC864" s="347"/>
      <c r="AD864" s="326"/>
      <c r="AE864" s="348"/>
      <c r="AF864" s="347"/>
      <c r="AG864" s="326"/>
      <c r="AH864" s="348"/>
      <c r="AI864" s="482">
        <v>5639</v>
      </c>
      <c r="AJ864" s="326">
        <v>0</v>
      </c>
      <c r="AK864" s="3917">
        <v>0</v>
      </c>
      <c r="AL864" s="349">
        <f t="shared" si="254"/>
        <v>5639</v>
      </c>
      <c r="AM864" s="2002" t="s">
        <v>1061</v>
      </c>
      <c r="AN864" s="3357">
        <v>45124</v>
      </c>
      <c r="AO864" s="695" t="s">
        <v>11533</v>
      </c>
      <c r="AP864" s="3362" t="s">
        <v>11479</v>
      </c>
      <c r="AQ864" s="3555">
        <v>1.1576249999999999</v>
      </c>
      <c r="AR864" s="333"/>
      <c r="AS864" s="4135"/>
      <c r="AT864" s="4135"/>
      <c r="AU864" s="4135"/>
      <c r="AV864" s="4135"/>
      <c r="AW864" s="3156">
        <f>ROUND(AL864*AQ864/G864,0)</f>
        <v>5881</v>
      </c>
      <c r="AX864" s="3140"/>
      <c r="BA864" s="267"/>
      <c r="BB864" s="267"/>
      <c r="BC864" s="4117">
        <f t="shared" si="246"/>
        <v>0</v>
      </c>
      <c r="BD864" s="4117">
        <f t="shared" si="247"/>
        <v>0</v>
      </c>
      <c r="BE864" s="6155"/>
      <c r="BF864" s="6154"/>
    </row>
    <row r="865" spans="1:58" ht="76.5">
      <c r="A865" s="2418" t="s">
        <v>11006</v>
      </c>
      <c r="B865" s="338" t="s">
        <v>11537</v>
      </c>
      <c r="C865" s="321">
        <v>0</v>
      </c>
      <c r="D865" s="323">
        <v>44606</v>
      </c>
      <c r="E865" s="3058" t="s">
        <v>9156</v>
      </c>
      <c r="F865" s="830" t="s">
        <v>9005</v>
      </c>
      <c r="G865" s="5356">
        <v>1.0956269999999999</v>
      </c>
      <c r="H865" s="332" t="s">
        <v>9669</v>
      </c>
      <c r="I865" s="339" t="s">
        <v>1433</v>
      </c>
      <c r="J865" s="322" t="s">
        <v>1434</v>
      </c>
      <c r="K865" s="340">
        <v>46794</v>
      </c>
      <c r="L865" s="339" t="s">
        <v>9638</v>
      </c>
      <c r="M865" s="322" t="s">
        <v>6628</v>
      </c>
      <c r="N865" s="339" t="s">
        <v>9639</v>
      </c>
      <c r="O865" s="332" t="s">
        <v>9654</v>
      </c>
      <c r="P865" s="345" t="s">
        <v>11535</v>
      </c>
      <c r="Q865" s="322" t="s">
        <v>11538</v>
      </c>
      <c r="R865" s="322" t="s">
        <v>7830</v>
      </c>
      <c r="S865" s="346"/>
      <c r="T865" s="347"/>
      <c r="U865" s="326"/>
      <c r="V865" s="348"/>
      <c r="W865" s="347"/>
      <c r="X865" s="326"/>
      <c r="Y865" s="348"/>
      <c r="Z865" s="347"/>
      <c r="AA865" s="326"/>
      <c r="AB865" s="348"/>
      <c r="AC865" s="347"/>
      <c r="AD865" s="326"/>
      <c r="AE865" s="348"/>
      <c r="AF865" s="347"/>
      <c r="AG865" s="326"/>
      <c r="AH865" s="348"/>
      <c r="AI865" s="482">
        <f>5601</f>
        <v>5601</v>
      </c>
      <c r="AJ865" s="326">
        <v>0</v>
      </c>
      <c r="AK865" s="3917">
        <v>0</v>
      </c>
      <c r="AL865" s="349">
        <f t="shared" si="254"/>
        <v>5601</v>
      </c>
      <c r="AM865" s="2002" t="s">
        <v>11539</v>
      </c>
      <c r="AN865" s="3357">
        <v>45126</v>
      </c>
      <c r="AO865" s="695" t="s">
        <v>11545</v>
      </c>
      <c r="AP865" s="3362" t="s">
        <v>11479</v>
      </c>
      <c r="AQ865" s="3555">
        <v>1.1576249999999999</v>
      </c>
      <c r="AR865" s="333"/>
      <c r="AS865" s="330"/>
      <c r="AT865" s="330"/>
      <c r="AU865" s="330"/>
      <c r="AV865" s="330"/>
      <c r="AW865" s="3156">
        <f>ROUND(AL865*AQ865/G865,0)</f>
        <v>5918</v>
      </c>
      <c r="AX865" s="3140"/>
      <c r="BA865" s="267"/>
      <c r="BB865" s="267"/>
      <c r="BC865" s="4117">
        <f t="shared" si="246"/>
        <v>0</v>
      </c>
      <c r="BD865" s="4117">
        <f t="shared" si="247"/>
        <v>0</v>
      </c>
      <c r="BE865" s="6155"/>
      <c r="BF865" s="6154"/>
    </row>
    <row r="866" spans="1:58" ht="51">
      <c r="A866" s="2418" t="s">
        <v>11004</v>
      </c>
      <c r="B866" s="338" t="s">
        <v>11532</v>
      </c>
      <c r="C866" s="321">
        <v>0</v>
      </c>
      <c r="D866" s="323">
        <v>43318</v>
      </c>
      <c r="E866" s="3051" t="s">
        <v>6385</v>
      </c>
      <c r="F866" s="324" t="s">
        <v>5757</v>
      </c>
      <c r="G866" s="2621">
        <v>1.0247219999999999</v>
      </c>
      <c r="H866" s="332" t="s">
        <v>5802</v>
      </c>
      <c r="I866" s="339" t="s">
        <v>1433</v>
      </c>
      <c r="J866" s="322" t="s">
        <v>1434</v>
      </c>
      <c r="K866" s="340">
        <v>45510</v>
      </c>
      <c r="L866" s="339" t="s">
        <v>5803</v>
      </c>
      <c r="M866" s="322" t="s">
        <v>5804</v>
      </c>
      <c r="N866" s="339" t="s">
        <v>5806</v>
      </c>
      <c r="O866" s="332" t="s">
        <v>5805</v>
      </c>
      <c r="P866" s="345"/>
      <c r="Q866" s="322" t="s">
        <v>5439</v>
      </c>
      <c r="R866" s="322" t="s">
        <v>5350</v>
      </c>
      <c r="S866" s="346"/>
      <c r="T866" s="347">
        <v>2950</v>
      </c>
      <c r="U866" s="326">
        <v>0</v>
      </c>
      <c r="V866" s="348">
        <f>T866-U866</f>
        <v>2950</v>
      </c>
      <c r="W866" s="347">
        <v>3689</v>
      </c>
      <c r="X866" s="326">
        <v>0</v>
      </c>
      <c r="Y866" s="348">
        <f>W866-X866</f>
        <v>3689</v>
      </c>
      <c r="Z866" s="347">
        <v>738</v>
      </c>
      <c r="AA866" s="326">
        <v>0</v>
      </c>
      <c r="AB866" s="348">
        <f>Z866-AA866</f>
        <v>738</v>
      </c>
      <c r="AC866" s="347"/>
      <c r="AD866" s="326"/>
      <c r="AE866" s="348"/>
      <c r="AF866" s="347"/>
      <c r="AG866" s="326"/>
      <c r="AH866" s="348"/>
      <c r="AI866" s="482">
        <f>T866+W866+Z866+AC866+AF866</f>
        <v>7377</v>
      </c>
      <c r="AJ866" s="326">
        <f>U866+X866+AA866+AD866+AG866</f>
        <v>0</v>
      </c>
      <c r="AK866" s="3917">
        <v>0</v>
      </c>
      <c r="AL866" s="349">
        <f t="shared" si="254"/>
        <v>7377</v>
      </c>
      <c r="AM866" s="2002" t="s">
        <v>1061</v>
      </c>
      <c r="AN866" s="3357">
        <v>45127</v>
      </c>
      <c r="AO866" s="695" t="s">
        <v>11558</v>
      </c>
      <c r="AP866" s="2722" t="s">
        <v>11479</v>
      </c>
      <c r="AQ866" s="2723">
        <v>1.1576249999999999</v>
      </c>
      <c r="AR866" s="333">
        <v>0</v>
      </c>
      <c r="AS866" s="330">
        <v>0</v>
      </c>
      <c r="AT866" s="330">
        <v>0</v>
      </c>
      <c r="AU866" s="330">
        <v>0</v>
      </c>
      <c r="AV866" s="330">
        <v>0</v>
      </c>
      <c r="AW866" s="3156">
        <f>ROUND(AL866*AQ866/G866,0)+10</f>
        <v>8344</v>
      </c>
      <c r="AX866" s="3140"/>
      <c r="BA866" s="267"/>
      <c r="BB866" s="267"/>
      <c r="BC866" s="4117">
        <f t="shared" si="246"/>
        <v>0</v>
      </c>
      <c r="BD866" s="4117">
        <f t="shared" si="247"/>
        <v>0</v>
      </c>
      <c r="BE866" s="6155"/>
      <c r="BF866" s="6154"/>
    </row>
    <row r="867" spans="1:58" ht="89.25">
      <c r="A867" s="2418" t="s">
        <v>11030</v>
      </c>
      <c r="B867" s="338" t="s">
        <v>11590</v>
      </c>
      <c r="C867" s="321">
        <v>0</v>
      </c>
      <c r="D867" s="323">
        <v>44783</v>
      </c>
      <c r="E867" s="3058" t="s">
        <v>9156</v>
      </c>
      <c r="F867" s="830" t="s">
        <v>10101</v>
      </c>
      <c r="G867" s="5356">
        <v>1.1100000000000001</v>
      </c>
      <c r="H867" s="332" t="s">
        <v>10212</v>
      </c>
      <c r="I867" s="339" t="s">
        <v>10290</v>
      </c>
      <c r="J867" s="2399" t="s">
        <v>4306</v>
      </c>
      <c r="K867" s="340">
        <v>45514</v>
      </c>
      <c r="L867" s="339" t="s">
        <v>10217</v>
      </c>
      <c r="M867" s="322" t="s">
        <v>10218</v>
      </c>
      <c r="N867" s="339" t="s">
        <v>10219</v>
      </c>
      <c r="O867" s="322" t="s">
        <v>10218</v>
      </c>
      <c r="P867" s="345"/>
      <c r="Q867" s="6094" t="s">
        <v>9047</v>
      </c>
      <c r="R867" s="322" t="s">
        <v>536</v>
      </c>
      <c r="S867" s="346"/>
      <c r="T867" s="347"/>
      <c r="U867" s="326"/>
      <c r="V867" s="348"/>
      <c r="W867" s="347"/>
      <c r="X867" s="326"/>
      <c r="Y867" s="348"/>
      <c r="Z867" s="347"/>
      <c r="AA867" s="326"/>
      <c r="AB867" s="348"/>
      <c r="AC867" s="347"/>
      <c r="AD867" s="326"/>
      <c r="AE867" s="348"/>
      <c r="AF867" s="347"/>
      <c r="AG867" s="326"/>
      <c r="AH867" s="348"/>
      <c r="AI867" s="482">
        <v>5640</v>
      </c>
      <c r="AJ867" s="326">
        <v>0</v>
      </c>
      <c r="AK867" s="3917">
        <v>0</v>
      </c>
      <c r="AL867" s="349">
        <f t="shared" si="254"/>
        <v>5640</v>
      </c>
      <c r="AM867" s="2002" t="s">
        <v>1061</v>
      </c>
      <c r="AN867" s="3357">
        <v>45138</v>
      </c>
      <c r="AO867" s="695" t="s">
        <v>11600</v>
      </c>
      <c r="AP867" s="3362" t="s">
        <v>11479</v>
      </c>
      <c r="AQ867" s="3555">
        <v>1.1576249999999999</v>
      </c>
      <c r="AR867" s="333"/>
      <c r="AS867" s="330"/>
      <c r="AT867" s="330"/>
      <c r="AU867" s="330"/>
      <c r="AV867" s="330"/>
      <c r="AW867" s="3156">
        <f>ROUND(AL867*AQ867/G867,0)</f>
        <v>5882</v>
      </c>
      <c r="AX867" s="3140"/>
      <c r="BA867" s="267"/>
      <c r="BB867" s="267"/>
      <c r="BC867" s="4117">
        <f t="shared" si="246"/>
        <v>0</v>
      </c>
      <c r="BD867" s="4117">
        <f t="shared" si="247"/>
        <v>0</v>
      </c>
      <c r="BE867" s="6155"/>
      <c r="BF867" s="6154"/>
    </row>
    <row r="868" spans="1:58" ht="90" thickBot="1">
      <c r="A868" s="6212" t="s">
        <v>11006</v>
      </c>
      <c r="B868" s="6213" t="s">
        <v>11592</v>
      </c>
      <c r="C868" s="6214">
        <v>0</v>
      </c>
      <c r="D868" s="6215">
        <v>44104</v>
      </c>
      <c r="E868" s="6216" t="s">
        <v>7972</v>
      </c>
      <c r="F868" s="6217" t="s">
        <v>7957</v>
      </c>
      <c r="G868" s="6218">
        <v>1.0795220000000001</v>
      </c>
      <c r="H868" s="6219" t="s">
        <v>8269</v>
      </c>
      <c r="I868" s="5605" t="s">
        <v>8107</v>
      </c>
      <c r="J868" s="6220" t="s">
        <v>4306</v>
      </c>
      <c r="K868" s="6221">
        <v>44834</v>
      </c>
      <c r="L868" s="5605" t="s">
        <v>8110</v>
      </c>
      <c r="M868" s="6220" t="s">
        <v>8111</v>
      </c>
      <c r="N868" s="5605" t="s">
        <v>8112</v>
      </c>
      <c r="O868" s="6220" t="s">
        <v>8111</v>
      </c>
      <c r="P868" s="5608"/>
      <c r="Q868" s="6231" t="s">
        <v>9047</v>
      </c>
      <c r="R868" s="6220" t="s">
        <v>5350</v>
      </c>
      <c r="S868" s="6222"/>
      <c r="T868" s="5610"/>
      <c r="U868" s="6223"/>
      <c r="V868" s="6224"/>
      <c r="W868" s="5610"/>
      <c r="X868" s="6223"/>
      <c r="Y868" s="6224"/>
      <c r="Z868" s="5610"/>
      <c r="AA868" s="6223"/>
      <c r="AB868" s="6224"/>
      <c r="AC868" s="5610"/>
      <c r="AD868" s="6223"/>
      <c r="AE868" s="6224"/>
      <c r="AF868" s="5610"/>
      <c r="AG868" s="6223"/>
      <c r="AH868" s="6224"/>
      <c r="AI868" s="5613">
        <v>0</v>
      </c>
      <c r="AJ868" s="6223">
        <v>0</v>
      </c>
      <c r="AK868" s="6225">
        <v>0</v>
      </c>
      <c r="AL868" s="6226">
        <f t="shared" si="254"/>
        <v>0</v>
      </c>
      <c r="AM868" s="5616" t="s">
        <v>11591</v>
      </c>
      <c r="AN868" s="6227">
        <v>45138</v>
      </c>
      <c r="AO868" s="6228" t="s">
        <v>11601</v>
      </c>
      <c r="AP868" s="3387" t="s">
        <v>11479</v>
      </c>
      <c r="AQ868" s="4753">
        <v>1.1576249999999999</v>
      </c>
      <c r="AR868" s="5619"/>
      <c r="AS868" s="6229"/>
      <c r="AT868" s="6229"/>
      <c r="AU868" s="6229"/>
      <c r="AV868" s="6229"/>
      <c r="AW868" s="6230">
        <v>5485</v>
      </c>
      <c r="AX868" s="5623"/>
      <c r="AY868" s="4031" t="s">
        <v>11481</v>
      </c>
      <c r="AZ868" s="3857">
        <f>SUM(AW862:AW868)</f>
        <v>41232</v>
      </c>
      <c r="BA868" s="1663">
        <f>AZ868</f>
        <v>41232</v>
      </c>
      <c r="BB868" s="267"/>
      <c r="BC868" s="4117">
        <f t="shared" si="246"/>
        <v>0</v>
      </c>
      <c r="BD868" s="4117">
        <f t="shared" si="247"/>
        <v>0</v>
      </c>
      <c r="BE868" s="6155"/>
      <c r="BF868" s="6154"/>
    </row>
    <row r="869" spans="1:58" ht="76.5">
      <c r="A869" s="5981" t="s">
        <v>10984</v>
      </c>
      <c r="B869" s="1538" t="s">
        <v>11625</v>
      </c>
      <c r="C869" s="1509">
        <v>0</v>
      </c>
      <c r="D869" s="1510">
        <v>45091</v>
      </c>
      <c r="E869" s="4344" t="s">
        <v>10324</v>
      </c>
      <c r="F869" s="2497" t="s">
        <v>10101</v>
      </c>
      <c r="G869" s="5387">
        <v>1.1100000000000001</v>
      </c>
      <c r="H869" s="1513" t="s">
        <v>11402</v>
      </c>
      <c r="I869" s="1514" t="s">
        <v>1433</v>
      </c>
      <c r="J869" s="1515" t="s">
        <v>1434</v>
      </c>
      <c r="K869" s="1516">
        <v>47283</v>
      </c>
      <c r="L869" s="1514" t="s">
        <v>11403</v>
      </c>
      <c r="M869" s="1515" t="s">
        <v>11379</v>
      </c>
      <c r="N869" s="1514" t="s">
        <v>11404</v>
      </c>
      <c r="O869" s="1513" t="s">
        <v>11405</v>
      </c>
      <c r="P869" s="1517"/>
      <c r="Q869" s="6096" t="s">
        <v>9047</v>
      </c>
      <c r="R869" s="1515" t="s">
        <v>536</v>
      </c>
      <c r="S869" s="1518"/>
      <c r="T869" s="1519"/>
      <c r="U869" s="1504"/>
      <c r="V869" s="1520"/>
      <c r="W869" s="1519"/>
      <c r="X869" s="1504"/>
      <c r="Y869" s="1520"/>
      <c r="Z869" s="1519"/>
      <c r="AA869" s="1504"/>
      <c r="AB869" s="1520"/>
      <c r="AC869" s="1519"/>
      <c r="AD869" s="1504"/>
      <c r="AE869" s="1520"/>
      <c r="AF869" s="1519"/>
      <c r="AG869" s="1504"/>
      <c r="AH869" s="1520"/>
      <c r="AI869" s="1503">
        <v>5639</v>
      </c>
      <c r="AJ869" s="1504">
        <v>0</v>
      </c>
      <c r="AK869" s="3919">
        <v>0</v>
      </c>
      <c r="AL869" s="1505">
        <f>AI869-AJ869-AK869</f>
        <v>5639</v>
      </c>
      <c r="AM869" s="1508" t="s">
        <v>1061</v>
      </c>
      <c r="AN869" s="3401">
        <v>45146</v>
      </c>
      <c r="AO869" s="3402" t="s">
        <v>11626</v>
      </c>
      <c r="AP869" s="2905" t="s">
        <v>11479</v>
      </c>
      <c r="AQ869" s="2906">
        <v>1.1576249999999999</v>
      </c>
      <c r="AR869" s="1506"/>
      <c r="AS869" s="1507"/>
      <c r="AT869" s="1507"/>
      <c r="AU869" s="1507"/>
      <c r="AV869" s="1507"/>
      <c r="AW869" s="3247">
        <f>ROUND(AL869*AQ869/G869,0)</f>
        <v>5881</v>
      </c>
      <c r="AX869" s="3146"/>
      <c r="BA869" s="267"/>
      <c r="BB869" s="267"/>
      <c r="BC869" s="4117">
        <f t="shared" si="246"/>
        <v>0</v>
      </c>
      <c r="BD869" s="4117">
        <f t="shared" si="247"/>
        <v>0</v>
      </c>
      <c r="BE869" s="6155"/>
      <c r="BF869" s="6154"/>
    </row>
    <row r="870" spans="1:58" ht="89.25">
      <c r="A870" s="5981" t="s">
        <v>11006</v>
      </c>
      <c r="B870" s="1538" t="s">
        <v>11485</v>
      </c>
      <c r="C870" s="1509">
        <v>0</v>
      </c>
      <c r="D870" s="1510">
        <v>44298</v>
      </c>
      <c r="E870" s="4344" t="s">
        <v>8170</v>
      </c>
      <c r="F870" s="1511" t="s">
        <v>7957</v>
      </c>
      <c r="G870" s="2663">
        <v>1.0795220000000001</v>
      </c>
      <c r="H870" s="1513" t="s">
        <v>8684</v>
      </c>
      <c r="I870" s="1514" t="s">
        <v>1433</v>
      </c>
      <c r="J870" s="1515" t="s">
        <v>1434</v>
      </c>
      <c r="K870" s="1516">
        <v>46478</v>
      </c>
      <c r="L870" s="1514" t="s">
        <v>8685</v>
      </c>
      <c r="M870" s="1515" t="s">
        <v>8686</v>
      </c>
      <c r="N870" s="1514" t="s">
        <v>7313</v>
      </c>
      <c r="O870" s="1513" t="s">
        <v>8687</v>
      </c>
      <c r="P870" s="1517" t="s">
        <v>8690</v>
      </c>
      <c r="Q870" s="1515" t="s">
        <v>8688</v>
      </c>
      <c r="R870" s="1515" t="s">
        <v>8689</v>
      </c>
      <c r="S870" s="1518"/>
      <c r="T870" s="1519"/>
      <c r="U870" s="1504"/>
      <c r="V870" s="1520"/>
      <c r="W870" s="1519"/>
      <c r="X870" s="1504"/>
      <c r="Y870" s="1520"/>
      <c r="Z870" s="1519"/>
      <c r="AA870" s="1504"/>
      <c r="AB870" s="1520"/>
      <c r="AC870" s="1519"/>
      <c r="AD870" s="1504"/>
      <c r="AE870" s="1520"/>
      <c r="AF870" s="1519"/>
      <c r="AG870" s="1504"/>
      <c r="AH870" s="1520"/>
      <c r="AI870" s="1503">
        <v>90031</v>
      </c>
      <c r="AJ870" s="1504">
        <v>0</v>
      </c>
      <c r="AK870" s="3919">
        <v>0</v>
      </c>
      <c r="AL870" s="1505">
        <f>AI870-AJ870-AK870</f>
        <v>90031</v>
      </c>
      <c r="AM870" s="1508" t="s">
        <v>11633</v>
      </c>
      <c r="AN870" s="3401" t="s">
        <v>11637</v>
      </c>
      <c r="AO870" s="3402" t="s">
        <v>11636</v>
      </c>
      <c r="AP870" s="2905" t="s">
        <v>11479</v>
      </c>
      <c r="AQ870" s="2906">
        <v>1.1576249999999999</v>
      </c>
      <c r="AR870" s="1506"/>
      <c r="AS870" s="1507"/>
      <c r="AT870" s="1507"/>
      <c r="AU870" s="1507"/>
      <c r="AV870" s="1507"/>
      <c r="AW870" s="3247">
        <f>92573+4002</f>
        <v>96575</v>
      </c>
      <c r="AX870" s="3146"/>
      <c r="BA870" s="267"/>
      <c r="BB870" s="267"/>
      <c r="BC870" s="4117">
        <f t="shared" si="246"/>
        <v>0</v>
      </c>
      <c r="BD870" s="4117">
        <f t="shared" si="247"/>
        <v>0</v>
      </c>
      <c r="BE870" s="6155"/>
      <c r="BF870" s="6154"/>
    </row>
    <row r="871" spans="1:58" ht="114.75">
      <c r="A871" s="5981" t="s">
        <v>11006</v>
      </c>
      <c r="B871" s="2546" t="s">
        <v>11634</v>
      </c>
      <c r="C871" s="1509">
        <v>0</v>
      </c>
      <c r="D871" s="1510">
        <v>44104</v>
      </c>
      <c r="E871" s="4344" t="s">
        <v>7972</v>
      </c>
      <c r="F871" s="1511" t="s">
        <v>7957</v>
      </c>
      <c r="G871" s="2663">
        <v>1.0795220000000001</v>
      </c>
      <c r="H871" s="1513" t="s">
        <v>8269</v>
      </c>
      <c r="I871" s="1514" t="s">
        <v>8107</v>
      </c>
      <c r="J871" s="4345" t="s">
        <v>4306</v>
      </c>
      <c r="K871" s="1516">
        <v>44834</v>
      </c>
      <c r="L871" s="1514" t="s">
        <v>8110</v>
      </c>
      <c r="M871" s="1515" t="s">
        <v>8111</v>
      </c>
      <c r="N871" s="1514" t="s">
        <v>8112</v>
      </c>
      <c r="O871" s="1515" t="s">
        <v>8111</v>
      </c>
      <c r="P871" s="1517" t="s">
        <v>11602</v>
      </c>
      <c r="Q871" s="6118" t="s">
        <v>9047</v>
      </c>
      <c r="R871" s="1515" t="s">
        <v>5350</v>
      </c>
      <c r="S871" s="1518"/>
      <c r="T871" s="1519"/>
      <c r="U871" s="1504"/>
      <c r="V871" s="1520"/>
      <c r="W871" s="1519"/>
      <c r="X871" s="1504"/>
      <c r="Y871" s="1520"/>
      <c r="Z871" s="1519"/>
      <c r="AA871" s="1504"/>
      <c r="AB871" s="1520"/>
      <c r="AC871" s="1519"/>
      <c r="AD871" s="1504"/>
      <c r="AE871" s="1520"/>
      <c r="AF871" s="1519"/>
      <c r="AG871" s="1504"/>
      <c r="AH871" s="1520"/>
      <c r="AI871" s="1503">
        <v>5485</v>
      </c>
      <c r="AJ871" s="1504">
        <v>0</v>
      </c>
      <c r="AK871" s="3919">
        <v>0</v>
      </c>
      <c r="AL871" s="1505">
        <f>AI871-AJ871-AK871</f>
        <v>5485</v>
      </c>
      <c r="AM871" s="5263" t="s">
        <v>11635</v>
      </c>
      <c r="AN871" s="3401">
        <v>45149</v>
      </c>
      <c r="AO871" s="3402" t="s">
        <v>11638</v>
      </c>
      <c r="AP871" s="2905" t="s">
        <v>11479</v>
      </c>
      <c r="AQ871" s="2906">
        <v>1.1576249999999999</v>
      </c>
      <c r="AR871" s="1506"/>
      <c r="AS871" s="1507"/>
      <c r="AT871" s="1507"/>
      <c r="AU871" s="1507"/>
      <c r="AV871" s="1507"/>
      <c r="AW871" s="3247">
        <f>ROUND(AL871*AQ871/G871,0)-5485</f>
        <v>397</v>
      </c>
      <c r="AX871" s="3146"/>
      <c r="BA871" s="267"/>
      <c r="BB871" s="267"/>
      <c r="BC871" s="4117">
        <f t="shared" si="246"/>
        <v>0</v>
      </c>
      <c r="BD871" s="4117">
        <f t="shared" si="247"/>
        <v>0</v>
      </c>
      <c r="BE871" s="6155"/>
      <c r="BF871" s="6154"/>
    </row>
    <row r="872" spans="1:58" ht="89.25">
      <c r="A872" s="5981" t="s">
        <v>11030</v>
      </c>
      <c r="B872" s="1538" t="s">
        <v>11658</v>
      </c>
      <c r="C872" s="1509">
        <v>0</v>
      </c>
      <c r="D872" s="1510">
        <v>45063</v>
      </c>
      <c r="E872" s="4344" t="s">
        <v>10324</v>
      </c>
      <c r="F872" s="2497" t="s">
        <v>10101</v>
      </c>
      <c r="G872" s="5387">
        <v>1.1100000000000001</v>
      </c>
      <c r="H872" s="1513" t="s">
        <v>11283</v>
      </c>
      <c r="I872" s="1514" t="s">
        <v>11284</v>
      </c>
      <c r="J872" s="4345" t="s">
        <v>4306</v>
      </c>
      <c r="K872" s="1516">
        <v>45794</v>
      </c>
      <c r="L872" s="1514" t="s">
        <v>11285</v>
      </c>
      <c r="M872" s="1515" t="s">
        <v>11286</v>
      </c>
      <c r="N872" s="1514" t="s">
        <v>11287</v>
      </c>
      <c r="O872" s="1515" t="s">
        <v>11286</v>
      </c>
      <c r="P872" s="1517"/>
      <c r="Q872" s="6094" t="s">
        <v>9071</v>
      </c>
      <c r="R872" s="1515" t="s">
        <v>536</v>
      </c>
      <c r="S872" s="1518"/>
      <c r="T872" s="1519"/>
      <c r="U872" s="1504"/>
      <c r="V872" s="1520"/>
      <c r="W872" s="1519"/>
      <c r="X872" s="1504"/>
      <c r="Y872" s="1520"/>
      <c r="Z872" s="1519"/>
      <c r="AA872" s="1504"/>
      <c r="AB872" s="1520"/>
      <c r="AC872" s="1519"/>
      <c r="AD872" s="1504"/>
      <c r="AE872" s="1520"/>
      <c r="AF872" s="1519"/>
      <c r="AG872" s="1504"/>
      <c r="AH872" s="1520"/>
      <c r="AI872" s="1503">
        <v>0</v>
      </c>
      <c r="AJ872" s="1504">
        <v>0</v>
      </c>
      <c r="AK872" s="3919">
        <v>0</v>
      </c>
      <c r="AL872" s="1505">
        <f t="shared" ref="AL872" si="255">AI872-AJ872-AK872</f>
        <v>0</v>
      </c>
      <c r="AM872" s="1508" t="s">
        <v>11659</v>
      </c>
      <c r="AN872" s="3401">
        <v>45162</v>
      </c>
      <c r="AO872" s="3402" t="s">
        <v>11660</v>
      </c>
      <c r="AP872" s="2905" t="s">
        <v>11479</v>
      </c>
      <c r="AQ872" s="2906">
        <v>1.1576249999999999</v>
      </c>
      <c r="AR872" s="1506"/>
      <c r="AS872" s="1507"/>
      <c r="AT872" s="1507"/>
      <c r="AU872" s="1507"/>
      <c r="AV872" s="1507"/>
      <c r="AW872" s="3247">
        <v>5639</v>
      </c>
      <c r="AX872" s="3146"/>
      <c r="BB872" s="267"/>
      <c r="BC872" s="4117">
        <f t="shared" si="246"/>
        <v>0</v>
      </c>
      <c r="BD872" s="4117">
        <f t="shared" si="247"/>
        <v>0</v>
      </c>
      <c r="BE872" s="6155"/>
      <c r="BF872" s="6154"/>
    </row>
    <row r="873" spans="1:58" ht="89.25">
      <c r="A873" s="5981" t="s">
        <v>11030</v>
      </c>
      <c r="B873" s="1538" t="s">
        <v>11661</v>
      </c>
      <c r="C873" s="1509">
        <v>0</v>
      </c>
      <c r="D873" s="1510">
        <v>45162</v>
      </c>
      <c r="E873" s="4344" t="s">
        <v>10324</v>
      </c>
      <c r="F873" s="2497" t="s">
        <v>11480</v>
      </c>
      <c r="G873" s="5387">
        <v>1.1576249999999999</v>
      </c>
      <c r="H873" s="1513" t="s">
        <v>11651</v>
      </c>
      <c r="I873" s="1514" t="s">
        <v>11652</v>
      </c>
      <c r="J873" s="4345" t="s">
        <v>4306</v>
      </c>
      <c r="K873" s="1516">
        <v>45893</v>
      </c>
      <c r="L873" s="1514" t="s">
        <v>11653</v>
      </c>
      <c r="M873" s="1515" t="s">
        <v>11654</v>
      </c>
      <c r="N873" s="1514" t="s">
        <v>11655</v>
      </c>
      <c r="O873" s="1513" t="s">
        <v>11656</v>
      </c>
      <c r="P873" s="1517" t="s">
        <v>11657</v>
      </c>
      <c r="Q873" s="6094" t="s">
        <v>10478</v>
      </c>
      <c r="R873" s="1515" t="s">
        <v>11687</v>
      </c>
      <c r="S873" s="1518"/>
      <c r="T873" s="1519"/>
      <c r="U873" s="1504"/>
      <c r="V873" s="1520"/>
      <c r="W873" s="1519"/>
      <c r="X873" s="1504"/>
      <c r="Y873" s="1520"/>
      <c r="Z873" s="1519"/>
      <c r="AA873" s="1504"/>
      <c r="AB873" s="1520"/>
      <c r="AC873" s="1519"/>
      <c r="AD873" s="1504"/>
      <c r="AE873" s="1520"/>
      <c r="AF873" s="1519"/>
      <c r="AG873" s="1504"/>
      <c r="AH873" s="1520"/>
      <c r="AI873" s="1503">
        <v>5881</v>
      </c>
      <c r="AJ873" s="1504">
        <v>0</v>
      </c>
      <c r="AK873" s="3919">
        <v>0</v>
      </c>
      <c r="AL873" s="1505">
        <f t="shared" ref="AL873:AL878" si="256">AI873-AJ873-AK873</f>
        <v>5881</v>
      </c>
      <c r="AM873" s="1508" t="s">
        <v>1061</v>
      </c>
      <c r="AN873" s="3401">
        <v>45166</v>
      </c>
      <c r="AO873" s="3402" t="s">
        <v>11664</v>
      </c>
      <c r="AP873" s="2905" t="s">
        <v>11479</v>
      </c>
      <c r="AQ873" s="2906">
        <v>1.1576249999999999</v>
      </c>
      <c r="AR873" s="1506"/>
      <c r="AS873" s="1507"/>
      <c r="AT873" s="1507"/>
      <c r="AU873" s="1507"/>
      <c r="AV873" s="1507"/>
      <c r="AW873" s="3247">
        <f>ROUND(AL873*AQ873/G873,0)</f>
        <v>5881</v>
      </c>
      <c r="AX873" s="3146"/>
      <c r="BA873" s="267"/>
      <c r="BB873" s="267"/>
      <c r="BC873" s="4117">
        <f t="shared" si="246"/>
        <v>0</v>
      </c>
      <c r="BD873" s="4117">
        <f t="shared" si="247"/>
        <v>0</v>
      </c>
      <c r="BE873" s="6155"/>
      <c r="BF873" s="6154"/>
    </row>
    <row r="874" spans="1:58" ht="77.25" thickBot="1">
      <c r="A874" s="6232" t="s">
        <v>11030</v>
      </c>
      <c r="B874" s="5573" t="s">
        <v>11335</v>
      </c>
      <c r="C874" s="6233">
        <v>0</v>
      </c>
      <c r="D874" s="6234">
        <v>45169</v>
      </c>
      <c r="E874" s="6235" t="s">
        <v>10324</v>
      </c>
      <c r="F874" s="3835" t="s">
        <v>11480</v>
      </c>
      <c r="G874" s="5775">
        <v>1.1576249999999999</v>
      </c>
      <c r="H874" s="6236" t="s">
        <v>11665</v>
      </c>
      <c r="I874" s="5580" t="s">
        <v>9560</v>
      </c>
      <c r="J874" s="6237" t="s">
        <v>4306</v>
      </c>
      <c r="K874" s="6238">
        <v>46627</v>
      </c>
      <c r="L874" s="5580" t="s">
        <v>11666</v>
      </c>
      <c r="M874" s="6237" t="s">
        <v>11667</v>
      </c>
      <c r="N874" s="5580" t="s">
        <v>11669</v>
      </c>
      <c r="O874" s="6236" t="s">
        <v>11668</v>
      </c>
      <c r="P874" s="5737" t="s">
        <v>11672</v>
      </c>
      <c r="Q874" s="6239" t="s">
        <v>11671</v>
      </c>
      <c r="R874" s="6239" t="s">
        <v>11670</v>
      </c>
      <c r="S874" s="6240"/>
      <c r="T874" s="5585"/>
      <c r="U874" s="6241"/>
      <c r="V874" s="6242"/>
      <c r="W874" s="5585"/>
      <c r="X874" s="6241"/>
      <c r="Y874" s="6242"/>
      <c r="Z874" s="5585"/>
      <c r="AA874" s="6241"/>
      <c r="AB874" s="6242"/>
      <c r="AC874" s="5585"/>
      <c r="AD874" s="6241"/>
      <c r="AE874" s="6242"/>
      <c r="AF874" s="5585"/>
      <c r="AG874" s="6241"/>
      <c r="AH874" s="6242"/>
      <c r="AI874" s="5588">
        <v>0</v>
      </c>
      <c r="AJ874" s="6241">
        <v>0</v>
      </c>
      <c r="AK874" s="6243">
        <v>0</v>
      </c>
      <c r="AL874" s="6244">
        <f t="shared" si="256"/>
        <v>0</v>
      </c>
      <c r="AM874" s="5743" t="s">
        <v>11686</v>
      </c>
      <c r="AN874" s="6245" t="s">
        <v>2140</v>
      </c>
      <c r="AO874" s="6246" t="s">
        <v>2140</v>
      </c>
      <c r="AP874" s="3851" t="s">
        <v>11479</v>
      </c>
      <c r="AQ874" s="3852">
        <v>1.1576249999999999</v>
      </c>
      <c r="AR874" s="5596"/>
      <c r="AS874" s="6247"/>
      <c r="AT874" s="6247"/>
      <c r="AU874" s="6247"/>
      <c r="AV874" s="6247"/>
      <c r="AW874" s="6248">
        <f>ROUND(AL874*AQ874/G874,0)</f>
        <v>0</v>
      </c>
      <c r="AX874" s="5599"/>
      <c r="AY874" s="4029" t="s">
        <v>11627</v>
      </c>
      <c r="AZ874" s="3888">
        <f>SUM(AW869:AW874)</f>
        <v>114373</v>
      </c>
      <c r="BA874" s="2119">
        <f>AZ874</f>
        <v>114373</v>
      </c>
      <c r="BB874" s="267"/>
      <c r="BC874" s="4117">
        <f t="shared" si="246"/>
        <v>0</v>
      </c>
      <c r="BD874" s="4117">
        <f t="shared" si="247"/>
        <v>0</v>
      </c>
      <c r="BE874" s="6155"/>
      <c r="BF874" s="6154"/>
    </row>
    <row r="875" spans="1:58" ht="76.5">
      <c r="A875" s="2418" t="s">
        <v>11030</v>
      </c>
      <c r="B875" s="338" t="s">
        <v>10779</v>
      </c>
      <c r="C875" s="321">
        <v>0</v>
      </c>
      <c r="D875" s="323">
        <v>44762</v>
      </c>
      <c r="E875" s="3058" t="s">
        <v>9156</v>
      </c>
      <c r="F875" s="830" t="s">
        <v>10101</v>
      </c>
      <c r="G875" s="5356">
        <v>1.1100000000000001</v>
      </c>
      <c r="H875" s="332" t="s">
        <v>10158</v>
      </c>
      <c r="I875" s="339" t="s">
        <v>9560</v>
      </c>
      <c r="J875" s="2399" t="s">
        <v>4306</v>
      </c>
      <c r="K875" s="340">
        <v>45491</v>
      </c>
      <c r="L875" s="339" t="s">
        <v>10159</v>
      </c>
      <c r="M875" s="322" t="s">
        <v>9905</v>
      </c>
      <c r="N875" s="339" t="s">
        <v>10160</v>
      </c>
      <c r="O875" s="332" t="s">
        <v>10161</v>
      </c>
      <c r="P875" s="345"/>
      <c r="Q875" s="6094" t="s">
        <v>9071</v>
      </c>
      <c r="R875" s="322" t="s">
        <v>581</v>
      </c>
      <c r="S875" s="346"/>
      <c r="T875" s="347"/>
      <c r="U875" s="326"/>
      <c r="V875" s="348"/>
      <c r="W875" s="347"/>
      <c r="X875" s="326"/>
      <c r="Y875" s="348"/>
      <c r="Z875" s="347"/>
      <c r="AA875" s="326"/>
      <c r="AB875" s="348"/>
      <c r="AC875" s="820"/>
      <c r="AD875" s="821"/>
      <c r="AE875" s="822"/>
      <c r="AF875" s="820"/>
      <c r="AG875" s="821"/>
      <c r="AH875" s="822"/>
      <c r="AI875" s="482">
        <v>5640</v>
      </c>
      <c r="AJ875" s="326">
        <v>0</v>
      </c>
      <c r="AK875" s="3917">
        <v>0</v>
      </c>
      <c r="AL875" s="349">
        <f t="shared" si="256"/>
        <v>5640</v>
      </c>
      <c r="AM875" s="2002" t="s">
        <v>1061</v>
      </c>
      <c r="AN875" s="3357">
        <v>45173</v>
      </c>
      <c r="AO875" s="695" t="s">
        <v>11689</v>
      </c>
      <c r="AP875" s="3362" t="s">
        <v>11479</v>
      </c>
      <c r="AQ875" s="3555">
        <v>1.1576249999999999</v>
      </c>
      <c r="AR875" s="333"/>
      <c r="AS875" s="330"/>
      <c r="AT875" s="330"/>
      <c r="AU875" s="849"/>
      <c r="AV875" s="849"/>
      <c r="AW875" s="3156">
        <f>ROUND(AL875*AQ875/G875,0)</f>
        <v>5882</v>
      </c>
      <c r="AX875" s="3140"/>
      <c r="AY875" s="3635"/>
      <c r="AZ875" s="4030"/>
      <c r="BA875" s="1727"/>
      <c r="BB875" s="267"/>
      <c r="BC875" s="4117">
        <f t="shared" si="246"/>
        <v>0</v>
      </c>
      <c r="BD875" s="4117">
        <f t="shared" si="247"/>
        <v>0</v>
      </c>
      <c r="BE875" s="6155"/>
      <c r="BF875" s="6154"/>
    </row>
    <row r="876" spans="1:58" ht="89.25">
      <c r="A876" s="2418" t="s">
        <v>11030</v>
      </c>
      <c r="B876" s="6193" t="s">
        <v>11703</v>
      </c>
      <c r="C876" s="321">
        <v>0</v>
      </c>
      <c r="D876" s="323">
        <v>44868</v>
      </c>
      <c r="E876" s="3058" t="s">
        <v>10324</v>
      </c>
      <c r="F876" s="830" t="s">
        <v>10101</v>
      </c>
      <c r="G876" s="5356">
        <v>1.1100000000000001</v>
      </c>
      <c r="H876" s="332" t="s">
        <v>10510</v>
      </c>
      <c r="I876" s="339" t="s">
        <v>10512</v>
      </c>
      <c r="J876" s="2399" t="s">
        <v>4306</v>
      </c>
      <c r="K876" s="340">
        <v>45599</v>
      </c>
      <c r="L876" s="339" t="s">
        <v>10513</v>
      </c>
      <c r="M876" s="322" t="s">
        <v>10514</v>
      </c>
      <c r="N876" s="339" t="s">
        <v>10516</v>
      </c>
      <c r="O876" s="332" t="s">
        <v>10518</v>
      </c>
      <c r="P876" s="345"/>
      <c r="Q876" s="6094" t="s">
        <v>9071</v>
      </c>
      <c r="R876" s="322" t="s">
        <v>536</v>
      </c>
      <c r="S876" s="346"/>
      <c r="T876" s="347"/>
      <c r="U876" s="326"/>
      <c r="V876" s="348"/>
      <c r="W876" s="347"/>
      <c r="X876" s="326"/>
      <c r="Y876" s="348"/>
      <c r="Z876" s="347"/>
      <c r="AA876" s="326"/>
      <c r="AB876" s="348"/>
      <c r="AC876" s="347"/>
      <c r="AD876" s="326"/>
      <c r="AE876" s="348"/>
      <c r="AF876" s="347"/>
      <c r="AG876" s="326"/>
      <c r="AH876" s="348"/>
      <c r="AI876" s="482">
        <v>6619</v>
      </c>
      <c r="AJ876" s="326">
        <v>0</v>
      </c>
      <c r="AK876" s="3917">
        <v>0</v>
      </c>
      <c r="AL876" s="349">
        <f t="shared" si="256"/>
        <v>6619</v>
      </c>
      <c r="AM876" s="2002" t="s">
        <v>2977</v>
      </c>
      <c r="AN876" s="3357">
        <v>45188</v>
      </c>
      <c r="AO876" s="695" t="s">
        <v>11702</v>
      </c>
      <c r="AP876" s="3362" t="s">
        <v>11479</v>
      </c>
      <c r="AQ876" s="3555">
        <v>1.1576249999999999</v>
      </c>
      <c r="AR876" s="333"/>
      <c r="AS876" s="330"/>
      <c r="AT876" s="330"/>
      <c r="AU876" s="330"/>
      <c r="AV876" s="330"/>
      <c r="AW876" s="3156">
        <f>ROUND(AL876*AQ876/G876,0)</f>
        <v>6903</v>
      </c>
      <c r="AX876" s="3140"/>
      <c r="BA876" s="267"/>
      <c r="BB876" s="267"/>
      <c r="BC876" s="4117">
        <f t="shared" si="246"/>
        <v>0</v>
      </c>
      <c r="BD876" s="4117">
        <f t="shared" si="247"/>
        <v>0</v>
      </c>
      <c r="BE876" s="6155"/>
      <c r="BF876" s="6154"/>
    </row>
    <row r="877" spans="1:58" ht="89.25">
      <c r="A877" s="2418" t="s">
        <v>11030</v>
      </c>
      <c r="B877" s="338" t="s">
        <v>11713</v>
      </c>
      <c r="C877" s="321">
        <v>0</v>
      </c>
      <c r="D877" s="323">
        <v>45063</v>
      </c>
      <c r="E877" s="3058" t="s">
        <v>10324</v>
      </c>
      <c r="F877" s="830" t="s">
        <v>10101</v>
      </c>
      <c r="G877" s="5356">
        <v>1.1100000000000001</v>
      </c>
      <c r="H877" s="332" t="s">
        <v>11283</v>
      </c>
      <c r="I877" s="339" t="s">
        <v>11284</v>
      </c>
      <c r="J877" s="2399" t="s">
        <v>4306</v>
      </c>
      <c r="K877" s="340">
        <v>45794</v>
      </c>
      <c r="L877" s="339" t="s">
        <v>11285</v>
      </c>
      <c r="M877" s="322" t="s">
        <v>11286</v>
      </c>
      <c r="N877" s="339" t="s">
        <v>11287</v>
      </c>
      <c r="O877" s="322" t="s">
        <v>11286</v>
      </c>
      <c r="P877" s="345"/>
      <c r="Q877" s="6094" t="s">
        <v>9071</v>
      </c>
      <c r="R877" s="322" t="s">
        <v>536</v>
      </c>
      <c r="S877" s="346"/>
      <c r="T877" s="347"/>
      <c r="U877" s="326"/>
      <c r="V877" s="348"/>
      <c r="W877" s="347"/>
      <c r="X877" s="326"/>
      <c r="Y877" s="348"/>
      <c r="Z877" s="347"/>
      <c r="AA877" s="326"/>
      <c r="AB877" s="348"/>
      <c r="AC877" s="347"/>
      <c r="AD877" s="326"/>
      <c r="AE877" s="348"/>
      <c r="AF877" s="347"/>
      <c r="AG877" s="326"/>
      <c r="AH877" s="348"/>
      <c r="AI877" s="482">
        <v>5639</v>
      </c>
      <c r="AJ877" s="326">
        <v>0</v>
      </c>
      <c r="AK877" s="3917">
        <v>0</v>
      </c>
      <c r="AL877" s="349">
        <f t="shared" si="256"/>
        <v>5639</v>
      </c>
      <c r="AM877" s="2002" t="s">
        <v>2977</v>
      </c>
      <c r="AN877" s="3357">
        <v>45191</v>
      </c>
      <c r="AO877" s="695" t="s">
        <v>11714</v>
      </c>
      <c r="AP877" s="3362" t="s">
        <v>11479</v>
      </c>
      <c r="AQ877" s="3555">
        <v>1.1576249999999999</v>
      </c>
      <c r="AR877" s="333"/>
      <c r="AS877" s="330"/>
      <c r="AT877" s="330"/>
      <c r="AU877" s="330"/>
      <c r="AV877" s="330"/>
      <c r="AW877" s="3156">
        <f>ROUND(AL877*AQ877/G877,0)-5639</f>
        <v>242</v>
      </c>
      <c r="AX877" s="3140"/>
      <c r="BA877" s="267"/>
      <c r="BB877" s="267"/>
      <c r="BC877" s="4117">
        <f t="shared" si="246"/>
        <v>0</v>
      </c>
      <c r="BD877" s="4117">
        <f t="shared" si="247"/>
        <v>0</v>
      </c>
      <c r="BE877" s="6155"/>
      <c r="BF877" s="6154"/>
    </row>
    <row r="878" spans="1:58" ht="102.75" thickBot="1">
      <c r="A878" s="6253" t="s">
        <v>11004</v>
      </c>
      <c r="B878" s="5600" t="s">
        <v>11715</v>
      </c>
      <c r="C878" s="6254">
        <v>0</v>
      </c>
      <c r="D878" s="6255">
        <v>43425</v>
      </c>
      <c r="E878" s="6255" t="s">
        <v>6386</v>
      </c>
      <c r="F878" s="6256" t="s">
        <v>11025</v>
      </c>
      <c r="G878" s="6257">
        <v>1.0956269999999999</v>
      </c>
      <c r="H878" s="6258" t="s">
        <v>9153</v>
      </c>
      <c r="I878" s="5605" t="s">
        <v>1433</v>
      </c>
      <c r="J878" s="6259" t="s">
        <v>1434</v>
      </c>
      <c r="K878" s="6260">
        <v>45617</v>
      </c>
      <c r="L878" s="5605" t="s">
        <v>6034</v>
      </c>
      <c r="M878" s="6259" t="s">
        <v>4394</v>
      </c>
      <c r="N878" s="5605" t="s">
        <v>6035</v>
      </c>
      <c r="O878" s="6258" t="s">
        <v>6259</v>
      </c>
      <c r="P878" s="5608" t="s">
        <v>10865</v>
      </c>
      <c r="Q878" s="6259" t="s">
        <v>9154</v>
      </c>
      <c r="R878" s="6259" t="s">
        <v>9155</v>
      </c>
      <c r="S878" s="6261"/>
      <c r="T878" s="5610">
        <v>59816</v>
      </c>
      <c r="U878" s="6262">
        <v>0</v>
      </c>
      <c r="V878" s="6263">
        <f>T878-U878</f>
        <v>59816</v>
      </c>
      <c r="W878" s="5610">
        <v>76560</v>
      </c>
      <c r="X878" s="6262">
        <v>0</v>
      </c>
      <c r="Y878" s="6263">
        <f>W878-X878</f>
        <v>76560</v>
      </c>
      <c r="Z878" s="5610">
        <v>7683</v>
      </c>
      <c r="AA878" s="6262">
        <v>0</v>
      </c>
      <c r="AB878" s="6263">
        <f>Z878-AA878</f>
        <v>7683</v>
      </c>
      <c r="AC878" s="5610"/>
      <c r="AD878" s="6262"/>
      <c r="AE878" s="6263"/>
      <c r="AF878" s="5610"/>
      <c r="AG878" s="6262"/>
      <c r="AH878" s="6263"/>
      <c r="AI878" s="5613">
        <f>1782+40000+40000+40000+40000</f>
        <v>161782</v>
      </c>
      <c r="AJ878" s="6262">
        <f>U878+X878+AA878+AD878+AG878</f>
        <v>0</v>
      </c>
      <c r="AK878" s="6264">
        <v>0</v>
      </c>
      <c r="AL878" s="6265">
        <f t="shared" si="256"/>
        <v>161782</v>
      </c>
      <c r="AM878" s="5616" t="s">
        <v>11732</v>
      </c>
      <c r="AN878" s="6266">
        <v>45195</v>
      </c>
      <c r="AO878" s="6267" t="s">
        <v>11733</v>
      </c>
      <c r="AP878" s="6268" t="s">
        <v>9004</v>
      </c>
      <c r="AQ878" s="6269">
        <v>1.0956269999999999</v>
      </c>
      <c r="AR878" s="5619">
        <v>0</v>
      </c>
      <c r="AS878" s="6270">
        <v>0</v>
      </c>
      <c r="AT878" s="6270">
        <v>0</v>
      </c>
      <c r="AU878" s="6270">
        <v>0</v>
      </c>
      <c r="AV878" s="6270">
        <v>0</v>
      </c>
      <c r="AW878" s="6271">
        <f>ROUND((AL878*AQ878/G878),0)-1782-40000-40000-40000</f>
        <v>40000</v>
      </c>
      <c r="AX878" s="5623"/>
      <c r="AY878" s="4031" t="s">
        <v>11688</v>
      </c>
      <c r="AZ878" s="3857">
        <f>SUM(AW875:AW878)</f>
        <v>53027</v>
      </c>
      <c r="BA878" s="1663">
        <f>AZ878</f>
        <v>53027</v>
      </c>
      <c r="BB878" s="267"/>
      <c r="BC878" s="4117">
        <f t="shared" si="246"/>
        <v>0</v>
      </c>
      <c r="BD878" s="4117">
        <f t="shared" si="247"/>
        <v>0</v>
      </c>
      <c r="BE878" s="6155"/>
      <c r="BF878" s="6154"/>
    </row>
    <row r="879" spans="1:58" ht="89.25">
      <c r="A879" s="5981" t="s">
        <v>10984</v>
      </c>
      <c r="B879" s="1538" t="s">
        <v>11736</v>
      </c>
      <c r="C879" s="1509">
        <v>0</v>
      </c>
      <c r="D879" s="1510">
        <v>45141</v>
      </c>
      <c r="E879" s="4344" t="s">
        <v>10324</v>
      </c>
      <c r="F879" s="2497" t="s">
        <v>11480</v>
      </c>
      <c r="G879" s="5387">
        <v>1.1576249999999999</v>
      </c>
      <c r="H879" s="1513" t="s">
        <v>11613</v>
      </c>
      <c r="I879" s="1514" t="s">
        <v>11614</v>
      </c>
      <c r="J879" s="4345" t="s">
        <v>4306</v>
      </c>
      <c r="K879" s="1516">
        <v>45872</v>
      </c>
      <c r="L879" s="1514" t="s">
        <v>11615</v>
      </c>
      <c r="M879" s="1515" t="s">
        <v>11616</v>
      </c>
      <c r="N879" s="1514" t="s">
        <v>11617</v>
      </c>
      <c r="O879" s="1513" t="s">
        <v>11618</v>
      </c>
      <c r="P879" s="1517"/>
      <c r="Q879" s="6094" t="s">
        <v>9071</v>
      </c>
      <c r="R879" s="1515" t="s">
        <v>536</v>
      </c>
      <c r="S879" s="1518"/>
      <c r="T879" s="1519"/>
      <c r="U879" s="1504"/>
      <c r="V879" s="1520"/>
      <c r="W879" s="1519"/>
      <c r="X879" s="1504"/>
      <c r="Y879" s="1520"/>
      <c r="Z879" s="1519"/>
      <c r="AA879" s="1504"/>
      <c r="AB879" s="1520"/>
      <c r="AC879" s="1519"/>
      <c r="AD879" s="1504"/>
      <c r="AE879" s="1520"/>
      <c r="AF879" s="1519"/>
      <c r="AG879" s="1504"/>
      <c r="AH879" s="1520"/>
      <c r="AI879" s="1503">
        <v>6903</v>
      </c>
      <c r="AJ879" s="1504">
        <v>0</v>
      </c>
      <c r="AK879" s="3919">
        <v>0</v>
      </c>
      <c r="AL879" s="1505">
        <f>AI879-AJ879-AK879</f>
        <v>6903</v>
      </c>
      <c r="AM879" s="1508" t="s">
        <v>1061</v>
      </c>
      <c r="AN879" s="3401">
        <v>45202</v>
      </c>
      <c r="AO879" s="3402" t="s">
        <v>11744</v>
      </c>
      <c r="AP879" s="2905" t="s">
        <v>11479</v>
      </c>
      <c r="AQ879" s="2906">
        <v>1.1576249999999999</v>
      </c>
      <c r="AR879" s="1506"/>
      <c r="AS879" s="1507"/>
      <c r="AT879" s="1507"/>
      <c r="AU879" s="1507"/>
      <c r="AV879" s="1507"/>
      <c r="AW879" s="3247">
        <f>ROUND(AL879*AQ879/G879,0)</f>
        <v>6903</v>
      </c>
      <c r="AX879" s="3146"/>
      <c r="BA879" s="267"/>
      <c r="BB879" s="267"/>
      <c r="BC879" s="4117">
        <f t="shared" si="246"/>
        <v>0</v>
      </c>
      <c r="BD879" s="4117">
        <f t="shared" si="247"/>
        <v>0</v>
      </c>
      <c r="BE879" s="6155"/>
      <c r="BF879" s="6154"/>
    </row>
    <row r="880" spans="1:58" ht="76.5">
      <c r="A880" s="5981" t="s">
        <v>11004</v>
      </c>
      <c r="B880" s="1538" t="s">
        <v>11750</v>
      </c>
      <c r="C880" s="1509">
        <v>0</v>
      </c>
      <c r="D880" s="1510">
        <v>43486</v>
      </c>
      <c r="E880" s="3053" t="s">
        <v>6386</v>
      </c>
      <c r="F880" s="1511" t="s">
        <v>5757</v>
      </c>
      <c r="G880" s="2663">
        <v>1.0247219999999999</v>
      </c>
      <c r="H880" s="1513" t="s">
        <v>6141</v>
      </c>
      <c r="I880" s="1514" t="s">
        <v>6142</v>
      </c>
      <c r="J880" s="1515" t="s">
        <v>4306</v>
      </c>
      <c r="K880" s="1516" t="s">
        <v>8367</v>
      </c>
      <c r="L880" s="1514" t="s">
        <v>6144</v>
      </c>
      <c r="M880" s="1515" t="s">
        <v>6148</v>
      </c>
      <c r="N880" s="1514" t="s">
        <v>6143</v>
      </c>
      <c r="O880" s="1515" t="s">
        <v>6254</v>
      </c>
      <c r="P880" s="1517" t="s">
        <v>5972</v>
      </c>
      <c r="Q880" s="6094" t="s">
        <v>5708</v>
      </c>
      <c r="R880" s="1515" t="s">
        <v>5350</v>
      </c>
      <c r="S880" s="1518"/>
      <c r="T880" s="1519">
        <v>2444</v>
      </c>
      <c r="U880" s="1504">
        <v>0</v>
      </c>
      <c r="V880" s="1520">
        <f t="shared" ref="V880" si="257">T880-U880</f>
        <v>2444</v>
      </c>
      <c r="W880" s="1519">
        <v>3056</v>
      </c>
      <c r="X880" s="1504">
        <v>0</v>
      </c>
      <c r="Y880" s="1520">
        <f t="shared" ref="Y880" si="258">W880-X880</f>
        <v>3056</v>
      </c>
      <c r="Z880" s="1519">
        <v>0</v>
      </c>
      <c r="AA880" s="1504">
        <v>0</v>
      </c>
      <c r="AB880" s="1520">
        <f t="shared" ref="AB880" si="259">Z880-AA880</f>
        <v>0</v>
      </c>
      <c r="AC880" s="1519"/>
      <c r="AD880" s="1504"/>
      <c r="AE880" s="1520"/>
      <c r="AF880" s="1519"/>
      <c r="AG880" s="1504"/>
      <c r="AH880" s="1520"/>
      <c r="AI880" s="1503">
        <v>0</v>
      </c>
      <c r="AJ880" s="1504">
        <f t="shared" ref="AJ880" si="260">U880+X880+AA880+AD880+AG880</f>
        <v>0</v>
      </c>
      <c r="AK880" s="3919">
        <v>0</v>
      </c>
      <c r="AL880" s="1505">
        <f t="shared" ref="AL880" si="261">AI880-AJ880-AK880</f>
        <v>0</v>
      </c>
      <c r="AM880" s="1508" t="s">
        <v>270</v>
      </c>
      <c r="AN880" s="3401">
        <v>45208</v>
      </c>
      <c r="AO880" s="3402" t="s">
        <v>11756</v>
      </c>
      <c r="AP880" s="2664" t="s">
        <v>11479</v>
      </c>
      <c r="AQ880" s="2806">
        <v>1.1576249999999999</v>
      </c>
      <c r="AR880" s="1506">
        <v>0</v>
      </c>
      <c r="AS880" s="1507">
        <v>0</v>
      </c>
      <c r="AT880" s="1507">
        <v>0</v>
      </c>
      <c r="AU880" s="1507">
        <v>0</v>
      </c>
      <c r="AV880" s="1507">
        <v>0</v>
      </c>
      <c r="AW880" s="3247">
        <v>6000</v>
      </c>
      <c r="AX880" s="3146"/>
      <c r="BA880" s="267"/>
      <c r="BB880" s="267"/>
      <c r="BC880" s="4117">
        <f t="shared" si="246"/>
        <v>0</v>
      </c>
      <c r="BD880" s="4117">
        <f t="shared" si="247"/>
        <v>0</v>
      </c>
      <c r="BE880" s="6155"/>
      <c r="BF880" s="6154"/>
    </row>
    <row r="881" spans="1:58" ht="76.5">
      <c r="A881" s="5978" t="s">
        <v>11036</v>
      </c>
      <c r="B881" s="6272" t="s">
        <v>11753</v>
      </c>
      <c r="C881" s="6273">
        <v>0</v>
      </c>
      <c r="D881" s="6274">
        <v>43063</v>
      </c>
      <c r="E881" s="3053" t="s">
        <v>6385</v>
      </c>
      <c r="F881" s="1511" t="s">
        <v>5915</v>
      </c>
      <c r="G881" s="2663">
        <v>1.0119899999999999</v>
      </c>
      <c r="H881" s="6275" t="s">
        <v>10960</v>
      </c>
      <c r="I881" s="5260" t="s">
        <v>5127</v>
      </c>
      <c r="J881" s="4345" t="s">
        <v>4306</v>
      </c>
      <c r="K881" s="6276" t="s">
        <v>7056</v>
      </c>
      <c r="L881" s="5260" t="s">
        <v>5128</v>
      </c>
      <c r="M881" s="4345" t="s">
        <v>5129</v>
      </c>
      <c r="N881" s="5260" t="s">
        <v>5130</v>
      </c>
      <c r="O881" s="6275" t="s">
        <v>6318</v>
      </c>
      <c r="P881" s="6277"/>
      <c r="Q881" s="6290" t="s">
        <v>5131</v>
      </c>
      <c r="R881" s="4345" t="s">
        <v>4761</v>
      </c>
      <c r="S881" s="6278"/>
      <c r="T881" s="6279">
        <v>2315</v>
      </c>
      <c r="U881" s="6280">
        <v>0</v>
      </c>
      <c r="V881" s="6281">
        <f>T881-U881</f>
        <v>2315</v>
      </c>
      <c r="W881" s="6279">
        <v>2893</v>
      </c>
      <c r="X881" s="6280">
        <v>0</v>
      </c>
      <c r="Y881" s="6281">
        <f>W881-X881</f>
        <v>2893</v>
      </c>
      <c r="Z881" s="6279">
        <v>827</v>
      </c>
      <c r="AA881" s="6280">
        <v>0</v>
      </c>
      <c r="AB881" s="6281">
        <f>Z881-AA881</f>
        <v>827</v>
      </c>
      <c r="AC881" s="6279"/>
      <c r="AD881" s="6280"/>
      <c r="AE881" s="6281"/>
      <c r="AF881" s="6279"/>
      <c r="AG881" s="6280"/>
      <c r="AH881" s="6281"/>
      <c r="AI881" s="6282">
        <f>T881+W881+Z881+AC881+AF881</f>
        <v>6035</v>
      </c>
      <c r="AJ881" s="6280">
        <f>U881+X881+AA881+AD881+AG881</f>
        <v>0</v>
      </c>
      <c r="AK881" s="3919">
        <v>0</v>
      </c>
      <c r="AL881" s="1505">
        <f t="shared" ref="AL881:AL887" si="262">AI881-AJ881-AK881</f>
        <v>6035</v>
      </c>
      <c r="AM881" s="6283" t="s">
        <v>1061</v>
      </c>
      <c r="AN881" s="6284">
        <v>45209</v>
      </c>
      <c r="AO881" s="6285" t="s">
        <v>11752</v>
      </c>
      <c r="AP881" s="2664" t="s">
        <v>11479</v>
      </c>
      <c r="AQ881" s="2806">
        <v>1.1576249999999999</v>
      </c>
      <c r="AR881" s="1506">
        <v>0</v>
      </c>
      <c r="AS881" s="1507">
        <v>0</v>
      </c>
      <c r="AT881" s="1507">
        <v>0</v>
      </c>
      <c r="AU881" s="1507">
        <v>0</v>
      </c>
      <c r="AV881" s="1507">
        <v>0</v>
      </c>
      <c r="AW881" s="3247">
        <f>ROUND(AL881*AQ881/G881,0)</f>
        <v>6903</v>
      </c>
      <c r="AX881" s="3146"/>
      <c r="BA881" s="267"/>
      <c r="BB881" s="267"/>
      <c r="BC881" s="4117">
        <f t="shared" si="246"/>
        <v>0</v>
      </c>
      <c r="BD881" s="4117">
        <f t="shared" si="247"/>
        <v>0</v>
      </c>
      <c r="BE881" s="6155"/>
      <c r="BF881" s="6154"/>
    </row>
    <row r="882" spans="1:58" ht="76.5">
      <c r="A882" s="5981" t="s">
        <v>11004</v>
      </c>
      <c r="B882" s="1538" t="s">
        <v>11750</v>
      </c>
      <c r="C882" s="1509">
        <v>0</v>
      </c>
      <c r="D882" s="1510">
        <v>43486</v>
      </c>
      <c r="E882" s="3053" t="s">
        <v>6386</v>
      </c>
      <c r="F882" s="1511" t="s">
        <v>5757</v>
      </c>
      <c r="G882" s="2663">
        <v>1.0247219999999999</v>
      </c>
      <c r="H882" s="1513" t="s">
        <v>6141</v>
      </c>
      <c r="I882" s="1514" t="s">
        <v>6142</v>
      </c>
      <c r="J882" s="1515" t="s">
        <v>4306</v>
      </c>
      <c r="K882" s="1516" t="s">
        <v>8367</v>
      </c>
      <c r="L882" s="1514" t="s">
        <v>6144</v>
      </c>
      <c r="M882" s="1515" t="s">
        <v>6148</v>
      </c>
      <c r="N882" s="1514" t="s">
        <v>6143</v>
      </c>
      <c r="O882" s="1515" t="s">
        <v>6254</v>
      </c>
      <c r="P882" s="1517" t="s">
        <v>11751</v>
      </c>
      <c r="Q882" s="6094" t="s">
        <v>5708</v>
      </c>
      <c r="R882" s="1515" t="s">
        <v>5350</v>
      </c>
      <c r="S882" s="1518"/>
      <c r="T882" s="1519">
        <v>2444</v>
      </c>
      <c r="U882" s="1504">
        <v>0</v>
      </c>
      <c r="V882" s="1520">
        <f>T882-U882</f>
        <v>2444</v>
      </c>
      <c r="W882" s="1519">
        <v>3056</v>
      </c>
      <c r="X882" s="1504">
        <v>0</v>
      </c>
      <c r="Y882" s="1520">
        <f>W882-X882</f>
        <v>3056</v>
      </c>
      <c r="Z882" s="1519">
        <v>0</v>
      </c>
      <c r="AA882" s="1504">
        <v>0</v>
      </c>
      <c r="AB882" s="1520">
        <f>Z882-AA882</f>
        <v>0</v>
      </c>
      <c r="AC882" s="1519"/>
      <c r="AD882" s="1504"/>
      <c r="AE882" s="1520"/>
      <c r="AF882" s="1519"/>
      <c r="AG882" s="1504"/>
      <c r="AH882" s="1520"/>
      <c r="AI882" s="1503">
        <f>T882+W882+Z882+AC882+AF882</f>
        <v>5500</v>
      </c>
      <c r="AJ882" s="1504">
        <f>U882+X882+AA882+AD882+AG882</f>
        <v>0</v>
      </c>
      <c r="AK882" s="3919">
        <v>0</v>
      </c>
      <c r="AL882" s="1505">
        <f t="shared" si="262"/>
        <v>5500</v>
      </c>
      <c r="AM882" s="1508" t="s">
        <v>4872</v>
      </c>
      <c r="AN882" s="3401">
        <v>45209</v>
      </c>
      <c r="AO882" s="3402" t="s">
        <v>11757</v>
      </c>
      <c r="AP882" s="2664" t="s">
        <v>11479</v>
      </c>
      <c r="AQ882" s="2806">
        <v>1.1576249999999999</v>
      </c>
      <c r="AR882" s="1506">
        <v>0</v>
      </c>
      <c r="AS882" s="1507">
        <v>0</v>
      </c>
      <c r="AT882" s="1507">
        <v>0</v>
      </c>
      <c r="AU882" s="1507">
        <v>0</v>
      </c>
      <c r="AV882" s="1507">
        <v>0</v>
      </c>
      <c r="AW882" s="3247">
        <f>ROUND(AL882*AQ882/G882,0)-6000</f>
        <v>213</v>
      </c>
      <c r="AX882" s="3146"/>
      <c r="BA882" s="267"/>
      <c r="BB882" s="267"/>
      <c r="BC882" s="4117">
        <f t="shared" si="246"/>
        <v>0</v>
      </c>
      <c r="BD882" s="4117">
        <f t="shared" si="247"/>
        <v>0</v>
      </c>
      <c r="BE882" s="6155"/>
      <c r="BF882" s="6154"/>
    </row>
    <row r="883" spans="1:58" ht="102">
      <c r="A883" s="5981" t="s">
        <v>11006</v>
      </c>
      <c r="B883" s="1538" t="s">
        <v>11754</v>
      </c>
      <c r="C883" s="1509">
        <v>0</v>
      </c>
      <c r="D883" s="1510">
        <v>44586</v>
      </c>
      <c r="E883" s="4344" t="s">
        <v>9156</v>
      </c>
      <c r="F883" s="2497" t="s">
        <v>9005</v>
      </c>
      <c r="G883" s="5387">
        <v>1.0956269999999999</v>
      </c>
      <c r="H883" s="1513" t="s">
        <v>9620</v>
      </c>
      <c r="I883" s="1514" t="s">
        <v>9607</v>
      </c>
      <c r="J883" s="4345" t="s">
        <v>4306</v>
      </c>
      <c r="K883" s="1516">
        <v>45316</v>
      </c>
      <c r="L883" s="1514" t="s">
        <v>9608</v>
      </c>
      <c r="M883" s="1515" t="s">
        <v>9609</v>
      </c>
      <c r="N883" s="1514" t="s">
        <v>9610</v>
      </c>
      <c r="O883" s="1515" t="s">
        <v>9609</v>
      </c>
      <c r="P883" s="1517" t="s">
        <v>10446</v>
      </c>
      <c r="Q883" s="6094" t="s">
        <v>9047</v>
      </c>
      <c r="R883" s="1515" t="s">
        <v>945</v>
      </c>
      <c r="S883" s="1518"/>
      <c r="T883" s="1519"/>
      <c r="U883" s="1504"/>
      <c r="V883" s="1520"/>
      <c r="W883" s="1519"/>
      <c r="X883" s="1504"/>
      <c r="Y883" s="1520"/>
      <c r="Z883" s="1519"/>
      <c r="AA883" s="1504"/>
      <c r="AB883" s="1520"/>
      <c r="AC883" s="1519"/>
      <c r="AD883" s="1504"/>
      <c r="AE883" s="1520"/>
      <c r="AF883" s="1519"/>
      <c r="AG883" s="1504"/>
      <c r="AH883" s="1520"/>
      <c r="AI883" s="1503">
        <v>5567</v>
      </c>
      <c r="AJ883" s="1504">
        <v>0</v>
      </c>
      <c r="AK883" s="3919">
        <v>0</v>
      </c>
      <c r="AL883" s="1505">
        <f t="shared" si="262"/>
        <v>5567</v>
      </c>
      <c r="AM883" s="1508" t="s">
        <v>2977</v>
      </c>
      <c r="AN883" s="3401">
        <v>45209</v>
      </c>
      <c r="AO883" s="3402" t="s">
        <v>11755</v>
      </c>
      <c r="AP883" s="3539" t="s">
        <v>10102</v>
      </c>
      <c r="AQ883" s="4189">
        <v>1.1100000000000001</v>
      </c>
      <c r="AR883" s="1506"/>
      <c r="AS883" s="1507"/>
      <c r="AT883" s="1507"/>
      <c r="AU883" s="1507"/>
      <c r="AV883" s="1507"/>
      <c r="AW883" s="3247">
        <f>(ROUND(AL883*AQ883/G883,0)-2800)*1.05-745</f>
        <v>2237</v>
      </c>
      <c r="AX883" s="3146"/>
      <c r="BA883" s="267"/>
      <c r="BB883" s="267"/>
      <c r="BC883" s="4117">
        <f t="shared" si="246"/>
        <v>0</v>
      </c>
      <c r="BD883" s="4117">
        <f t="shared" si="247"/>
        <v>0</v>
      </c>
      <c r="BE883" s="6155"/>
      <c r="BF883" s="6154"/>
    </row>
    <row r="884" spans="1:58" ht="76.5">
      <c r="A884" s="5978" t="s">
        <v>11036</v>
      </c>
      <c r="B884" s="1538" t="s">
        <v>11758</v>
      </c>
      <c r="C884" s="3402">
        <v>1</v>
      </c>
      <c r="D884" s="1510" t="s">
        <v>5921</v>
      </c>
      <c r="E884" s="3053" t="s">
        <v>6385</v>
      </c>
      <c r="F884" s="1511" t="s">
        <v>6407</v>
      </c>
      <c r="G884" s="2663">
        <v>1.0247219999999999</v>
      </c>
      <c r="H884" s="1513" t="s">
        <v>10962</v>
      </c>
      <c r="I884" s="1514" t="s">
        <v>5704</v>
      </c>
      <c r="J884" s="1515" t="s">
        <v>4306</v>
      </c>
      <c r="K884" s="1516" t="s">
        <v>10038</v>
      </c>
      <c r="L884" s="1514" t="s">
        <v>5705</v>
      </c>
      <c r="M884" s="1515" t="s">
        <v>5706</v>
      </c>
      <c r="N884" s="1514" t="s">
        <v>5707</v>
      </c>
      <c r="O884" s="1513" t="s">
        <v>6265</v>
      </c>
      <c r="P884" s="1517" t="s">
        <v>7177</v>
      </c>
      <c r="Q884" s="6094" t="s">
        <v>5708</v>
      </c>
      <c r="R884" s="1515" t="s">
        <v>5350</v>
      </c>
      <c r="S884" s="1518"/>
      <c r="T884" s="1519">
        <v>2444</v>
      </c>
      <c r="U884" s="1504">
        <v>0</v>
      </c>
      <c r="V884" s="1520">
        <f>T884-U884</f>
        <v>2444</v>
      </c>
      <c r="W884" s="1519">
        <v>3056</v>
      </c>
      <c r="X884" s="1504">
        <v>0</v>
      </c>
      <c r="Y884" s="1520">
        <f>W884-X884</f>
        <v>3056</v>
      </c>
      <c r="Z884" s="1519">
        <v>0</v>
      </c>
      <c r="AA884" s="1504">
        <v>0</v>
      </c>
      <c r="AB884" s="1520">
        <f>Z884-AA884</f>
        <v>0</v>
      </c>
      <c r="AC884" s="1519"/>
      <c r="AD884" s="1504"/>
      <c r="AE884" s="1520"/>
      <c r="AF884" s="1519"/>
      <c r="AG884" s="1504"/>
      <c r="AH884" s="1520"/>
      <c r="AI884" s="1503">
        <f>T884+W884+Z884+AC884+AF884</f>
        <v>5500</v>
      </c>
      <c r="AJ884" s="1504">
        <f>U884+X884+AA884+AD884+AG884</f>
        <v>0</v>
      </c>
      <c r="AK884" s="3919">
        <v>0</v>
      </c>
      <c r="AL884" s="1505">
        <f t="shared" si="262"/>
        <v>5500</v>
      </c>
      <c r="AM884" s="1508" t="s">
        <v>1061</v>
      </c>
      <c r="AN884" s="3401">
        <v>45210</v>
      </c>
      <c r="AO884" s="3402" t="s">
        <v>11759</v>
      </c>
      <c r="AP884" s="2664" t="s">
        <v>11479</v>
      </c>
      <c r="AQ884" s="2806">
        <v>1.1576249999999999</v>
      </c>
      <c r="AR884" s="1506">
        <v>0</v>
      </c>
      <c r="AS884" s="1507">
        <v>0</v>
      </c>
      <c r="AT884" s="1507">
        <v>0</v>
      </c>
      <c r="AU884" s="1507">
        <v>0</v>
      </c>
      <c r="AV884" s="1507">
        <v>0</v>
      </c>
      <c r="AW884" s="3247">
        <f>ROUND(AL884*AQ884/G884,0)</f>
        <v>6213</v>
      </c>
      <c r="AX884" s="3146"/>
      <c r="BA884" s="267"/>
      <c r="BB884" s="267"/>
      <c r="BC884" s="4117">
        <f t="shared" si="246"/>
        <v>0</v>
      </c>
      <c r="BD884" s="4117">
        <f t="shared" si="247"/>
        <v>0</v>
      </c>
      <c r="BE884" s="6155"/>
      <c r="BF884" s="6154"/>
    </row>
    <row r="885" spans="1:58" ht="127.5">
      <c r="A885" s="5981" t="s">
        <v>11006</v>
      </c>
      <c r="B885" s="1538" t="s">
        <v>11766</v>
      </c>
      <c r="C885" s="1509">
        <v>0</v>
      </c>
      <c r="D885" s="1510">
        <v>44138</v>
      </c>
      <c r="E885" s="4344" t="s">
        <v>8170</v>
      </c>
      <c r="F885" s="1511" t="s">
        <v>7957</v>
      </c>
      <c r="G885" s="2663">
        <v>1.0795220000000001</v>
      </c>
      <c r="H885" s="1513" t="s">
        <v>8251</v>
      </c>
      <c r="I885" s="1514" t="s">
        <v>8249</v>
      </c>
      <c r="J885" s="4345" t="s">
        <v>4306</v>
      </c>
      <c r="K885" s="1516">
        <v>44857</v>
      </c>
      <c r="L885" s="1514" t="s">
        <v>8241</v>
      </c>
      <c r="M885" s="1515" t="s">
        <v>8242</v>
      </c>
      <c r="N885" s="1514" t="s">
        <v>8243</v>
      </c>
      <c r="O885" s="1513" t="s">
        <v>8244</v>
      </c>
      <c r="P885" s="1517"/>
      <c r="Q885" s="6094" t="s">
        <v>5708</v>
      </c>
      <c r="R885" s="1515" t="s">
        <v>5350</v>
      </c>
      <c r="S885" s="1518"/>
      <c r="T885" s="1519"/>
      <c r="U885" s="1504"/>
      <c r="V885" s="1520"/>
      <c r="W885" s="1519"/>
      <c r="X885" s="1504"/>
      <c r="Y885" s="1520"/>
      <c r="Z885" s="1519"/>
      <c r="AA885" s="1504"/>
      <c r="AB885" s="1520"/>
      <c r="AC885" s="1519"/>
      <c r="AD885" s="1504"/>
      <c r="AE885" s="1520"/>
      <c r="AF885" s="1519"/>
      <c r="AG885" s="1504"/>
      <c r="AH885" s="1520"/>
      <c r="AI885" s="1503">
        <v>5484</v>
      </c>
      <c r="AJ885" s="1504">
        <v>0</v>
      </c>
      <c r="AK885" s="3919">
        <v>0</v>
      </c>
      <c r="AL885" s="1505">
        <f t="shared" si="262"/>
        <v>5484</v>
      </c>
      <c r="AM885" s="3586" t="s">
        <v>5540</v>
      </c>
      <c r="AN885" s="3587">
        <v>45215</v>
      </c>
      <c r="AO885" s="5728" t="s">
        <v>11765</v>
      </c>
      <c r="AP885" s="3539" t="s">
        <v>11764</v>
      </c>
      <c r="AQ885" s="4189">
        <v>1.1576249999999999</v>
      </c>
      <c r="AR885" s="1506"/>
      <c r="AS885" s="1507"/>
      <c r="AT885" s="1507"/>
      <c r="AU885" s="1507"/>
      <c r="AV885" s="1507"/>
      <c r="AW885" s="3247">
        <v>6154</v>
      </c>
      <c r="AX885" s="3146"/>
      <c r="BA885" s="267"/>
      <c r="BB885" s="267"/>
      <c r="BC885" s="4117">
        <f t="shared" si="246"/>
        <v>0</v>
      </c>
      <c r="BD885" s="4117">
        <f t="shared" si="247"/>
        <v>0</v>
      </c>
      <c r="BE885" s="6155"/>
      <c r="BF885" s="6154"/>
    </row>
    <row r="886" spans="1:58" ht="89.25">
      <c r="A886" s="5981" t="s">
        <v>10984</v>
      </c>
      <c r="B886" s="1538" t="s">
        <v>11336</v>
      </c>
      <c r="C886" s="1509">
        <v>0</v>
      </c>
      <c r="D886" s="1510">
        <v>45169</v>
      </c>
      <c r="E886" s="4344" t="s">
        <v>10324</v>
      </c>
      <c r="F886" s="2497" t="s">
        <v>11480</v>
      </c>
      <c r="G886" s="5387">
        <v>1.1576249999999999</v>
      </c>
      <c r="H886" s="1513" t="s">
        <v>11673</v>
      </c>
      <c r="I886" s="1514" t="s">
        <v>11675</v>
      </c>
      <c r="J886" s="4345" t="s">
        <v>4306</v>
      </c>
      <c r="K886" s="1516">
        <v>45900</v>
      </c>
      <c r="L886" s="1514" t="s">
        <v>9403</v>
      </c>
      <c r="M886" s="1515" t="s">
        <v>11681</v>
      </c>
      <c r="N886" s="1514" t="s">
        <v>11682</v>
      </c>
      <c r="O886" s="1513" t="s">
        <v>11683</v>
      </c>
      <c r="P886" s="1517"/>
      <c r="Q886" s="6094" t="s">
        <v>9071</v>
      </c>
      <c r="R886" s="1515" t="s">
        <v>536</v>
      </c>
      <c r="S886" s="1518"/>
      <c r="T886" s="1519"/>
      <c r="U886" s="1504"/>
      <c r="V886" s="1520"/>
      <c r="W886" s="1519"/>
      <c r="X886" s="1504"/>
      <c r="Y886" s="1520"/>
      <c r="Z886" s="1519"/>
      <c r="AA886" s="1504"/>
      <c r="AB886" s="1520"/>
      <c r="AC886" s="1519"/>
      <c r="AD886" s="1504"/>
      <c r="AE886" s="1520"/>
      <c r="AF886" s="1519"/>
      <c r="AG886" s="1504"/>
      <c r="AH886" s="1520"/>
      <c r="AI886" s="1503">
        <v>6903</v>
      </c>
      <c r="AJ886" s="1504">
        <v>0</v>
      </c>
      <c r="AK886" s="3919">
        <v>0</v>
      </c>
      <c r="AL886" s="1505">
        <f t="shared" si="262"/>
        <v>6903</v>
      </c>
      <c r="AM886" s="1508" t="s">
        <v>1061</v>
      </c>
      <c r="AN886" s="3401">
        <v>45219</v>
      </c>
      <c r="AO886" s="3402" t="s">
        <v>11783</v>
      </c>
      <c r="AP886" s="2905" t="s">
        <v>11479</v>
      </c>
      <c r="AQ886" s="2906">
        <v>1.1576249999999999</v>
      </c>
      <c r="AR886" s="1506"/>
      <c r="AS886" s="1507"/>
      <c r="AT886" s="1507"/>
      <c r="AU886" s="1507"/>
      <c r="AV886" s="1507"/>
      <c r="AW886" s="3247">
        <f>ROUND(AL886*AQ886/G886,0)</f>
        <v>6903</v>
      </c>
      <c r="AX886" s="3146"/>
      <c r="BA886" s="267"/>
      <c r="BB886" s="267"/>
      <c r="BC886" s="4117">
        <f t="shared" si="246"/>
        <v>0</v>
      </c>
      <c r="BD886" s="4117">
        <f t="shared" si="247"/>
        <v>0</v>
      </c>
      <c r="BE886" s="6155"/>
      <c r="BF886" s="6154"/>
    </row>
    <row r="887" spans="1:58" ht="89.25">
      <c r="A887" s="5981" t="s">
        <v>11030</v>
      </c>
      <c r="B887" s="1538" t="s">
        <v>10035</v>
      </c>
      <c r="C887" s="1509">
        <v>0</v>
      </c>
      <c r="D887" s="1510">
        <v>44818</v>
      </c>
      <c r="E887" s="4344" t="s">
        <v>10324</v>
      </c>
      <c r="F887" s="2497" t="s">
        <v>10101</v>
      </c>
      <c r="G887" s="5387">
        <v>1.1100000000000001</v>
      </c>
      <c r="H887" s="1513" t="s">
        <v>11083</v>
      </c>
      <c r="I887" s="1514" t="s">
        <v>1433</v>
      </c>
      <c r="J887" s="1515" t="s">
        <v>1434</v>
      </c>
      <c r="K887" s="1516" t="s">
        <v>4905</v>
      </c>
      <c r="L887" s="1514" t="s">
        <v>10369</v>
      </c>
      <c r="M887" s="1515" t="s">
        <v>1957</v>
      </c>
      <c r="N887" s="1514" t="s">
        <v>10371</v>
      </c>
      <c r="O887" s="1513" t="s">
        <v>10372</v>
      </c>
      <c r="P887" s="1517"/>
      <c r="Q887" s="1515" t="s">
        <v>10370</v>
      </c>
      <c r="R887" s="1515" t="s">
        <v>9441</v>
      </c>
      <c r="S887" s="1518"/>
      <c r="T887" s="1519"/>
      <c r="U887" s="1504"/>
      <c r="V887" s="1520"/>
      <c r="W887" s="1519"/>
      <c r="X887" s="1504"/>
      <c r="Y887" s="1520"/>
      <c r="Z887" s="1519"/>
      <c r="AA887" s="1504"/>
      <c r="AB887" s="1520"/>
      <c r="AC887" s="1519"/>
      <c r="AD887" s="1504"/>
      <c r="AE887" s="1520"/>
      <c r="AF887" s="1519"/>
      <c r="AG887" s="1504"/>
      <c r="AH887" s="1520"/>
      <c r="AI887" s="1503">
        <v>1101</v>
      </c>
      <c r="AJ887" s="1504">
        <v>0</v>
      </c>
      <c r="AK887" s="3919">
        <v>0</v>
      </c>
      <c r="AL887" s="1505">
        <f t="shared" si="262"/>
        <v>1101</v>
      </c>
      <c r="AM887" s="1508" t="s">
        <v>2977</v>
      </c>
      <c r="AN887" s="3401">
        <v>45229</v>
      </c>
      <c r="AO887" s="3402" t="s">
        <v>11796</v>
      </c>
      <c r="AP887" s="2905" t="s">
        <v>11479</v>
      </c>
      <c r="AQ887" s="2906">
        <v>1.1576249999999999</v>
      </c>
      <c r="AR887" s="6288"/>
      <c r="AS887" s="6289"/>
      <c r="AT887" s="6289"/>
      <c r="AU887" s="6289"/>
      <c r="AV887" s="6289"/>
      <c r="AW887" s="3247">
        <f t="shared" ref="AW887" si="263">ROUND(AL887*AQ887/G887,0)</f>
        <v>1148</v>
      </c>
      <c r="AX887" s="3146"/>
      <c r="BA887" s="267"/>
      <c r="BB887" s="267"/>
      <c r="BC887" s="4117">
        <f t="shared" si="246"/>
        <v>0</v>
      </c>
      <c r="BD887" s="4117">
        <f t="shared" si="247"/>
        <v>0</v>
      </c>
      <c r="BE887" s="6155"/>
      <c r="BF887" s="6154"/>
    </row>
    <row r="888" spans="1:58" ht="90" thickBot="1">
      <c r="A888" s="6292" t="s">
        <v>10984</v>
      </c>
      <c r="B888" s="5573" t="s">
        <v>10553</v>
      </c>
      <c r="C888" s="6293">
        <v>0</v>
      </c>
      <c r="D888" s="6294">
        <v>45084</v>
      </c>
      <c r="E888" s="6295" t="s">
        <v>10324</v>
      </c>
      <c r="F888" s="3835" t="s">
        <v>10101</v>
      </c>
      <c r="G888" s="5775">
        <v>1.1100000000000001</v>
      </c>
      <c r="H888" s="6296" t="s">
        <v>11386</v>
      </c>
      <c r="I888" s="5580" t="s">
        <v>11387</v>
      </c>
      <c r="J888" s="6297" t="s">
        <v>4306</v>
      </c>
      <c r="K888" s="6298">
        <v>45815</v>
      </c>
      <c r="L888" s="5580" t="s">
        <v>11388</v>
      </c>
      <c r="M888" s="6297" t="s">
        <v>11389</v>
      </c>
      <c r="N888" s="5580" t="s">
        <v>11390</v>
      </c>
      <c r="O888" s="6296" t="s">
        <v>11391</v>
      </c>
      <c r="P888" s="5737"/>
      <c r="Q888" s="6299" t="s">
        <v>9071</v>
      </c>
      <c r="R888" s="6297" t="s">
        <v>536</v>
      </c>
      <c r="S888" s="6300"/>
      <c r="T888" s="5585"/>
      <c r="U888" s="6301"/>
      <c r="V888" s="6302"/>
      <c r="W888" s="5585"/>
      <c r="X888" s="6301"/>
      <c r="Y888" s="6302"/>
      <c r="Z888" s="5585"/>
      <c r="AA888" s="6301"/>
      <c r="AB888" s="6302"/>
      <c r="AC888" s="5585"/>
      <c r="AD888" s="6301"/>
      <c r="AE888" s="6302"/>
      <c r="AF888" s="5585"/>
      <c r="AG888" s="6301"/>
      <c r="AH888" s="6302"/>
      <c r="AI888" s="5588">
        <v>5639</v>
      </c>
      <c r="AJ888" s="6301">
        <v>0</v>
      </c>
      <c r="AK888" s="6303">
        <v>0</v>
      </c>
      <c r="AL888" s="6304">
        <f t="shared" ref="AL888:AL894" si="264">AI888-AJ888-AK888</f>
        <v>5639</v>
      </c>
      <c r="AM888" s="5743" t="s">
        <v>1061</v>
      </c>
      <c r="AN888" s="6305">
        <v>45230</v>
      </c>
      <c r="AO888" s="6306" t="s">
        <v>11801</v>
      </c>
      <c r="AP888" s="3851" t="s">
        <v>11479</v>
      </c>
      <c r="AQ888" s="3852">
        <v>1.1576249999999999</v>
      </c>
      <c r="AR888" s="5596"/>
      <c r="AS888" s="6307"/>
      <c r="AT888" s="6307"/>
      <c r="AU888" s="6307"/>
      <c r="AV888" s="6307"/>
      <c r="AW888" s="6308">
        <f t="shared" ref="AW888:AW894" si="265">ROUND(AL888*AQ888/G888,0)</f>
        <v>5881</v>
      </c>
      <c r="AX888" s="5599"/>
      <c r="AY888" s="4029" t="s">
        <v>11737</v>
      </c>
      <c r="AZ888" s="3888">
        <f>SUM(AW879:AW888)</f>
        <v>48555</v>
      </c>
      <c r="BA888" s="2119">
        <f>AZ888</f>
        <v>48555</v>
      </c>
      <c r="BB888" s="267"/>
      <c r="BC888" s="4117">
        <f t="shared" si="246"/>
        <v>0</v>
      </c>
      <c r="BD888" s="4117">
        <f t="shared" si="247"/>
        <v>0</v>
      </c>
      <c r="BE888" s="6155"/>
      <c r="BF888" s="6154"/>
    </row>
    <row r="889" spans="1:58" ht="89.25">
      <c r="A889" s="2418" t="s">
        <v>10984</v>
      </c>
      <c r="B889" s="338" t="s">
        <v>11825</v>
      </c>
      <c r="C889" s="321">
        <v>0</v>
      </c>
      <c r="D889" s="323">
        <v>45113</v>
      </c>
      <c r="E889" s="3058" t="s">
        <v>10324</v>
      </c>
      <c r="F889" s="830" t="s">
        <v>11480</v>
      </c>
      <c r="G889" s="5356">
        <v>1.1576249999999999</v>
      </c>
      <c r="H889" s="332" t="s">
        <v>11517</v>
      </c>
      <c r="I889" s="339" t="s">
        <v>11506</v>
      </c>
      <c r="J889" s="2399" t="s">
        <v>4306</v>
      </c>
      <c r="K889" s="340">
        <v>45809</v>
      </c>
      <c r="L889" s="339" t="s">
        <v>11507</v>
      </c>
      <c r="M889" s="322" t="s">
        <v>11508</v>
      </c>
      <c r="N889" s="339" t="s">
        <v>11509</v>
      </c>
      <c r="O889" s="332" t="s">
        <v>11508</v>
      </c>
      <c r="P889" s="345"/>
      <c r="Q889" s="6094" t="s">
        <v>9071</v>
      </c>
      <c r="R889" s="322" t="s">
        <v>536</v>
      </c>
      <c r="S889" s="346"/>
      <c r="T889" s="347"/>
      <c r="U889" s="326"/>
      <c r="V889" s="348"/>
      <c r="W889" s="347"/>
      <c r="X889" s="326"/>
      <c r="Y889" s="348"/>
      <c r="Z889" s="347"/>
      <c r="AA889" s="326"/>
      <c r="AB889" s="348"/>
      <c r="AC889" s="347"/>
      <c r="AD889" s="326"/>
      <c r="AE889" s="348"/>
      <c r="AF889" s="347"/>
      <c r="AG889" s="326"/>
      <c r="AH889" s="348"/>
      <c r="AI889" s="482">
        <v>5881</v>
      </c>
      <c r="AJ889" s="326">
        <v>0</v>
      </c>
      <c r="AK889" s="3917">
        <v>0</v>
      </c>
      <c r="AL889" s="349">
        <f t="shared" si="264"/>
        <v>5881</v>
      </c>
      <c r="AM889" s="2002" t="s">
        <v>1061</v>
      </c>
      <c r="AN889" s="3357">
        <v>45232</v>
      </c>
      <c r="AO889" s="695" t="s">
        <v>11827</v>
      </c>
      <c r="AP889" s="3362" t="s">
        <v>11479</v>
      </c>
      <c r="AQ889" s="3555">
        <v>1.1576249999999999</v>
      </c>
      <c r="AR889" s="333"/>
      <c r="AS889" s="330"/>
      <c r="AT889" s="330"/>
      <c r="AU889" s="330"/>
      <c r="AV889" s="330"/>
      <c r="AW889" s="3156">
        <f t="shared" si="265"/>
        <v>5881</v>
      </c>
      <c r="AX889" s="3140"/>
      <c r="BA889" s="267"/>
      <c r="BB889" s="267"/>
      <c r="BC889" s="4117">
        <f t="shared" si="246"/>
        <v>0</v>
      </c>
      <c r="BD889" s="4117">
        <f t="shared" si="247"/>
        <v>0</v>
      </c>
      <c r="BE889" s="6155"/>
      <c r="BF889" s="6154"/>
    </row>
    <row r="890" spans="1:58" ht="63.75">
      <c r="A890" s="2418" t="s">
        <v>10984</v>
      </c>
      <c r="B890" s="338" t="s">
        <v>11828</v>
      </c>
      <c r="C890" s="321">
        <v>0</v>
      </c>
      <c r="D890" s="323">
        <v>45204</v>
      </c>
      <c r="E890" s="3058" t="s">
        <v>10324</v>
      </c>
      <c r="F890" s="830" t="s">
        <v>11480</v>
      </c>
      <c r="G890" s="5356">
        <v>1.1576249999999999</v>
      </c>
      <c r="H890" s="332" t="s">
        <v>11745</v>
      </c>
      <c r="I890" s="339" t="s">
        <v>1433</v>
      </c>
      <c r="J890" s="322" t="s">
        <v>1434</v>
      </c>
      <c r="K890" s="340" t="s">
        <v>11396</v>
      </c>
      <c r="L890" s="339" t="s">
        <v>313</v>
      </c>
      <c r="M890" s="322" t="s">
        <v>9660</v>
      </c>
      <c r="N890" s="339" t="s">
        <v>11747</v>
      </c>
      <c r="O890" s="332" t="s">
        <v>11746</v>
      </c>
      <c r="P890" s="345" t="s">
        <v>11749</v>
      </c>
      <c r="Q890" s="322" t="s">
        <v>11748</v>
      </c>
      <c r="R890" s="322" t="s">
        <v>8105</v>
      </c>
      <c r="S890" s="346"/>
      <c r="T890" s="347"/>
      <c r="U890" s="326"/>
      <c r="V890" s="348"/>
      <c r="W890" s="347"/>
      <c r="X890" s="326"/>
      <c r="Y890" s="348"/>
      <c r="Z890" s="347"/>
      <c r="AA890" s="326"/>
      <c r="AB890" s="348"/>
      <c r="AC890" s="820"/>
      <c r="AD890" s="821"/>
      <c r="AE890" s="822"/>
      <c r="AF890" s="820"/>
      <c r="AG890" s="821"/>
      <c r="AH890" s="822"/>
      <c r="AI890" s="482">
        <v>19242</v>
      </c>
      <c r="AJ890" s="326">
        <v>0</v>
      </c>
      <c r="AK890" s="3917">
        <v>0</v>
      </c>
      <c r="AL890" s="349">
        <f t="shared" si="264"/>
        <v>19242</v>
      </c>
      <c r="AM890" s="2002" t="s">
        <v>1061</v>
      </c>
      <c r="AN890" s="3357">
        <v>45236</v>
      </c>
      <c r="AO890" s="695" t="s">
        <v>11829</v>
      </c>
      <c r="AP890" s="3362" t="s">
        <v>11479</v>
      </c>
      <c r="AQ890" s="3555">
        <v>1.1576249999999999</v>
      </c>
      <c r="AR890" s="333"/>
      <c r="AS890" s="330"/>
      <c r="AT890" s="330"/>
      <c r="AU890" s="849"/>
      <c r="AV890" s="849"/>
      <c r="AW890" s="3156">
        <f t="shared" si="265"/>
        <v>19242</v>
      </c>
      <c r="AX890" s="3140"/>
      <c r="BA890" s="267"/>
      <c r="BB890" s="267"/>
      <c r="BC890" s="4117">
        <f t="shared" si="246"/>
        <v>0</v>
      </c>
      <c r="BD890" s="4117">
        <f t="shared" si="247"/>
        <v>0</v>
      </c>
      <c r="BE890" s="6155"/>
      <c r="BF890" s="6154"/>
    </row>
    <row r="891" spans="1:58" ht="102">
      <c r="A891" s="5966" t="s">
        <v>11004</v>
      </c>
      <c r="B891" s="338" t="s">
        <v>11859</v>
      </c>
      <c r="C891" s="321">
        <v>0</v>
      </c>
      <c r="D891" s="323">
        <v>43662</v>
      </c>
      <c r="E891" s="829" t="s">
        <v>6386</v>
      </c>
      <c r="F891" s="830" t="s">
        <v>5757</v>
      </c>
      <c r="G891" s="2620">
        <v>1.0247219999999999</v>
      </c>
      <c r="H891" s="332" t="s">
        <v>6884</v>
      </c>
      <c r="I891" s="3651" t="s">
        <v>1433</v>
      </c>
      <c r="J891" s="3652" t="s">
        <v>1434</v>
      </c>
      <c r="K891" s="3653">
        <v>45829</v>
      </c>
      <c r="L891" s="339" t="s">
        <v>601</v>
      </c>
      <c r="M891" s="322" t="s">
        <v>6885</v>
      </c>
      <c r="N891" s="339" t="s">
        <v>6887</v>
      </c>
      <c r="O891" s="332" t="s">
        <v>6886</v>
      </c>
      <c r="P891" s="345" t="s">
        <v>6888</v>
      </c>
      <c r="Q891" s="322" t="s">
        <v>6889</v>
      </c>
      <c r="R891" s="322" t="s">
        <v>6890</v>
      </c>
      <c r="S891" s="346"/>
      <c r="T891" s="347"/>
      <c r="U891" s="326"/>
      <c r="V891" s="348"/>
      <c r="W891" s="347"/>
      <c r="X891" s="326"/>
      <c r="Y891" s="348"/>
      <c r="Z891" s="347"/>
      <c r="AA891" s="326"/>
      <c r="AB891" s="348"/>
      <c r="AC891" s="347"/>
      <c r="AD891" s="326"/>
      <c r="AE891" s="348"/>
      <c r="AF891" s="347"/>
      <c r="AG891" s="326"/>
      <c r="AH891" s="348"/>
      <c r="AI891" s="482">
        <v>213961</v>
      </c>
      <c r="AJ891" s="326">
        <v>0</v>
      </c>
      <c r="AK891" s="3917">
        <v>0</v>
      </c>
      <c r="AL891" s="349">
        <f t="shared" si="264"/>
        <v>213961</v>
      </c>
      <c r="AM891" s="2002" t="s">
        <v>1061</v>
      </c>
      <c r="AN891" s="3357">
        <v>45245</v>
      </c>
      <c r="AO891" s="695" t="s">
        <v>11864</v>
      </c>
      <c r="AP891" s="3362" t="s">
        <v>11479</v>
      </c>
      <c r="AQ891" s="3555">
        <v>1.1576249999999999</v>
      </c>
      <c r="AR891" s="333"/>
      <c r="AS891" s="330"/>
      <c r="AT891" s="330"/>
      <c r="AU891" s="330"/>
      <c r="AV891" s="330"/>
      <c r="AW891" s="3156">
        <f t="shared" si="265"/>
        <v>241711</v>
      </c>
      <c r="AX891" s="3140"/>
      <c r="BA891" s="267"/>
      <c r="BB891" s="267"/>
      <c r="BC891" s="4117">
        <f t="shared" si="246"/>
        <v>0</v>
      </c>
      <c r="BD891" s="4117">
        <f t="shared" si="247"/>
        <v>0</v>
      </c>
      <c r="BE891" s="6155"/>
      <c r="BF891" s="6154"/>
    </row>
    <row r="892" spans="1:58" ht="89.25">
      <c r="A892" s="6309" t="s">
        <v>11004</v>
      </c>
      <c r="B892" s="6310" t="s">
        <v>11860</v>
      </c>
      <c r="C892" s="6311">
        <v>0</v>
      </c>
      <c r="D892" s="6312">
        <v>43662</v>
      </c>
      <c r="E892" s="6312" t="s">
        <v>6386</v>
      </c>
      <c r="F892" s="6313" t="s">
        <v>5757</v>
      </c>
      <c r="G892" s="6314">
        <v>1.0247219999999999</v>
      </c>
      <c r="H892" s="6315" t="s">
        <v>6884</v>
      </c>
      <c r="I892" s="6316" t="s">
        <v>1433</v>
      </c>
      <c r="J892" s="6317" t="s">
        <v>1434</v>
      </c>
      <c r="K892" s="6318">
        <v>45829</v>
      </c>
      <c r="L892" s="6316" t="s">
        <v>601</v>
      </c>
      <c r="M892" s="6317" t="s">
        <v>6885</v>
      </c>
      <c r="N892" s="6316" t="s">
        <v>6887</v>
      </c>
      <c r="O892" s="6315" t="s">
        <v>6886</v>
      </c>
      <c r="P892" s="6319" t="s">
        <v>6888</v>
      </c>
      <c r="Q892" s="6317" t="s">
        <v>6891</v>
      </c>
      <c r="R892" s="6317" t="s">
        <v>6890</v>
      </c>
      <c r="S892" s="6320"/>
      <c r="T892" s="6321"/>
      <c r="U892" s="6322"/>
      <c r="V892" s="6323"/>
      <c r="W892" s="6321"/>
      <c r="X892" s="6322"/>
      <c r="Y892" s="6323"/>
      <c r="Z892" s="6321"/>
      <c r="AA892" s="6322"/>
      <c r="AB892" s="6323"/>
      <c r="AC892" s="6321"/>
      <c r="AD892" s="6322"/>
      <c r="AE892" s="6323"/>
      <c r="AF892" s="6321"/>
      <c r="AG892" s="6322"/>
      <c r="AH892" s="6323"/>
      <c r="AI892" s="6324">
        <v>163545</v>
      </c>
      <c r="AJ892" s="6322">
        <v>0</v>
      </c>
      <c r="AK892" s="3917">
        <v>0</v>
      </c>
      <c r="AL892" s="349">
        <f t="shared" si="264"/>
        <v>163545</v>
      </c>
      <c r="AM892" s="2002" t="s">
        <v>1061</v>
      </c>
      <c r="AN892" s="3357">
        <v>45245</v>
      </c>
      <c r="AO892" s="6330" t="s">
        <v>11864</v>
      </c>
      <c r="AP892" s="6325" t="s">
        <v>11479</v>
      </c>
      <c r="AQ892" s="6326">
        <v>1.1576249999999999</v>
      </c>
      <c r="AR892" s="6327"/>
      <c r="AS892" s="6328"/>
      <c r="AT892" s="6328"/>
      <c r="AU892" s="6328"/>
      <c r="AV892" s="6328"/>
      <c r="AW892" s="6329">
        <f t="shared" si="265"/>
        <v>184756</v>
      </c>
      <c r="AX892" s="3795"/>
      <c r="BA892" s="267"/>
      <c r="BB892" s="267"/>
      <c r="BC892" s="4117">
        <f t="shared" si="246"/>
        <v>0</v>
      </c>
      <c r="BD892" s="4117">
        <f t="shared" si="247"/>
        <v>0</v>
      </c>
      <c r="BE892" s="6155"/>
      <c r="BF892" s="6154"/>
    </row>
    <row r="893" spans="1:58" ht="76.5">
      <c r="A893" s="2418" t="s">
        <v>10984</v>
      </c>
      <c r="B893" s="338" t="s">
        <v>11861</v>
      </c>
      <c r="C893" s="321">
        <v>0</v>
      </c>
      <c r="D893" s="323">
        <v>45217</v>
      </c>
      <c r="E893" s="3058" t="s">
        <v>10324</v>
      </c>
      <c r="F893" s="830" t="s">
        <v>11480</v>
      </c>
      <c r="G893" s="5356">
        <v>1.1576249999999999</v>
      </c>
      <c r="H893" s="332" t="s">
        <v>11773</v>
      </c>
      <c r="I893" s="339" t="s">
        <v>1433</v>
      </c>
      <c r="J893" s="322" t="s">
        <v>1434</v>
      </c>
      <c r="K893" s="340" t="s">
        <v>11396</v>
      </c>
      <c r="L893" s="339" t="s">
        <v>11774</v>
      </c>
      <c r="M893" s="322" t="s">
        <v>11775</v>
      </c>
      <c r="N893" s="339" t="s">
        <v>11777</v>
      </c>
      <c r="O893" s="332" t="s">
        <v>11776</v>
      </c>
      <c r="P893" s="345"/>
      <c r="Q893" s="322" t="s">
        <v>11778</v>
      </c>
      <c r="R893" s="322" t="s">
        <v>11779</v>
      </c>
      <c r="S893" s="346"/>
      <c r="T893" s="347"/>
      <c r="U893" s="326"/>
      <c r="V893" s="348"/>
      <c r="W893" s="347"/>
      <c r="X893" s="326"/>
      <c r="Y893" s="348"/>
      <c r="Z893" s="347"/>
      <c r="AA893" s="326"/>
      <c r="AB893" s="348"/>
      <c r="AC893" s="347"/>
      <c r="AD893" s="326"/>
      <c r="AE893" s="348"/>
      <c r="AF893" s="347"/>
      <c r="AG893" s="326"/>
      <c r="AH893" s="348"/>
      <c r="AI893" s="482">
        <v>2111</v>
      </c>
      <c r="AJ893" s="326">
        <v>0</v>
      </c>
      <c r="AK893" s="3917">
        <v>0</v>
      </c>
      <c r="AL893" s="349">
        <f t="shared" si="264"/>
        <v>2111</v>
      </c>
      <c r="AM893" s="2002" t="s">
        <v>1061</v>
      </c>
      <c r="AN893" s="3357" t="s">
        <v>11862</v>
      </c>
      <c r="AO893" s="695" t="s">
        <v>11863</v>
      </c>
      <c r="AP893" s="3362" t="s">
        <v>11479</v>
      </c>
      <c r="AQ893" s="3555">
        <v>1.1576249999999999</v>
      </c>
      <c r="AR893" s="333"/>
      <c r="AS893" s="330"/>
      <c r="AT893" s="330"/>
      <c r="AU893" s="330"/>
      <c r="AV893" s="330"/>
      <c r="AW893" s="3156">
        <f t="shared" si="265"/>
        <v>2111</v>
      </c>
      <c r="AX893" s="3140"/>
      <c r="BB893" s="267"/>
      <c r="BC893" s="4117">
        <f t="shared" ref="BC893:BC954" si="266">ROUND($AJ893*$AQ893/$G893,0)</f>
        <v>0</v>
      </c>
      <c r="BD893" s="4117">
        <f t="shared" ref="BD893:BD954" si="267">ROUND($AK893*$AQ893/$G893,0)</f>
        <v>0</v>
      </c>
      <c r="BE893" s="6155"/>
      <c r="BF893" s="6154"/>
    </row>
    <row r="894" spans="1:58" ht="76.5">
      <c r="A894" s="2418" t="s">
        <v>11006</v>
      </c>
      <c r="B894" s="338" t="s">
        <v>11865</v>
      </c>
      <c r="C894" s="321">
        <v>0</v>
      </c>
      <c r="D894" s="323">
        <v>44585</v>
      </c>
      <c r="E894" s="3058" t="s">
        <v>9156</v>
      </c>
      <c r="F894" s="830" t="s">
        <v>9005</v>
      </c>
      <c r="G894" s="5356">
        <v>1.0956269999999999</v>
      </c>
      <c r="H894" s="332" t="s">
        <v>9670</v>
      </c>
      <c r="I894" s="339" t="s">
        <v>1433</v>
      </c>
      <c r="J894" s="322" t="s">
        <v>1434</v>
      </c>
      <c r="K894" s="340">
        <v>46772</v>
      </c>
      <c r="L894" s="339" t="s">
        <v>9593</v>
      </c>
      <c r="M894" s="322" t="s">
        <v>9594</v>
      </c>
      <c r="N894" s="339" t="s">
        <v>9596</v>
      </c>
      <c r="O894" s="332" t="s">
        <v>9595</v>
      </c>
      <c r="P894" s="345"/>
      <c r="Q894" s="322" t="s">
        <v>9597</v>
      </c>
      <c r="R894" s="322" t="s">
        <v>9598</v>
      </c>
      <c r="S894" s="346"/>
      <c r="T894" s="347"/>
      <c r="U894" s="326"/>
      <c r="V894" s="348"/>
      <c r="W894" s="347"/>
      <c r="X894" s="326"/>
      <c r="Y894" s="348"/>
      <c r="Z894" s="347"/>
      <c r="AA894" s="326"/>
      <c r="AB894" s="348"/>
      <c r="AC894" s="820"/>
      <c r="AD894" s="821"/>
      <c r="AE894" s="822"/>
      <c r="AF894" s="820"/>
      <c r="AG894" s="821"/>
      <c r="AH894" s="822"/>
      <c r="AI894" s="482">
        <v>18406</v>
      </c>
      <c r="AJ894" s="326">
        <v>0</v>
      </c>
      <c r="AK894" s="3917">
        <v>0</v>
      </c>
      <c r="AL894" s="349">
        <f t="shared" si="264"/>
        <v>18406</v>
      </c>
      <c r="AM894" s="2002" t="s">
        <v>1061</v>
      </c>
      <c r="AN894" s="3357">
        <v>45250</v>
      </c>
      <c r="AO894" s="695" t="s">
        <v>11868</v>
      </c>
      <c r="AP894" s="3362" t="s">
        <v>11479</v>
      </c>
      <c r="AQ894" s="3555">
        <v>1.1576249999999999</v>
      </c>
      <c r="AR894" s="333"/>
      <c r="AS894" s="330"/>
      <c r="AT894" s="330"/>
      <c r="AU894" s="849"/>
      <c r="AV894" s="849"/>
      <c r="AW894" s="3156">
        <f t="shared" si="265"/>
        <v>19448</v>
      </c>
      <c r="AX894" s="3140"/>
      <c r="BA894" s="267"/>
      <c r="BB894" s="267"/>
      <c r="BC894" s="4117">
        <f t="shared" si="266"/>
        <v>0</v>
      </c>
      <c r="BD894" s="4117">
        <f t="shared" si="267"/>
        <v>0</v>
      </c>
      <c r="BE894" s="6155"/>
      <c r="BF894" s="6154"/>
    </row>
    <row r="895" spans="1:58" ht="63.75">
      <c r="A895" s="2418" t="s">
        <v>10984</v>
      </c>
      <c r="B895" s="338" t="s">
        <v>11331</v>
      </c>
      <c r="C895" s="321">
        <v>0</v>
      </c>
      <c r="D895" s="323">
        <v>45142</v>
      </c>
      <c r="E895" s="3058" t="s">
        <v>10324</v>
      </c>
      <c r="F895" s="830" t="s">
        <v>11480</v>
      </c>
      <c r="G895" s="5356">
        <v>1.1576249999999999</v>
      </c>
      <c r="H895" s="332" t="s">
        <v>11619</v>
      </c>
      <c r="I895" s="339" t="s">
        <v>1433</v>
      </c>
      <c r="J895" s="322" t="s">
        <v>1434</v>
      </c>
      <c r="K895" s="340">
        <v>47326</v>
      </c>
      <c r="L895" s="339" t="s">
        <v>11620</v>
      </c>
      <c r="M895" s="322" t="s">
        <v>8102</v>
      </c>
      <c r="N895" s="339" t="s">
        <v>11621</v>
      </c>
      <c r="O895" s="332" t="s">
        <v>11622</v>
      </c>
      <c r="P895" s="345"/>
      <c r="Q895" s="322" t="s">
        <v>11623</v>
      </c>
      <c r="R895" s="322" t="s">
        <v>11624</v>
      </c>
      <c r="S895" s="346"/>
      <c r="T895" s="347"/>
      <c r="U895" s="326"/>
      <c r="V895" s="348"/>
      <c r="W895" s="347"/>
      <c r="X895" s="326"/>
      <c r="Y895" s="348"/>
      <c r="Z895" s="347"/>
      <c r="AA895" s="326"/>
      <c r="AB895" s="348"/>
      <c r="AC895" s="820"/>
      <c r="AD895" s="821"/>
      <c r="AE895" s="822"/>
      <c r="AF895" s="820"/>
      <c r="AG895" s="821"/>
      <c r="AH895" s="822"/>
      <c r="AI895" s="482">
        <v>5313</v>
      </c>
      <c r="AJ895" s="326">
        <v>0</v>
      </c>
      <c r="AK895" s="3917">
        <v>0</v>
      </c>
      <c r="AL895" s="349">
        <f t="shared" ref="AL895:AL900" si="268">AI895-AJ895-AK895</f>
        <v>5313</v>
      </c>
      <c r="AM895" s="2002" t="s">
        <v>1061</v>
      </c>
      <c r="AN895" s="3357">
        <v>45250</v>
      </c>
      <c r="AO895" s="695" t="s">
        <v>11869</v>
      </c>
      <c r="AP895" s="3362" t="s">
        <v>11479</v>
      </c>
      <c r="AQ895" s="3555">
        <v>1.1576249999999999</v>
      </c>
      <c r="AR895" s="333"/>
      <c r="AS895" s="330"/>
      <c r="AT895" s="330"/>
      <c r="AU895" s="849"/>
      <c r="AV895" s="849"/>
      <c r="AW895" s="3156">
        <f t="shared" ref="AW895:AW900" si="269">ROUND(AL895*AQ895/G895,0)</f>
        <v>5313</v>
      </c>
      <c r="AX895" s="3140"/>
      <c r="BA895" s="267"/>
      <c r="BB895" s="267"/>
      <c r="BC895" s="4117">
        <f t="shared" si="266"/>
        <v>0</v>
      </c>
      <c r="BD895" s="4117">
        <f t="shared" si="267"/>
        <v>0</v>
      </c>
      <c r="BE895" s="6155"/>
      <c r="BF895" s="6154"/>
    </row>
    <row r="896" spans="1:58" ht="76.5">
      <c r="A896" s="2418" t="s">
        <v>11030</v>
      </c>
      <c r="B896" s="338" t="s">
        <v>11874</v>
      </c>
      <c r="C896" s="321">
        <v>0</v>
      </c>
      <c r="D896" s="323">
        <v>45034</v>
      </c>
      <c r="E896" s="3058" t="s">
        <v>10324</v>
      </c>
      <c r="F896" s="830" t="s">
        <v>10101</v>
      </c>
      <c r="G896" s="5356">
        <v>1.1100000000000001</v>
      </c>
      <c r="H896" s="332" t="s">
        <v>11118</v>
      </c>
      <c r="I896" s="339" t="s">
        <v>5753</v>
      </c>
      <c r="J896" s="322" t="s">
        <v>2712</v>
      </c>
      <c r="K896" s="340">
        <v>46490</v>
      </c>
      <c r="L896" s="339" t="s">
        <v>11043</v>
      </c>
      <c r="M896" s="322" t="s">
        <v>11044</v>
      </c>
      <c r="N896" s="339" t="s">
        <v>11045</v>
      </c>
      <c r="O896" s="332" t="s">
        <v>11046</v>
      </c>
      <c r="P896" s="345"/>
      <c r="Q896" s="322" t="s">
        <v>4127</v>
      </c>
      <c r="R896" s="322" t="s">
        <v>8326</v>
      </c>
      <c r="S896" s="346"/>
      <c r="T896" s="347"/>
      <c r="U896" s="326"/>
      <c r="V896" s="348"/>
      <c r="W896" s="347"/>
      <c r="X896" s="326"/>
      <c r="Y896" s="348"/>
      <c r="Z896" s="347"/>
      <c r="AA896" s="326"/>
      <c r="AB896" s="348"/>
      <c r="AC896" s="347"/>
      <c r="AD896" s="326"/>
      <c r="AE896" s="348"/>
      <c r="AF896" s="347"/>
      <c r="AG896" s="326"/>
      <c r="AH896" s="348"/>
      <c r="AI896" s="482">
        <v>15888</v>
      </c>
      <c r="AJ896" s="326">
        <v>0</v>
      </c>
      <c r="AK896" s="3917">
        <v>0</v>
      </c>
      <c r="AL896" s="349">
        <f t="shared" si="268"/>
        <v>15888</v>
      </c>
      <c r="AM896" s="2002" t="s">
        <v>1061</v>
      </c>
      <c r="AN896" s="3357">
        <v>45253</v>
      </c>
      <c r="AO896" s="695" t="s">
        <v>11875</v>
      </c>
      <c r="AP896" s="3362" t="s">
        <v>11479</v>
      </c>
      <c r="AQ896" s="3555">
        <v>1.1576249999999999</v>
      </c>
      <c r="AR896" s="333"/>
      <c r="AS896" s="330"/>
      <c r="AT896" s="330"/>
      <c r="AU896" s="330"/>
      <c r="AV896" s="330"/>
      <c r="AW896" s="3156">
        <f t="shared" si="269"/>
        <v>16570</v>
      </c>
      <c r="AX896" s="3140"/>
      <c r="BA896" s="267"/>
      <c r="BB896" s="267"/>
      <c r="BC896" s="4117">
        <f t="shared" si="266"/>
        <v>0</v>
      </c>
      <c r="BD896" s="4117">
        <f t="shared" si="267"/>
        <v>0</v>
      </c>
      <c r="BE896" s="6155"/>
      <c r="BF896" s="6154"/>
    </row>
    <row r="897" spans="1:58" ht="89.25">
      <c r="A897" s="2418" t="s">
        <v>11030</v>
      </c>
      <c r="B897" s="338" t="s">
        <v>11735</v>
      </c>
      <c r="C897" s="321">
        <v>0</v>
      </c>
      <c r="D897" s="323">
        <v>44766</v>
      </c>
      <c r="E897" s="3058" t="s">
        <v>10324</v>
      </c>
      <c r="F897" s="830" t="s">
        <v>10101</v>
      </c>
      <c r="G897" s="5356">
        <v>1.1100000000000001</v>
      </c>
      <c r="H897" s="332" t="s">
        <v>10279</v>
      </c>
      <c r="I897" s="339" t="s">
        <v>1433</v>
      </c>
      <c r="J897" s="322" t="s">
        <v>1434</v>
      </c>
      <c r="K897" s="340">
        <v>46983</v>
      </c>
      <c r="L897" s="339" t="s">
        <v>10280</v>
      </c>
      <c r="M897" s="322" t="s">
        <v>9455</v>
      </c>
      <c r="N897" s="339" t="s">
        <v>10282</v>
      </c>
      <c r="O897" s="332" t="s">
        <v>10281</v>
      </c>
      <c r="P897" s="345" t="s">
        <v>10285</v>
      </c>
      <c r="Q897" s="322" t="s">
        <v>10283</v>
      </c>
      <c r="R897" s="322" t="s">
        <v>581</v>
      </c>
      <c r="S897" s="346" t="s">
        <v>10284</v>
      </c>
      <c r="T897" s="347"/>
      <c r="U897" s="326"/>
      <c r="V897" s="348"/>
      <c r="W897" s="347"/>
      <c r="X897" s="326"/>
      <c r="Y897" s="348"/>
      <c r="Z897" s="347"/>
      <c r="AA897" s="326"/>
      <c r="AB897" s="348"/>
      <c r="AC897" s="347"/>
      <c r="AD897" s="326"/>
      <c r="AE897" s="348"/>
      <c r="AF897" s="347"/>
      <c r="AG897" s="326"/>
      <c r="AH897" s="348"/>
      <c r="AI897" s="482">
        <f>26249-799</f>
        <v>25450</v>
      </c>
      <c r="AJ897" s="326">
        <v>0</v>
      </c>
      <c r="AK897" s="3917">
        <v>2996</v>
      </c>
      <c r="AL897" s="349">
        <f t="shared" si="268"/>
        <v>22454</v>
      </c>
      <c r="AM897" s="2002" t="s">
        <v>1061</v>
      </c>
      <c r="AN897" s="3357">
        <v>45254</v>
      </c>
      <c r="AO897" s="695" t="s">
        <v>11876</v>
      </c>
      <c r="AP897" s="3362" t="s">
        <v>11479</v>
      </c>
      <c r="AQ897" s="3555">
        <v>1.1576249999999999</v>
      </c>
      <c r="AR897" s="333"/>
      <c r="AS897" s="330"/>
      <c r="AT897" s="330"/>
      <c r="AU897" s="330"/>
      <c r="AV897" s="330"/>
      <c r="AW897" s="3156">
        <f t="shared" si="269"/>
        <v>23417</v>
      </c>
      <c r="AX897" s="3140"/>
      <c r="BA897" s="267"/>
      <c r="BB897" s="267"/>
      <c r="BC897" s="4117">
        <f t="shared" si="266"/>
        <v>0</v>
      </c>
      <c r="BD897" s="4117">
        <f t="shared" si="267"/>
        <v>3125</v>
      </c>
      <c r="BE897" s="6155"/>
      <c r="BF897" s="6154"/>
    </row>
    <row r="898" spans="1:58" ht="76.5">
      <c r="A898" s="2418" t="s">
        <v>11006</v>
      </c>
      <c r="B898" s="338" t="s">
        <v>9254</v>
      </c>
      <c r="C898" s="321">
        <v>0</v>
      </c>
      <c r="D898" s="323">
        <v>44662</v>
      </c>
      <c r="E898" s="3058" t="s">
        <v>9156</v>
      </c>
      <c r="F898" s="830" t="s">
        <v>9005</v>
      </c>
      <c r="G898" s="5356">
        <v>1.0956269999999999</v>
      </c>
      <c r="H898" s="332" t="s">
        <v>9828</v>
      </c>
      <c r="I898" s="339" t="s">
        <v>1433</v>
      </c>
      <c r="J898" s="322" t="s">
        <v>1434</v>
      </c>
      <c r="K898" s="340">
        <v>46847</v>
      </c>
      <c r="L898" s="339" t="s">
        <v>9829</v>
      </c>
      <c r="M898" s="322" t="s">
        <v>9803</v>
      </c>
      <c r="N898" s="339" t="s">
        <v>9814</v>
      </c>
      <c r="O898" s="332" t="s">
        <v>9815</v>
      </c>
      <c r="P898" s="345"/>
      <c r="Q898" s="322" t="s">
        <v>9826</v>
      </c>
      <c r="R898" s="322" t="s">
        <v>9827</v>
      </c>
      <c r="S898" s="346"/>
      <c r="T898" s="347"/>
      <c r="U898" s="326"/>
      <c r="V898" s="348"/>
      <c r="W898" s="347"/>
      <c r="X898" s="326"/>
      <c r="Y898" s="348"/>
      <c r="Z898" s="347"/>
      <c r="AA898" s="326"/>
      <c r="AB898" s="348"/>
      <c r="AC898" s="347"/>
      <c r="AD898" s="326"/>
      <c r="AE898" s="348"/>
      <c r="AF898" s="347"/>
      <c r="AG898" s="326"/>
      <c r="AH898" s="348"/>
      <c r="AI898" s="482">
        <v>255062</v>
      </c>
      <c r="AJ898" s="326">
        <v>0</v>
      </c>
      <c r="AK898" s="3917">
        <v>0</v>
      </c>
      <c r="AL898" s="349">
        <f t="shared" si="268"/>
        <v>255062</v>
      </c>
      <c r="AM898" s="2002" t="s">
        <v>1061</v>
      </c>
      <c r="AN898" s="3357">
        <v>45258</v>
      </c>
      <c r="AO898" s="695" t="s">
        <v>11887</v>
      </c>
      <c r="AP898" s="3362" t="s">
        <v>11479</v>
      </c>
      <c r="AQ898" s="3555">
        <v>1.1576249999999999</v>
      </c>
      <c r="AR898" s="333"/>
      <c r="AS898" s="330"/>
      <c r="AT898" s="330"/>
      <c r="AU898" s="330"/>
      <c r="AV898" s="330"/>
      <c r="AW898" s="3156">
        <f t="shared" si="269"/>
        <v>269495</v>
      </c>
      <c r="AX898" s="3140"/>
      <c r="BA898" s="267"/>
      <c r="BB898" s="267"/>
      <c r="BC898" s="4117">
        <f t="shared" si="266"/>
        <v>0</v>
      </c>
      <c r="BD898" s="4117">
        <f t="shared" si="267"/>
        <v>0</v>
      </c>
      <c r="BE898" s="6155"/>
      <c r="BF898" s="6154"/>
    </row>
    <row r="899" spans="1:58" ht="76.5">
      <c r="A899" s="2418" t="s">
        <v>11006</v>
      </c>
      <c r="B899" s="338" t="s">
        <v>11877</v>
      </c>
      <c r="C899" s="695">
        <v>1</v>
      </c>
      <c r="D899" s="323">
        <v>44063</v>
      </c>
      <c r="E899" s="3058" t="s">
        <v>7972</v>
      </c>
      <c r="F899" s="324" t="s">
        <v>7957</v>
      </c>
      <c r="G899" s="2621">
        <v>1.0795220000000001</v>
      </c>
      <c r="H899" s="332" t="s">
        <v>7997</v>
      </c>
      <c r="I899" s="339" t="s">
        <v>1433</v>
      </c>
      <c r="J899" s="322" t="s">
        <v>1434</v>
      </c>
      <c r="K899" s="340">
        <v>46184</v>
      </c>
      <c r="L899" s="339" t="s">
        <v>7998</v>
      </c>
      <c r="M899" s="322" t="s">
        <v>1957</v>
      </c>
      <c r="N899" s="339" t="s">
        <v>7999</v>
      </c>
      <c r="O899" s="332" t="s">
        <v>8000</v>
      </c>
      <c r="P899" s="930" t="s">
        <v>8005</v>
      </c>
      <c r="Q899" s="322" t="s">
        <v>8001</v>
      </c>
      <c r="R899" s="322" t="s">
        <v>8002</v>
      </c>
      <c r="S899" s="348"/>
      <c r="T899" s="347"/>
      <c r="U899" s="326"/>
      <c r="V899" s="348"/>
      <c r="W899" s="347"/>
      <c r="X899" s="326"/>
      <c r="Y899" s="348"/>
      <c r="Z899" s="347"/>
      <c r="AA899" s="326"/>
      <c r="AB899" s="348"/>
      <c r="AC899" s="347"/>
      <c r="AD899" s="326"/>
      <c r="AE899" s="348"/>
      <c r="AF899" s="347"/>
      <c r="AG899" s="326"/>
      <c r="AH899" s="348"/>
      <c r="AI899" s="482">
        <v>42937</v>
      </c>
      <c r="AJ899" s="326">
        <v>0</v>
      </c>
      <c r="AK899" s="3917">
        <v>0</v>
      </c>
      <c r="AL899" s="349">
        <f t="shared" si="268"/>
        <v>42937</v>
      </c>
      <c r="AM899" s="2002" t="s">
        <v>1061</v>
      </c>
      <c r="AN899" s="3357">
        <v>45258</v>
      </c>
      <c r="AO899" s="695" t="s">
        <v>11886</v>
      </c>
      <c r="AP899" s="3362" t="s">
        <v>11479</v>
      </c>
      <c r="AQ899" s="3555">
        <v>1.1576249999999999</v>
      </c>
      <c r="AR899" s="333"/>
      <c r="AS899" s="330"/>
      <c r="AT899" s="330"/>
      <c r="AU899" s="330"/>
      <c r="AV899" s="330"/>
      <c r="AW899" s="3156">
        <f t="shared" si="269"/>
        <v>46043</v>
      </c>
      <c r="AX899" s="3140"/>
      <c r="AY899" s="4757"/>
      <c r="BA899" s="267"/>
      <c r="BB899" s="267"/>
      <c r="BC899" s="4117">
        <f t="shared" si="266"/>
        <v>0</v>
      </c>
      <c r="BD899" s="4117">
        <f t="shared" si="267"/>
        <v>0</v>
      </c>
      <c r="BE899" s="6155"/>
      <c r="BF899" s="6154"/>
    </row>
    <row r="900" spans="1:58" ht="77.25" thickBot="1">
      <c r="A900" s="6332" t="s">
        <v>10984</v>
      </c>
      <c r="B900" s="5600" t="s">
        <v>11878</v>
      </c>
      <c r="C900" s="6333">
        <v>0</v>
      </c>
      <c r="D900" s="6334">
        <v>45077</v>
      </c>
      <c r="E900" s="6335" t="s">
        <v>10324</v>
      </c>
      <c r="F900" s="3793" t="s">
        <v>10101</v>
      </c>
      <c r="G900" s="5368">
        <v>1.1100000000000001</v>
      </c>
      <c r="H900" s="6336" t="s">
        <v>11369</v>
      </c>
      <c r="I900" s="5605" t="s">
        <v>1433</v>
      </c>
      <c r="J900" s="6337" t="s">
        <v>1434</v>
      </c>
      <c r="K900" s="6338">
        <v>47264</v>
      </c>
      <c r="L900" s="5605" t="s">
        <v>7998</v>
      </c>
      <c r="M900" s="6337" t="s">
        <v>3046</v>
      </c>
      <c r="N900" s="5605" t="s">
        <v>11325</v>
      </c>
      <c r="O900" s="6336" t="s">
        <v>11326</v>
      </c>
      <c r="P900" s="5608"/>
      <c r="Q900" s="6337" t="s">
        <v>11327</v>
      </c>
      <c r="R900" s="6337" t="s">
        <v>11368</v>
      </c>
      <c r="S900" s="6339"/>
      <c r="T900" s="5610"/>
      <c r="U900" s="6340"/>
      <c r="V900" s="6341"/>
      <c r="W900" s="5610"/>
      <c r="X900" s="6340"/>
      <c r="Y900" s="6341"/>
      <c r="Z900" s="5610"/>
      <c r="AA900" s="6340"/>
      <c r="AB900" s="6341"/>
      <c r="AC900" s="5610"/>
      <c r="AD900" s="6340"/>
      <c r="AE900" s="6341"/>
      <c r="AF900" s="5610"/>
      <c r="AG900" s="6340"/>
      <c r="AH900" s="6341"/>
      <c r="AI900" s="5613">
        <v>36633</v>
      </c>
      <c r="AJ900" s="6340">
        <v>0</v>
      </c>
      <c r="AK900" s="6342">
        <v>0</v>
      </c>
      <c r="AL900" s="6343">
        <f t="shared" si="268"/>
        <v>36633</v>
      </c>
      <c r="AM900" s="5616" t="s">
        <v>1061</v>
      </c>
      <c r="AN900" s="6344">
        <v>45258</v>
      </c>
      <c r="AO900" s="6345" t="s">
        <v>11886</v>
      </c>
      <c r="AP900" s="3387" t="s">
        <v>11479</v>
      </c>
      <c r="AQ900" s="4753">
        <v>1.1576249999999999</v>
      </c>
      <c r="AR900" s="5619"/>
      <c r="AS900" s="6346"/>
      <c r="AT900" s="6346"/>
      <c r="AU900" s="6346"/>
      <c r="AV900" s="6346"/>
      <c r="AW900" s="6347">
        <f t="shared" si="269"/>
        <v>38205</v>
      </c>
      <c r="AX900" s="5623"/>
      <c r="AY900" s="4031" t="s">
        <v>11826</v>
      </c>
      <c r="AZ900" s="3857">
        <f>SUM(AW889:AW900)</f>
        <v>872192</v>
      </c>
      <c r="BA900" s="1663">
        <f>AZ900</f>
        <v>872192</v>
      </c>
      <c r="BB900" s="267"/>
      <c r="BC900" s="4117">
        <f t="shared" si="266"/>
        <v>0</v>
      </c>
      <c r="BD900" s="4117">
        <f t="shared" si="267"/>
        <v>0</v>
      </c>
      <c r="BE900" s="6155"/>
      <c r="BF900" s="6154"/>
    </row>
    <row r="901" spans="1:58" ht="89.25">
      <c r="A901" s="5981" t="s">
        <v>10984</v>
      </c>
      <c r="B901" s="1538" t="s">
        <v>11903</v>
      </c>
      <c r="C901" s="1509">
        <v>0</v>
      </c>
      <c r="D901" s="1510">
        <v>45231</v>
      </c>
      <c r="E901" s="4344" t="s">
        <v>10324</v>
      </c>
      <c r="F901" s="2497" t="s">
        <v>11480</v>
      </c>
      <c r="G901" s="5387">
        <v>1.1576249999999999</v>
      </c>
      <c r="H901" s="1513" t="s">
        <v>11820</v>
      </c>
      <c r="I901" s="1514" t="s">
        <v>11821</v>
      </c>
      <c r="J901" s="4345" t="s">
        <v>4306</v>
      </c>
      <c r="K901" s="1516">
        <v>45945</v>
      </c>
      <c r="L901" s="1514" t="s">
        <v>11822</v>
      </c>
      <c r="M901" s="1515" t="s">
        <v>11823</v>
      </c>
      <c r="N901" s="1514" t="s">
        <v>11824</v>
      </c>
      <c r="O901" s="1515" t="s">
        <v>11823</v>
      </c>
      <c r="P901" s="1517"/>
      <c r="Q901" s="6094" t="s">
        <v>9071</v>
      </c>
      <c r="R901" s="1515" t="s">
        <v>536</v>
      </c>
      <c r="S901" s="1518"/>
      <c r="T901" s="1519"/>
      <c r="U901" s="1504"/>
      <c r="V901" s="1520"/>
      <c r="W901" s="1519"/>
      <c r="X901" s="1504"/>
      <c r="Y901" s="1520"/>
      <c r="Z901" s="1519"/>
      <c r="AA901" s="1504"/>
      <c r="AB901" s="1520"/>
      <c r="AC901" s="1519"/>
      <c r="AD901" s="1504"/>
      <c r="AE901" s="1520"/>
      <c r="AF901" s="1519"/>
      <c r="AG901" s="1504"/>
      <c r="AH901" s="1520"/>
      <c r="AI901" s="1503">
        <v>5881</v>
      </c>
      <c r="AJ901" s="1504">
        <v>0</v>
      </c>
      <c r="AK901" s="3919">
        <v>0</v>
      </c>
      <c r="AL901" s="1505">
        <f>AI901-AJ901-AK901</f>
        <v>5881</v>
      </c>
      <c r="AM901" s="1508" t="s">
        <v>1061</v>
      </c>
      <c r="AN901" s="3401">
        <v>45265</v>
      </c>
      <c r="AO901" s="3402" t="s">
        <v>11910</v>
      </c>
      <c r="AP901" s="2905" t="s">
        <v>11479</v>
      </c>
      <c r="AQ901" s="2906">
        <v>1.1576249999999999</v>
      </c>
      <c r="AR901" s="1506"/>
      <c r="AS901" s="1507"/>
      <c r="AT901" s="1507"/>
      <c r="AU901" s="1507"/>
      <c r="AV901" s="1507"/>
      <c r="AW901" s="3247">
        <f>ROUND(AL901*AQ901/G901,0)</f>
        <v>5881</v>
      </c>
      <c r="AX901" s="3146"/>
      <c r="AY901" s="3635"/>
      <c r="AZ901" s="4030"/>
      <c r="BA901" s="1727"/>
      <c r="BB901" s="267"/>
      <c r="BC901" s="4117">
        <f t="shared" si="266"/>
        <v>0</v>
      </c>
      <c r="BD901" s="4117">
        <f t="shared" si="267"/>
        <v>0</v>
      </c>
      <c r="BE901" s="6155"/>
      <c r="BF901" s="6154"/>
    </row>
    <row r="902" spans="1:58" ht="76.5">
      <c r="A902" s="5981" t="s">
        <v>11004</v>
      </c>
      <c r="B902" s="1538" t="s">
        <v>11934</v>
      </c>
      <c r="C902" s="1509">
        <v>0</v>
      </c>
      <c r="D902" s="1510">
        <v>42773</v>
      </c>
      <c r="E902" s="3053" t="s">
        <v>6385</v>
      </c>
      <c r="F902" s="1511" t="s">
        <v>4154</v>
      </c>
      <c r="G902" s="2663">
        <v>1.0111000000000001</v>
      </c>
      <c r="H902" s="1513" t="s">
        <v>9346</v>
      </c>
      <c r="I902" s="1514" t="s">
        <v>1433</v>
      </c>
      <c r="J902" s="1515" t="s">
        <v>1434</v>
      </c>
      <c r="K902" s="1516" t="s">
        <v>9345</v>
      </c>
      <c r="L902" s="1514" t="s">
        <v>4323</v>
      </c>
      <c r="M902" s="1515" t="s">
        <v>1957</v>
      </c>
      <c r="N902" s="1514" t="s">
        <v>4324</v>
      </c>
      <c r="O902" s="1513" t="s">
        <v>6334</v>
      </c>
      <c r="P902" s="1517"/>
      <c r="Q902" s="1515" t="s">
        <v>4325</v>
      </c>
      <c r="R902" s="1515" t="s">
        <v>4309</v>
      </c>
      <c r="S902" s="1518"/>
      <c r="T902" s="1519">
        <v>6794</v>
      </c>
      <c r="U902" s="1504">
        <v>0</v>
      </c>
      <c r="V902" s="1520">
        <f t="shared" ref="V902" si="270">T902-U902</f>
        <v>6794</v>
      </c>
      <c r="W902" s="1519">
        <v>8493</v>
      </c>
      <c r="X902" s="1504">
        <v>0</v>
      </c>
      <c r="Y902" s="1520">
        <f t="shared" ref="Y902" si="271">W902-X902</f>
        <v>8493</v>
      </c>
      <c r="Z902" s="1519">
        <v>1699</v>
      </c>
      <c r="AA902" s="1504">
        <v>0</v>
      </c>
      <c r="AB902" s="1520">
        <f t="shared" ref="AB902" si="272">Z902-AA902</f>
        <v>1699</v>
      </c>
      <c r="AC902" s="1519"/>
      <c r="AD902" s="1504"/>
      <c r="AE902" s="1520"/>
      <c r="AF902" s="1519"/>
      <c r="AG902" s="1504"/>
      <c r="AH902" s="1520"/>
      <c r="AI902" s="1503">
        <f t="shared" ref="AI902:AJ902" si="273">T902+W902+Z902+AC902+AF902</f>
        <v>16986</v>
      </c>
      <c r="AJ902" s="1504">
        <f t="shared" si="273"/>
        <v>0</v>
      </c>
      <c r="AK902" s="3919">
        <v>0</v>
      </c>
      <c r="AL902" s="1505">
        <f t="shared" ref="AL902" si="274">AI902-AJ902-AK902</f>
        <v>16986</v>
      </c>
      <c r="AM902" s="1508" t="s">
        <v>2977</v>
      </c>
      <c r="AN902" s="3401">
        <v>45265</v>
      </c>
      <c r="AO902" s="3402" t="s">
        <v>11911</v>
      </c>
      <c r="AP902" s="2664" t="s">
        <v>11479</v>
      </c>
      <c r="AQ902" s="2906">
        <v>1.1576249999999999</v>
      </c>
      <c r="AR902" s="1506">
        <v>0</v>
      </c>
      <c r="AS902" s="1507">
        <v>0</v>
      </c>
      <c r="AT902" s="1507">
        <v>0</v>
      </c>
      <c r="AU902" s="1507">
        <v>0</v>
      </c>
      <c r="AV902" s="1507">
        <v>0</v>
      </c>
      <c r="AW902" s="3247">
        <f t="shared" ref="AW902" si="275">ROUND(AL902*AQ902/G902,0)</f>
        <v>19448</v>
      </c>
      <c r="AX902" s="3146"/>
      <c r="BB902" s="267"/>
      <c r="BC902" s="4117">
        <f t="shared" si="266"/>
        <v>0</v>
      </c>
      <c r="BD902" s="4117">
        <f t="shared" si="267"/>
        <v>0</v>
      </c>
      <c r="BE902" s="6155"/>
      <c r="BF902" s="6154"/>
    </row>
    <row r="903" spans="1:58" ht="76.5">
      <c r="A903" s="5981" t="s">
        <v>10984</v>
      </c>
      <c r="B903" s="1538" t="s">
        <v>11935</v>
      </c>
      <c r="C903" s="1509">
        <v>0</v>
      </c>
      <c r="D903" s="1510">
        <v>45243</v>
      </c>
      <c r="E903" s="4344" t="s">
        <v>10324</v>
      </c>
      <c r="F903" s="2497" t="s">
        <v>11480</v>
      </c>
      <c r="G903" s="5387">
        <v>1.1576249999999999</v>
      </c>
      <c r="H903" s="1513" t="s">
        <v>11856</v>
      </c>
      <c r="I903" s="1514" t="s">
        <v>1433</v>
      </c>
      <c r="J903" s="1515" t="s">
        <v>1434</v>
      </c>
      <c r="K903" s="1516" t="s">
        <v>11396</v>
      </c>
      <c r="L903" s="1514" t="s">
        <v>11847</v>
      </c>
      <c r="M903" s="1515" t="s">
        <v>11846</v>
      </c>
      <c r="N903" s="1514" t="s">
        <v>11845</v>
      </c>
      <c r="O903" s="1513" t="s">
        <v>11850</v>
      </c>
      <c r="P903" s="1517" t="s">
        <v>11867</v>
      </c>
      <c r="Q903" s="1515" t="s">
        <v>11848</v>
      </c>
      <c r="R903" s="1515" t="s">
        <v>11849</v>
      </c>
      <c r="S903" s="1518"/>
      <c r="T903" s="1519"/>
      <c r="U903" s="1504"/>
      <c r="V903" s="1520"/>
      <c r="W903" s="1519"/>
      <c r="X903" s="1504"/>
      <c r="Y903" s="1520"/>
      <c r="Z903" s="1519"/>
      <c r="AA903" s="1504"/>
      <c r="AB903" s="1520"/>
      <c r="AC903" s="1519"/>
      <c r="AD903" s="1504"/>
      <c r="AE903" s="1520"/>
      <c r="AF903" s="1519"/>
      <c r="AG903" s="1504"/>
      <c r="AH903" s="1520"/>
      <c r="AI903" s="1503">
        <v>13106</v>
      </c>
      <c r="AJ903" s="1504">
        <v>0</v>
      </c>
      <c r="AK903" s="3919">
        <v>0</v>
      </c>
      <c r="AL903" s="1505">
        <f t="shared" ref="AL903:AL908" si="276">AI903-AJ903-AK903</f>
        <v>13106</v>
      </c>
      <c r="AM903" s="1508" t="s">
        <v>2977</v>
      </c>
      <c r="AN903" s="3401">
        <v>45266</v>
      </c>
      <c r="AO903" s="3402" t="s">
        <v>11932</v>
      </c>
      <c r="AP903" s="2905" t="s">
        <v>11479</v>
      </c>
      <c r="AQ903" s="2906">
        <v>1.1576249999999999</v>
      </c>
      <c r="AR903" s="1506"/>
      <c r="AS903" s="1507"/>
      <c r="AT903" s="1507"/>
      <c r="AU903" s="1507"/>
      <c r="AV903" s="1507"/>
      <c r="AW903" s="3247">
        <f>ROUND(AL903*AQ903/G903,0)</f>
        <v>13106</v>
      </c>
      <c r="AX903" s="3146"/>
      <c r="BB903" s="267"/>
      <c r="BC903" s="4117">
        <f t="shared" si="266"/>
        <v>0</v>
      </c>
      <c r="BD903" s="4117">
        <f t="shared" si="267"/>
        <v>0</v>
      </c>
      <c r="BE903" s="6155"/>
      <c r="BF903" s="6154"/>
    </row>
    <row r="904" spans="1:58" ht="89.25">
      <c r="A904" s="5981" t="s">
        <v>11006</v>
      </c>
      <c r="B904" s="1538" t="s">
        <v>11936</v>
      </c>
      <c r="C904" s="1509">
        <v>0</v>
      </c>
      <c r="D904" s="1510">
        <v>44483</v>
      </c>
      <c r="E904" s="4344" t="s">
        <v>9156</v>
      </c>
      <c r="F904" s="2497" t="s">
        <v>9005</v>
      </c>
      <c r="G904" s="5387">
        <v>1.0956269999999999</v>
      </c>
      <c r="H904" s="1513" t="s">
        <v>11017</v>
      </c>
      <c r="I904" s="1514" t="s">
        <v>9190</v>
      </c>
      <c r="J904" s="4345" t="s">
        <v>4306</v>
      </c>
      <c r="K904" s="1516">
        <v>45943</v>
      </c>
      <c r="L904" s="1514" t="s">
        <v>8424</v>
      </c>
      <c r="M904" s="1515" t="s">
        <v>8425</v>
      </c>
      <c r="N904" s="1514" t="s">
        <v>9331</v>
      </c>
      <c r="O904" s="1513" t="s">
        <v>9332</v>
      </c>
      <c r="P904" s="1517"/>
      <c r="Q904" s="6094" t="s">
        <v>9333</v>
      </c>
      <c r="R904" s="1515" t="s">
        <v>3576</v>
      </c>
      <c r="S904" s="1518"/>
      <c r="T904" s="1519"/>
      <c r="U904" s="1504"/>
      <c r="V904" s="1520"/>
      <c r="W904" s="1519"/>
      <c r="X904" s="1504"/>
      <c r="Y904" s="1520"/>
      <c r="Z904" s="1519"/>
      <c r="AA904" s="1504"/>
      <c r="AB904" s="1520"/>
      <c r="AC904" s="1519"/>
      <c r="AD904" s="1504"/>
      <c r="AE904" s="1520"/>
      <c r="AF904" s="1519"/>
      <c r="AG904" s="1504"/>
      <c r="AH904" s="1520"/>
      <c r="AI904" s="1503">
        <v>5567</v>
      </c>
      <c r="AJ904" s="1504">
        <v>0</v>
      </c>
      <c r="AK904" s="3919">
        <v>0</v>
      </c>
      <c r="AL904" s="1505">
        <f t="shared" si="276"/>
        <v>5567</v>
      </c>
      <c r="AM904" s="1508" t="s">
        <v>1061</v>
      </c>
      <c r="AN904" s="3401">
        <v>45266</v>
      </c>
      <c r="AO904" s="3402" t="s">
        <v>11933</v>
      </c>
      <c r="AP904" s="2905" t="s">
        <v>11479</v>
      </c>
      <c r="AQ904" s="2906">
        <v>1.1576249999999999</v>
      </c>
      <c r="AR904" s="1506"/>
      <c r="AS904" s="1507"/>
      <c r="AT904" s="1507"/>
      <c r="AU904" s="1507"/>
      <c r="AV904" s="1507"/>
      <c r="AW904" s="3247">
        <f>ROUND(AL904*AQ904/G904,0)</f>
        <v>5882</v>
      </c>
      <c r="AX904" s="3146"/>
      <c r="BA904" s="267"/>
      <c r="BB904" s="267"/>
      <c r="BC904" s="4117">
        <f t="shared" si="266"/>
        <v>0</v>
      </c>
      <c r="BD904" s="4117">
        <f t="shared" si="267"/>
        <v>0</v>
      </c>
      <c r="BE904" s="6155"/>
      <c r="BF904" s="6154"/>
    </row>
    <row r="905" spans="1:58" ht="107.25" customHeight="1">
      <c r="A905" s="5981" t="s">
        <v>11004</v>
      </c>
      <c r="B905" s="1538" t="s">
        <v>11938</v>
      </c>
      <c r="C905" s="1509">
        <v>0</v>
      </c>
      <c r="D905" s="1510" t="s">
        <v>11027</v>
      </c>
      <c r="E905" s="3053" t="s">
        <v>6386</v>
      </c>
      <c r="F905" s="1511" t="s">
        <v>11026</v>
      </c>
      <c r="G905" s="2805">
        <v>1.0795220000000001</v>
      </c>
      <c r="H905" s="1513" t="s">
        <v>11078</v>
      </c>
      <c r="I905" s="1514" t="s">
        <v>1433</v>
      </c>
      <c r="J905" s="1515" t="s">
        <v>1434</v>
      </c>
      <c r="K905" s="1516">
        <v>45559</v>
      </c>
      <c r="L905" s="1514" t="s">
        <v>5907</v>
      </c>
      <c r="M905" s="1515" t="s">
        <v>5165</v>
      </c>
      <c r="N905" s="1514" t="s">
        <v>5908</v>
      </c>
      <c r="O905" s="1513" t="s">
        <v>5909</v>
      </c>
      <c r="P905" s="1517" t="s">
        <v>10670</v>
      </c>
      <c r="Q905" s="1515" t="s">
        <v>9685</v>
      </c>
      <c r="R905" s="1515" t="s">
        <v>5876</v>
      </c>
      <c r="S905" s="1518"/>
      <c r="T905" s="1519">
        <v>7378</v>
      </c>
      <c r="U905" s="1504">
        <v>0</v>
      </c>
      <c r="V905" s="1520">
        <f>T905-U905</f>
        <v>7378</v>
      </c>
      <c r="W905" s="1519">
        <v>9222</v>
      </c>
      <c r="X905" s="1504">
        <v>0</v>
      </c>
      <c r="Y905" s="1520">
        <f>W905-X905</f>
        <v>9222</v>
      </c>
      <c r="Z905" s="1519">
        <v>0</v>
      </c>
      <c r="AA905" s="1504">
        <v>0</v>
      </c>
      <c r="AB905" s="1520">
        <f>Z905-AA905</f>
        <v>0</v>
      </c>
      <c r="AC905" s="1519"/>
      <c r="AD905" s="1504"/>
      <c r="AE905" s="1520"/>
      <c r="AF905" s="1519"/>
      <c r="AG905" s="1504"/>
      <c r="AH905" s="1520"/>
      <c r="AI905" s="1503">
        <v>17448</v>
      </c>
      <c r="AJ905" s="1504">
        <f>U905+X905+AA905+AD905+AG905</f>
        <v>0</v>
      </c>
      <c r="AK905" s="3919">
        <v>0</v>
      </c>
      <c r="AL905" s="1505">
        <f t="shared" si="276"/>
        <v>17448</v>
      </c>
      <c r="AM905" s="1508" t="s">
        <v>11937</v>
      </c>
      <c r="AN905" s="3401">
        <v>45271</v>
      </c>
      <c r="AO905" s="3402" t="s">
        <v>11939</v>
      </c>
      <c r="AP905" s="3251" t="s">
        <v>7957</v>
      </c>
      <c r="AQ905" s="3248">
        <v>1.0795220000000001</v>
      </c>
      <c r="AR905" s="1506">
        <v>0</v>
      </c>
      <c r="AS905" s="1507">
        <v>0</v>
      </c>
      <c r="AT905" s="1507">
        <v>0</v>
      </c>
      <c r="AU905" s="1507">
        <v>0</v>
      </c>
      <c r="AV905" s="1507">
        <v>0</v>
      </c>
      <c r="AW905" s="3247">
        <f>ROUND(AL905*AQ905/G905,0)-4362</f>
        <v>13086</v>
      </c>
      <c r="AX905" s="3146"/>
      <c r="BA905" s="267"/>
      <c r="BB905" s="267"/>
      <c r="BC905" s="4117">
        <f t="shared" si="266"/>
        <v>0</v>
      </c>
      <c r="BD905" s="4117">
        <f t="shared" si="267"/>
        <v>0</v>
      </c>
      <c r="BE905" s="6155"/>
      <c r="BF905" s="6154"/>
    </row>
    <row r="906" spans="1:58" ht="102.75" thickBot="1">
      <c r="A906" s="6349" t="s">
        <v>11036</v>
      </c>
      <c r="B906" s="5573" t="s">
        <v>9716</v>
      </c>
      <c r="C906" s="6350">
        <v>1</v>
      </c>
      <c r="D906" s="6351" t="s">
        <v>4992</v>
      </c>
      <c r="E906" s="6351" t="s">
        <v>6385</v>
      </c>
      <c r="F906" s="6352" t="s">
        <v>5915</v>
      </c>
      <c r="G906" s="6353">
        <v>1.0119899999999999</v>
      </c>
      <c r="H906" s="6354" t="s">
        <v>4904</v>
      </c>
      <c r="I906" s="5580" t="s">
        <v>1433</v>
      </c>
      <c r="J906" s="6355" t="s">
        <v>1434</v>
      </c>
      <c r="K906" s="6356" t="s">
        <v>4905</v>
      </c>
      <c r="L906" s="5580" t="s">
        <v>1192</v>
      </c>
      <c r="M906" s="6355" t="s">
        <v>1853</v>
      </c>
      <c r="N906" s="5580" t="s">
        <v>4906</v>
      </c>
      <c r="O906" s="6354" t="s">
        <v>5428</v>
      </c>
      <c r="P906" s="5737" t="s">
        <v>4990</v>
      </c>
      <c r="Q906" s="6355" t="s">
        <v>4907</v>
      </c>
      <c r="R906" s="6355" t="s">
        <v>7871</v>
      </c>
      <c r="S906" s="6357"/>
      <c r="T906" s="5585">
        <v>22844</v>
      </c>
      <c r="U906" s="6358">
        <v>0</v>
      </c>
      <c r="V906" s="6359">
        <f>T906-U906</f>
        <v>22844</v>
      </c>
      <c r="W906" s="5585">
        <v>23121</v>
      </c>
      <c r="X906" s="6358">
        <v>0</v>
      </c>
      <c r="Y906" s="6359">
        <f>W906-X906</f>
        <v>23121</v>
      </c>
      <c r="Z906" s="5585">
        <v>45425</v>
      </c>
      <c r="AA906" s="6358">
        <v>0</v>
      </c>
      <c r="AB906" s="6359">
        <f>Z906-AA906</f>
        <v>45425</v>
      </c>
      <c r="AC906" s="5585"/>
      <c r="AD906" s="6358"/>
      <c r="AE906" s="6359"/>
      <c r="AF906" s="5585"/>
      <c r="AG906" s="6358"/>
      <c r="AH906" s="6359"/>
      <c r="AI906" s="5588">
        <f>T906+W906+Z906+AC906+AF906</f>
        <v>91390</v>
      </c>
      <c r="AJ906" s="6358">
        <f>U906+X906+AA906+AD906+AG906</f>
        <v>0</v>
      </c>
      <c r="AK906" s="6360">
        <v>0</v>
      </c>
      <c r="AL906" s="6361">
        <f t="shared" si="276"/>
        <v>91390</v>
      </c>
      <c r="AM906" s="5743" t="s">
        <v>1061</v>
      </c>
      <c r="AN906" s="6362">
        <v>45279</v>
      </c>
      <c r="AO906" s="6350" t="s">
        <v>12003</v>
      </c>
      <c r="AP906" s="6363" t="s">
        <v>11479</v>
      </c>
      <c r="AQ906" s="6364">
        <v>1.1576249999999999</v>
      </c>
      <c r="AR906" s="5596">
        <v>0</v>
      </c>
      <c r="AS906" s="6365">
        <v>0</v>
      </c>
      <c r="AT906" s="6365">
        <v>0</v>
      </c>
      <c r="AU906" s="6365">
        <v>0</v>
      </c>
      <c r="AV906" s="6365">
        <v>0</v>
      </c>
      <c r="AW906" s="6366">
        <f t="shared" ref="AW906:AW912" si="277">ROUND(AL906*AQ906/G906,0)</f>
        <v>104542</v>
      </c>
      <c r="AX906" s="5599"/>
      <c r="AY906" s="4029" t="s">
        <v>11904</v>
      </c>
      <c r="AZ906" s="3888">
        <f>SUM(AW901:AW906)</f>
        <v>161945</v>
      </c>
      <c r="BA906" s="2119">
        <f>AZ906</f>
        <v>161945</v>
      </c>
      <c r="BB906" s="267"/>
      <c r="BC906" s="4117">
        <f t="shared" si="266"/>
        <v>0</v>
      </c>
      <c r="BD906" s="4117">
        <f t="shared" si="267"/>
        <v>0</v>
      </c>
      <c r="BE906" s="6155"/>
      <c r="BF906" s="6154"/>
    </row>
    <row r="907" spans="1:58" ht="89.25">
      <c r="A907" s="2418" t="s">
        <v>10984</v>
      </c>
      <c r="B907" s="338" t="s">
        <v>11359</v>
      </c>
      <c r="C907" s="321">
        <v>0</v>
      </c>
      <c r="D907" s="323">
        <v>45279</v>
      </c>
      <c r="E907" s="3058" t="s">
        <v>10324</v>
      </c>
      <c r="F907" s="830" t="s">
        <v>11480</v>
      </c>
      <c r="G907" s="5356">
        <v>1.1576249999999999</v>
      </c>
      <c r="H907" s="332" t="s">
        <v>12014</v>
      </c>
      <c r="I907" s="339" t="s">
        <v>12007</v>
      </c>
      <c r="J907" s="2399" t="s">
        <v>4306</v>
      </c>
      <c r="K907" s="340">
        <v>45997</v>
      </c>
      <c r="L907" s="339" t="s">
        <v>12008</v>
      </c>
      <c r="M907" s="322" t="s">
        <v>9341</v>
      </c>
      <c r="N907" s="339" t="s">
        <v>12010</v>
      </c>
      <c r="O907" s="332" t="s">
        <v>12012</v>
      </c>
      <c r="P907" s="345"/>
      <c r="Q907" s="6094" t="s">
        <v>9071</v>
      </c>
      <c r="R907" s="322" t="s">
        <v>536</v>
      </c>
      <c r="S907" s="346"/>
      <c r="T907" s="347"/>
      <c r="U907" s="326"/>
      <c r="V907" s="348"/>
      <c r="W907" s="347"/>
      <c r="X907" s="326"/>
      <c r="Y907" s="348"/>
      <c r="Z907" s="347"/>
      <c r="AA907" s="326"/>
      <c r="AB907" s="348"/>
      <c r="AC907" s="820"/>
      <c r="AD907" s="821"/>
      <c r="AE907" s="822"/>
      <c r="AF907" s="820"/>
      <c r="AG907" s="821"/>
      <c r="AH907" s="822"/>
      <c r="AI907" s="482">
        <v>5881</v>
      </c>
      <c r="AJ907" s="326">
        <v>0</v>
      </c>
      <c r="AK907" s="3917">
        <v>0</v>
      </c>
      <c r="AL907" s="349">
        <f t="shared" si="276"/>
        <v>5881</v>
      </c>
      <c r="AM907" s="2002" t="s">
        <v>1061</v>
      </c>
      <c r="AN907" s="3357">
        <v>45296</v>
      </c>
      <c r="AO907" s="695" t="s">
        <v>12021</v>
      </c>
      <c r="AP907" s="3362" t="s">
        <v>11479</v>
      </c>
      <c r="AQ907" s="3555">
        <v>1.1576249999999999</v>
      </c>
      <c r="AR907" s="333"/>
      <c r="AS907" s="330"/>
      <c r="AT907" s="330"/>
      <c r="AU907" s="849"/>
      <c r="AV907" s="849"/>
      <c r="AW907" s="3156">
        <f t="shared" si="277"/>
        <v>5881</v>
      </c>
      <c r="AX907" s="3140"/>
      <c r="BA907" s="267"/>
      <c r="BB907" s="267"/>
      <c r="BC907" s="4117">
        <f t="shared" si="266"/>
        <v>0</v>
      </c>
      <c r="BD907" s="4117">
        <f t="shared" si="267"/>
        <v>0</v>
      </c>
      <c r="BE907" s="6155"/>
      <c r="BF907" s="6154"/>
    </row>
    <row r="908" spans="1:58" ht="76.5">
      <c r="A908" s="2418" t="s">
        <v>10984</v>
      </c>
      <c r="B908" s="338" t="s">
        <v>11353</v>
      </c>
      <c r="C908" s="321">
        <v>0</v>
      </c>
      <c r="D908" s="323">
        <v>45259</v>
      </c>
      <c r="E908" s="3058" t="s">
        <v>10324</v>
      </c>
      <c r="F908" s="830" t="s">
        <v>11480</v>
      </c>
      <c r="G908" s="5356">
        <v>1.1576249999999999</v>
      </c>
      <c r="H908" s="332" t="s">
        <v>11897</v>
      </c>
      <c r="I908" s="339" t="s">
        <v>1433</v>
      </c>
      <c r="J908" s="322" t="s">
        <v>1434</v>
      </c>
      <c r="K908" s="340" t="s">
        <v>11396</v>
      </c>
      <c r="L908" s="339" t="s">
        <v>11898</v>
      </c>
      <c r="M908" s="322" t="s">
        <v>1957</v>
      </c>
      <c r="N908" s="339" t="s">
        <v>11899</v>
      </c>
      <c r="O908" s="332" t="s">
        <v>11900</v>
      </c>
      <c r="P908" s="345"/>
      <c r="Q908" s="322" t="s">
        <v>11901</v>
      </c>
      <c r="R908" s="322" t="s">
        <v>11902</v>
      </c>
      <c r="S908" s="346"/>
      <c r="T908" s="347"/>
      <c r="U908" s="326"/>
      <c r="V908" s="348"/>
      <c r="W908" s="347"/>
      <c r="X908" s="326"/>
      <c r="Y908" s="348"/>
      <c r="Z908" s="347"/>
      <c r="AA908" s="326"/>
      <c r="AB908" s="348"/>
      <c r="AC908" s="820"/>
      <c r="AD908" s="821"/>
      <c r="AE908" s="822"/>
      <c r="AF908" s="820"/>
      <c r="AG908" s="821"/>
      <c r="AH908" s="822"/>
      <c r="AI908" s="482">
        <v>5557</v>
      </c>
      <c r="AJ908" s="326">
        <v>0</v>
      </c>
      <c r="AK908" s="3917">
        <v>0</v>
      </c>
      <c r="AL908" s="349">
        <f t="shared" si="276"/>
        <v>5557</v>
      </c>
      <c r="AM908" s="2002" t="s">
        <v>1061</v>
      </c>
      <c r="AN908" s="3357">
        <v>45296</v>
      </c>
      <c r="AO908" s="695" t="s">
        <v>12022</v>
      </c>
      <c r="AP908" s="3362" t="s">
        <v>11479</v>
      </c>
      <c r="AQ908" s="3555">
        <v>1.1576249999999999</v>
      </c>
      <c r="AR908" s="333"/>
      <c r="AS908" s="330"/>
      <c r="AT908" s="330"/>
      <c r="AU908" s="849"/>
      <c r="AV908" s="849"/>
      <c r="AW908" s="3156">
        <f t="shared" si="277"/>
        <v>5557</v>
      </c>
      <c r="AX908" s="3140"/>
      <c r="BA908" s="267"/>
      <c r="BB908" s="267"/>
      <c r="BC908" s="4117">
        <f t="shared" si="266"/>
        <v>0</v>
      </c>
      <c r="BD908" s="4117">
        <f t="shared" si="267"/>
        <v>0</v>
      </c>
      <c r="BE908" s="6155"/>
      <c r="BF908" s="6154"/>
    </row>
    <row r="909" spans="1:58" ht="89.25">
      <c r="A909" s="2418" t="s">
        <v>10984</v>
      </c>
      <c r="B909" s="338" t="s">
        <v>12023</v>
      </c>
      <c r="C909" s="321">
        <v>0</v>
      </c>
      <c r="D909" s="323">
        <v>45098</v>
      </c>
      <c r="E909" s="3058" t="s">
        <v>10324</v>
      </c>
      <c r="F909" s="830" t="s">
        <v>10101</v>
      </c>
      <c r="G909" s="5356">
        <v>1.1100000000000001</v>
      </c>
      <c r="H909" s="332" t="s">
        <v>11447</v>
      </c>
      <c r="I909" s="339" t="s">
        <v>11448</v>
      </c>
      <c r="J909" s="2399" t="s">
        <v>4306</v>
      </c>
      <c r="K909" s="340">
        <v>45829</v>
      </c>
      <c r="L909" s="339" t="s">
        <v>11449</v>
      </c>
      <c r="M909" s="322" t="s">
        <v>11450</v>
      </c>
      <c r="N909" s="339" t="s">
        <v>11451</v>
      </c>
      <c r="O909" s="332" t="s">
        <v>11452</v>
      </c>
      <c r="P909" s="345"/>
      <c r="Q909" s="6094" t="s">
        <v>9071</v>
      </c>
      <c r="R909" s="322" t="s">
        <v>536</v>
      </c>
      <c r="S909" s="346"/>
      <c r="T909" s="347"/>
      <c r="U909" s="326"/>
      <c r="V909" s="348"/>
      <c r="W909" s="347"/>
      <c r="X909" s="326"/>
      <c r="Y909" s="348"/>
      <c r="Z909" s="347"/>
      <c r="AA909" s="326"/>
      <c r="AB909" s="348"/>
      <c r="AC909" s="347"/>
      <c r="AD909" s="326"/>
      <c r="AE909" s="348"/>
      <c r="AF909" s="347"/>
      <c r="AG909" s="326"/>
      <c r="AH909" s="348"/>
      <c r="AI909" s="482">
        <v>6619</v>
      </c>
      <c r="AJ909" s="326">
        <v>0</v>
      </c>
      <c r="AK909" s="3917">
        <v>0</v>
      </c>
      <c r="AL909" s="349">
        <f>AI909-AJ909-AK909</f>
        <v>6619</v>
      </c>
      <c r="AM909" s="2002" t="s">
        <v>1061</v>
      </c>
      <c r="AN909" s="3357">
        <v>45299</v>
      </c>
      <c r="AO909" s="695" t="s">
        <v>12029</v>
      </c>
      <c r="AP909" s="3362" t="s">
        <v>11479</v>
      </c>
      <c r="AQ909" s="3555">
        <v>1.1576249999999999</v>
      </c>
      <c r="AR909" s="333"/>
      <c r="AS909" s="330"/>
      <c r="AT909" s="330"/>
      <c r="AU909" s="330"/>
      <c r="AV909" s="330"/>
      <c r="AW909" s="3156">
        <f t="shared" si="277"/>
        <v>6903</v>
      </c>
      <c r="AX909" s="3140"/>
      <c r="BA909" s="267"/>
      <c r="BB909" s="267"/>
      <c r="BC909" s="4117">
        <f t="shared" si="266"/>
        <v>0</v>
      </c>
      <c r="BD909" s="4117">
        <f t="shared" si="267"/>
        <v>0</v>
      </c>
      <c r="BE909" s="6155"/>
      <c r="BF909" s="6154"/>
    </row>
    <row r="910" spans="1:58" ht="89.25">
      <c r="A910" s="2418" t="s">
        <v>10984</v>
      </c>
      <c r="B910" s="338" t="s">
        <v>11361</v>
      </c>
      <c r="C910" s="321">
        <v>0</v>
      </c>
      <c r="D910" s="323">
        <v>45300</v>
      </c>
      <c r="E910" s="3058" t="s">
        <v>10324</v>
      </c>
      <c r="F910" s="830" t="s">
        <v>11480</v>
      </c>
      <c r="G910" s="5356">
        <v>1.1576249999999999</v>
      </c>
      <c r="H910" s="332" t="s">
        <v>12024</v>
      </c>
      <c r="I910" s="339" t="s">
        <v>12025</v>
      </c>
      <c r="J910" s="2399" t="s">
        <v>4306</v>
      </c>
      <c r="K910" s="340">
        <v>45851</v>
      </c>
      <c r="L910" s="339" t="s">
        <v>12026</v>
      </c>
      <c r="M910" s="322" t="s">
        <v>12027</v>
      </c>
      <c r="N910" s="339" t="s">
        <v>12028</v>
      </c>
      <c r="O910" s="322" t="s">
        <v>12027</v>
      </c>
      <c r="P910" s="345"/>
      <c r="Q910" s="6094" t="s">
        <v>9071</v>
      </c>
      <c r="R910" s="322" t="s">
        <v>536</v>
      </c>
      <c r="S910" s="346"/>
      <c r="T910" s="347"/>
      <c r="U910" s="326"/>
      <c r="V910" s="348"/>
      <c r="W910" s="347"/>
      <c r="X910" s="326"/>
      <c r="Y910" s="348"/>
      <c r="Z910" s="347"/>
      <c r="AA910" s="326"/>
      <c r="AB910" s="348"/>
      <c r="AC910" s="820"/>
      <c r="AD910" s="821"/>
      <c r="AE910" s="822"/>
      <c r="AF910" s="820"/>
      <c r="AG910" s="821"/>
      <c r="AH910" s="822"/>
      <c r="AI910" s="482">
        <v>8551</v>
      </c>
      <c r="AJ910" s="326">
        <v>0</v>
      </c>
      <c r="AK910" s="3917">
        <v>0</v>
      </c>
      <c r="AL910" s="349">
        <v>5881</v>
      </c>
      <c r="AM910" s="2002" t="s">
        <v>1061</v>
      </c>
      <c r="AN910" s="3357">
        <v>45301</v>
      </c>
      <c r="AO910" s="695" t="s">
        <v>12030</v>
      </c>
      <c r="AP910" s="3362" t="s">
        <v>11479</v>
      </c>
      <c r="AQ910" s="3555">
        <v>1.1576249999999999</v>
      </c>
      <c r="AR910" s="333"/>
      <c r="AS910" s="330"/>
      <c r="AT910" s="330"/>
      <c r="AU910" s="849"/>
      <c r="AV910" s="849"/>
      <c r="AW910" s="3156">
        <f t="shared" si="277"/>
        <v>5881</v>
      </c>
      <c r="AX910" s="3140"/>
      <c r="BA910" s="267"/>
      <c r="BB910" s="267"/>
      <c r="BC910" s="4117">
        <f t="shared" si="266"/>
        <v>0</v>
      </c>
      <c r="BD910" s="4117">
        <f t="shared" si="267"/>
        <v>0</v>
      </c>
      <c r="BE910" s="6155"/>
      <c r="BF910" s="6154"/>
    </row>
    <row r="911" spans="1:58" ht="76.5">
      <c r="A911" s="2418" t="s">
        <v>10984</v>
      </c>
      <c r="B911" s="338" t="s">
        <v>12036</v>
      </c>
      <c r="C911" s="321">
        <v>0</v>
      </c>
      <c r="D911" s="323">
        <v>43900</v>
      </c>
      <c r="E911" s="3058" t="s">
        <v>7151</v>
      </c>
      <c r="F911" s="324" t="s">
        <v>6893</v>
      </c>
      <c r="G911" s="2621">
        <v>1.047839</v>
      </c>
      <c r="H911" s="332" t="s">
        <v>8441</v>
      </c>
      <c r="I911" s="339" t="s">
        <v>1433</v>
      </c>
      <c r="J911" s="322" t="s">
        <v>1434</v>
      </c>
      <c r="K911" s="340">
        <v>45361</v>
      </c>
      <c r="L911" s="339" t="s">
        <v>7708</v>
      </c>
      <c r="M911" s="322" t="s">
        <v>5862</v>
      </c>
      <c r="N911" s="339" t="s">
        <v>7709</v>
      </c>
      <c r="O911" s="332" t="s">
        <v>7710</v>
      </c>
      <c r="P911" s="345"/>
      <c r="Q911" s="322" t="s">
        <v>7714</v>
      </c>
      <c r="R911" s="322" t="s">
        <v>836</v>
      </c>
      <c r="S911" s="346"/>
      <c r="T911" s="347"/>
      <c r="U911" s="326"/>
      <c r="V911" s="348"/>
      <c r="W911" s="347"/>
      <c r="X911" s="326"/>
      <c r="Y911" s="348"/>
      <c r="Z911" s="347"/>
      <c r="AA911" s="326"/>
      <c r="AB911" s="348"/>
      <c r="AC911" s="347"/>
      <c r="AD911" s="326"/>
      <c r="AE911" s="348"/>
      <c r="AF911" s="347"/>
      <c r="AG911" s="326"/>
      <c r="AH911" s="348"/>
      <c r="AI911" s="482">
        <v>17603</v>
      </c>
      <c r="AJ911" s="326">
        <v>0</v>
      </c>
      <c r="AK911" s="3917">
        <v>0</v>
      </c>
      <c r="AL911" s="349">
        <f t="shared" ref="AL911:AL916" si="278">AI911-AJ911-AK911</f>
        <v>17603</v>
      </c>
      <c r="AM911" s="2002" t="s">
        <v>1061</v>
      </c>
      <c r="AN911" s="3357">
        <v>45307</v>
      </c>
      <c r="AO911" s="695" t="s">
        <v>12047</v>
      </c>
      <c r="AP911" s="3362" t="s">
        <v>11479</v>
      </c>
      <c r="AQ911" s="3555">
        <v>1.1576249999999999</v>
      </c>
      <c r="AR911" s="333"/>
      <c r="AS911" s="330"/>
      <c r="AT911" s="330"/>
      <c r="AU911" s="330"/>
      <c r="AV911" s="330"/>
      <c r="AW911" s="3156">
        <f t="shared" si="277"/>
        <v>19447</v>
      </c>
      <c r="AX911" s="3140"/>
      <c r="BA911" s="267"/>
      <c r="BB911" s="267"/>
      <c r="BC911" s="4117">
        <f t="shared" si="266"/>
        <v>0</v>
      </c>
      <c r="BD911" s="4117">
        <f t="shared" si="267"/>
        <v>0</v>
      </c>
      <c r="BE911" s="6155"/>
      <c r="BF911" s="6154"/>
    </row>
    <row r="912" spans="1:58" ht="89.25">
      <c r="A912" s="2418" t="s">
        <v>10984</v>
      </c>
      <c r="B912" s="338" t="s">
        <v>12037</v>
      </c>
      <c r="C912" s="321">
        <v>0</v>
      </c>
      <c r="D912" s="323">
        <v>45175</v>
      </c>
      <c r="E912" s="3058" t="s">
        <v>10324</v>
      </c>
      <c r="F912" s="830" t="s">
        <v>11480</v>
      </c>
      <c r="G912" s="5356">
        <v>1.1576249999999999</v>
      </c>
      <c r="H912" s="332" t="s">
        <v>11690</v>
      </c>
      <c r="I912" s="339" t="s">
        <v>11691</v>
      </c>
      <c r="J912" s="2399" t="s">
        <v>4306</v>
      </c>
      <c r="K912" s="340">
        <v>45898</v>
      </c>
      <c r="L912" s="339" t="s">
        <v>11692</v>
      </c>
      <c r="M912" s="322" t="s">
        <v>11693</v>
      </c>
      <c r="N912" s="339" t="s">
        <v>11695</v>
      </c>
      <c r="O912" s="332" t="s">
        <v>11694</v>
      </c>
      <c r="P912" s="345"/>
      <c r="Q912" s="322" t="s">
        <v>11696</v>
      </c>
      <c r="R912" s="322" t="s">
        <v>536</v>
      </c>
      <c r="S912" s="346"/>
      <c r="T912" s="347"/>
      <c r="U912" s="326"/>
      <c r="V912" s="348"/>
      <c r="W912" s="347"/>
      <c r="X912" s="326"/>
      <c r="Y912" s="348"/>
      <c r="Z912" s="347"/>
      <c r="AA912" s="326"/>
      <c r="AB912" s="348"/>
      <c r="AC912" s="347"/>
      <c r="AD912" s="326"/>
      <c r="AE912" s="348"/>
      <c r="AF912" s="347"/>
      <c r="AG912" s="326"/>
      <c r="AH912" s="348"/>
      <c r="AI912" s="482">
        <v>18379</v>
      </c>
      <c r="AJ912" s="326">
        <v>0</v>
      </c>
      <c r="AK912" s="3917">
        <v>0</v>
      </c>
      <c r="AL912" s="349">
        <f t="shared" si="278"/>
        <v>18379</v>
      </c>
      <c r="AM912" s="2002" t="s">
        <v>1061</v>
      </c>
      <c r="AN912" s="3357">
        <v>45307</v>
      </c>
      <c r="AO912" s="695" t="s">
        <v>12048</v>
      </c>
      <c r="AP912" s="3362" t="s">
        <v>11479</v>
      </c>
      <c r="AQ912" s="3555">
        <v>1.1576249999999999</v>
      </c>
      <c r="AR912" s="333"/>
      <c r="AS912" s="330"/>
      <c r="AT912" s="330"/>
      <c r="AU912" s="330"/>
      <c r="AV912" s="330"/>
      <c r="AW912" s="3156">
        <f t="shared" si="277"/>
        <v>18379</v>
      </c>
      <c r="AX912" s="3140"/>
      <c r="BB912" s="267"/>
      <c r="BC912" s="4117">
        <f t="shared" si="266"/>
        <v>0</v>
      </c>
      <c r="BD912" s="4117">
        <f t="shared" si="267"/>
        <v>0</v>
      </c>
      <c r="BE912" s="6155"/>
      <c r="BF912" s="6154"/>
    </row>
    <row r="913" spans="1:58" ht="102.75" thickBot="1">
      <c r="A913" s="6367" t="s">
        <v>11030</v>
      </c>
      <c r="B913" s="5600" t="s">
        <v>12073</v>
      </c>
      <c r="C913" s="6368">
        <v>0</v>
      </c>
      <c r="D913" s="6369">
        <v>44883</v>
      </c>
      <c r="E913" s="6370" t="s">
        <v>10324</v>
      </c>
      <c r="F913" s="3793" t="s">
        <v>10101</v>
      </c>
      <c r="G913" s="5368">
        <v>1.1100000000000001</v>
      </c>
      <c r="H913" s="6371" t="s">
        <v>11096</v>
      </c>
      <c r="I913" s="5605" t="s">
        <v>1433</v>
      </c>
      <c r="J913" s="6372" t="s">
        <v>1434</v>
      </c>
      <c r="K913" s="6373">
        <v>47073</v>
      </c>
      <c r="L913" s="5605" t="s">
        <v>8424</v>
      </c>
      <c r="M913" s="6372" t="s">
        <v>8425</v>
      </c>
      <c r="N913" s="5605" t="s">
        <v>10592</v>
      </c>
      <c r="O913" s="6371" t="s">
        <v>10593</v>
      </c>
      <c r="P913" s="5608"/>
      <c r="Q913" s="6374" t="s">
        <v>9071</v>
      </c>
      <c r="R913" s="6372" t="s">
        <v>536</v>
      </c>
      <c r="S913" s="6375"/>
      <c r="T913" s="5610"/>
      <c r="U913" s="6376"/>
      <c r="V913" s="6377"/>
      <c r="W913" s="5610"/>
      <c r="X913" s="6376"/>
      <c r="Y913" s="6377"/>
      <c r="Z913" s="5610"/>
      <c r="AA913" s="6376"/>
      <c r="AB913" s="6377"/>
      <c r="AC913" s="5610"/>
      <c r="AD913" s="6376"/>
      <c r="AE913" s="6377"/>
      <c r="AF913" s="5610"/>
      <c r="AG913" s="6376"/>
      <c r="AH913" s="6377"/>
      <c r="AI913" s="5613">
        <v>5639</v>
      </c>
      <c r="AJ913" s="6376">
        <v>0</v>
      </c>
      <c r="AK913" s="6378">
        <v>0</v>
      </c>
      <c r="AL913" s="6379">
        <f t="shared" si="278"/>
        <v>5639</v>
      </c>
      <c r="AM913" s="5616" t="s">
        <v>1061</v>
      </c>
      <c r="AN913" s="6380">
        <v>45322</v>
      </c>
      <c r="AO913" s="6381" t="s">
        <v>12074</v>
      </c>
      <c r="AP913" s="3387" t="s">
        <v>11479</v>
      </c>
      <c r="AQ913" s="4753">
        <v>1.1576249999999999</v>
      </c>
      <c r="AR913" s="5619"/>
      <c r="AS913" s="6382"/>
      <c r="AT913" s="6382"/>
      <c r="AU913" s="6382"/>
      <c r="AV913" s="6382"/>
      <c r="AW913" s="6383">
        <f t="shared" ref="AW913:AW918" si="279">ROUND(AL913*AQ913/G913,0)</f>
        <v>5881</v>
      </c>
      <c r="AX913" s="5623"/>
      <c r="AY913" s="4031" t="s">
        <v>12020</v>
      </c>
      <c r="AZ913" s="3857">
        <f>SUM(AW907:AW913)</f>
        <v>67929</v>
      </c>
      <c r="BA913" s="1663">
        <f>AZ913</f>
        <v>67929</v>
      </c>
      <c r="BB913" s="267"/>
      <c r="BC913" s="4117">
        <f t="shared" si="266"/>
        <v>0</v>
      </c>
      <c r="BD913" s="4117">
        <f t="shared" si="267"/>
        <v>0</v>
      </c>
      <c r="BE913" s="6155"/>
      <c r="BF913" s="6154"/>
    </row>
    <row r="914" spans="1:58" ht="114.75">
      <c r="A914" s="5981" t="s">
        <v>11006</v>
      </c>
      <c r="B914" s="1538" t="s">
        <v>12089</v>
      </c>
      <c r="C914" s="1509">
        <v>0</v>
      </c>
      <c r="D914" s="1510">
        <v>44445</v>
      </c>
      <c r="E914" s="4344" t="s">
        <v>9156</v>
      </c>
      <c r="F914" s="2497" t="s">
        <v>9005</v>
      </c>
      <c r="G914" s="5387">
        <v>1.0956269999999999</v>
      </c>
      <c r="H914" s="1513" t="s">
        <v>9196</v>
      </c>
      <c r="I914" s="1514" t="s">
        <v>9190</v>
      </c>
      <c r="J914" s="4345" t="s">
        <v>4306</v>
      </c>
      <c r="K914" s="1516">
        <v>45175</v>
      </c>
      <c r="L914" s="1514" t="s">
        <v>9191</v>
      </c>
      <c r="M914" s="1515" t="s">
        <v>8992</v>
      </c>
      <c r="N914" s="1514" t="s">
        <v>9192</v>
      </c>
      <c r="O914" s="1513" t="s">
        <v>9193</v>
      </c>
      <c r="P914" s="1517"/>
      <c r="Q914" s="6094" t="s">
        <v>9047</v>
      </c>
      <c r="R914" s="1515" t="s">
        <v>9092</v>
      </c>
      <c r="S914" s="1518"/>
      <c r="T914" s="1519"/>
      <c r="U914" s="1504"/>
      <c r="V914" s="1520"/>
      <c r="W914" s="1519"/>
      <c r="X914" s="1504"/>
      <c r="Y914" s="1520"/>
      <c r="Z914" s="1519"/>
      <c r="AA914" s="1504"/>
      <c r="AB914" s="1520"/>
      <c r="AC914" s="1519"/>
      <c r="AD914" s="1504"/>
      <c r="AE914" s="1520"/>
      <c r="AF914" s="1519"/>
      <c r="AG914" s="1504"/>
      <c r="AH914" s="1520"/>
      <c r="AI914" s="1503">
        <v>5567</v>
      </c>
      <c r="AJ914" s="1504">
        <v>0</v>
      </c>
      <c r="AK914" s="3919">
        <v>0</v>
      </c>
      <c r="AL914" s="1505">
        <f t="shared" si="278"/>
        <v>5567</v>
      </c>
      <c r="AM914" s="1508" t="s">
        <v>1061</v>
      </c>
      <c r="AN914" s="3401">
        <v>45328</v>
      </c>
      <c r="AO914" s="3402" t="s">
        <v>12092</v>
      </c>
      <c r="AP914" s="2905" t="s">
        <v>11479</v>
      </c>
      <c r="AQ914" s="2906">
        <v>1.1576249999999999</v>
      </c>
      <c r="AR914" s="1506"/>
      <c r="AS914" s="1507"/>
      <c r="AT914" s="1507"/>
      <c r="AU914" s="1507"/>
      <c r="AV914" s="1507"/>
      <c r="AW914" s="3247">
        <f t="shared" si="279"/>
        <v>5882</v>
      </c>
      <c r="AX914" s="3146"/>
      <c r="BA914" s="267"/>
      <c r="BB914" s="267"/>
      <c r="BC914" s="4117">
        <f t="shared" si="266"/>
        <v>0</v>
      </c>
      <c r="BD914" s="4117">
        <f t="shared" si="267"/>
        <v>0</v>
      </c>
      <c r="BE914" s="6155"/>
      <c r="BF914" s="6154"/>
    </row>
    <row r="915" spans="1:58" ht="89.25">
      <c r="A915" s="5981" t="s">
        <v>10984</v>
      </c>
      <c r="B915" s="1538" t="s">
        <v>10565</v>
      </c>
      <c r="C915" s="1509">
        <v>0</v>
      </c>
      <c r="D915" s="1510">
        <v>45126</v>
      </c>
      <c r="E915" s="4344" t="s">
        <v>10324</v>
      </c>
      <c r="F915" s="2497" t="s">
        <v>11480</v>
      </c>
      <c r="G915" s="5387">
        <v>1.1576249999999999</v>
      </c>
      <c r="H915" s="1513" t="s">
        <v>11551</v>
      </c>
      <c r="I915" s="1514" t="s">
        <v>11544</v>
      </c>
      <c r="J915" s="4345" t="s">
        <v>4306</v>
      </c>
      <c r="K915" s="1516">
        <v>45809</v>
      </c>
      <c r="L915" s="1514" t="s">
        <v>11540</v>
      </c>
      <c r="M915" s="1515" t="s">
        <v>11541</v>
      </c>
      <c r="N915" s="1514" t="s">
        <v>11542</v>
      </c>
      <c r="O915" s="1513" t="s">
        <v>11543</v>
      </c>
      <c r="P915" s="1517"/>
      <c r="Q915" s="6094" t="s">
        <v>9071</v>
      </c>
      <c r="R915" s="1515" t="s">
        <v>536</v>
      </c>
      <c r="S915" s="1518"/>
      <c r="T915" s="1519"/>
      <c r="U915" s="1504"/>
      <c r="V915" s="1520"/>
      <c r="W915" s="1519"/>
      <c r="X915" s="1504"/>
      <c r="Y915" s="1520"/>
      <c r="Z915" s="1519"/>
      <c r="AA915" s="1504"/>
      <c r="AB915" s="1520"/>
      <c r="AC915" s="1519"/>
      <c r="AD915" s="1504"/>
      <c r="AE915" s="1520"/>
      <c r="AF915" s="1519"/>
      <c r="AG915" s="1504"/>
      <c r="AH915" s="1520"/>
      <c r="AI915" s="1503">
        <v>6903</v>
      </c>
      <c r="AJ915" s="1504">
        <v>0</v>
      </c>
      <c r="AK915" s="3919">
        <v>0</v>
      </c>
      <c r="AL915" s="1505">
        <f t="shared" si="278"/>
        <v>6903</v>
      </c>
      <c r="AM915" s="1508" t="s">
        <v>1061</v>
      </c>
      <c r="AN915" s="3401">
        <v>45329</v>
      </c>
      <c r="AO915" s="3402" t="s">
        <v>12099</v>
      </c>
      <c r="AP915" s="2905" t="s">
        <v>11479</v>
      </c>
      <c r="AQ915" s="2906">
        <v>1.1576249999999999</v>
      </c>
      <c r="AR915" s="1506"/>
      <c r="AS915" s="1507"/>
      <c r="AT915" s="1507"/>
      <c r="AU915" s="1507"/>
      <c r="AV915" s="1507"/>
      <c r="AW915" s="3247">
        <f t="shared" si="279"/>
        <v>6903</v>
      </c>
      <c r="AX915" s="3146"/>
      <c r="BA915" s="267"/>
      <c r="BB915" s="267"/>
      <c r="BC915" s="4117">
        <f t="shared" si="266"/>
        <v>0</v>
      </c>
      <c r="BD915" s="4117">
        <f t="shared" si="267"/>
        <v>0</v>
      </c>
      <c r="BE915" s="6155"/>
      <c r="BF915" s="6154"/>
    </row>
    <row r="916" spans="1:58" ht="76.5">
      <c r="A916" s="5981" t="s">
        <v>11006</v>
      </c>
      <c r="B916" s="6384" t="s">
        <v>12117</v>
      </c>
      <c r="C916" s="6385">
        <v>0</v>
      </c>
      <c r="D916" s="6386">
        <v>44455</v>
      </c>
      <c r="E916" s="4344" t="s">
        <v>9156</v>
      </c>
      <c r="F916" s="2497" t="s">
        <v>9005</v>
      </c>
      <c r="G916" s="5387">
        <v>1.0956269999999999</v>
      </c>
      <c r="H916" s="1513" t="s">
        <v>10519</v>
      </c>
      <c r="I916" s="1514" t="s">
        <v>9190</v>
      </c>
      <c r="J916" s="4345" t="s">
        <v>4306</v>
      </c>
      <c r="K916" s="1516">
        <v>45914</v>
      </c>
      <c r="L916" s="6387" t="s">
        <v>8424</v>
      </c>
      <c r="M916" s="6388" t="s">
        <v>8425</v>
      </c>
      <c r="N916" s="6387" t="s">
        <v>10521</v>
      </c>
      <c r="O916" s="6389" t="s">
        <v>10520</v>
      </c>
      <c r="P916" s="6390"/>
      <c r="Q916" s="6094" t="s">
        <v>9047</v>
      </c>
      <c r="R916" s="1515" t="s">
        <v>129</v>
      </c>
      <c r="S916" s="6391"/>
      <c r="T916" s="6392"/>
      <c r="U916" s="6393"/>
      <c r="V916" s="6394"/>
      <c r="W916" s="6392"/>
      <c r="X916" s="6393"/>
      <c r="Y916" s="6394"/>
      <c r="Z916" s="6392"/>
      <c r="AA916" s="6393"/>
      <c r="AB916" s="6394"/>
      <c r="AC916" s="6392"/>
      <c r="AD916" s="6393"/>
      <c r="AE916" s="6394"/>
      <c r="AF916" s="6392"/>
      <c r="AG916" s="6393"/>
      <c r="AH916" s="6394"/>
      <c r="AI916" s="6395">
        <v>5567</v>
      </c>
      <c r="AJ916" s="1504">
        <v>0</v>
      </c>
      <c r="AK916" s="3919">
        <v>0</v>
      </c>
      <c r="AL916" s="1505">
        <f t="shared" si="278"/>
        <v>5567</v>
      </c>
      <c r="AM916" s="6396" t="s">
        <v>1061</v>
      </c>
      <c r="AN916" s="6397">
        <v>45329</v>
      </c>
      <c r="AO916" s="6398" t="s">
        <v>12106</v>
      </c>
      <c r="AP916" s="2905" t="s">
        <v>11479</v>
      </c>
      <c r="AQ916" s="2906">
        <v>1.1576249999999999</v>
      </c>
      <c r="AR916" s="1506"/>
      <c r="AS916" s="1507"/>
      <c r="AT916" s="1507"/>
      <c r="AU916" s="1507"/>
      <c r="AV916" s="1507"/>
      <c r="AW916" s="3247">
        <f t="shared" si="279"/>
        <v>5882</v>
      </c>
      <c r="AX916" s="6399"/>
      <c r="BA916" s="267"/>
      <c r="BB916" s="267"/>
      <c r="BC916" s="4117">
        <f t="shared" si="266"/>
        <v>0</v>
      </c>
      <c r="BD916" s="4117">
        <f t="shared" si="267"/>
        <v>0</v>
      </c>
      <c r="BE916" s="6155"/>
      <c r="BF916" s="6154"/>
    </row>
    <row r="917" spans="1:58" ht="89.25">
      <c r="A917" s="5981" t="s">
        <v>10984</v>
      </c>
      <c r="B917" s="1538" t="s">
        <v>12118</v>
      </c>
      <c r="C917" s="1509">
        <v>0</v>
      </c>
      <c r="D917" s="1510">
        <v>45279</v>
      </c>
      <c r="E917" s="4344" t="s">
        <v>10324</v>
      </c>
      <c r="F917" s="2497" t="s">
        <v>11480</v>
      </c>
      <c r="G917" s="5387">
        <v>1.1576249999999999</v>
      </c>
      <c r="H917" s="1513" t="s">
        <v>12004</v>
      </c>
      <c r="I917" s="1514" t="s">
        <v>12006</v>
      </c>
      <c r="J917" s="4345" t="s">
        <v>4306</v>
      </c>
      <c r="K917" s="1516">
        <v>45982</v>
      </c>
      <c r="L917" s="1514" t="s">
        <v>313</v>
      </c>
      <c r="M917" s="1515" t="s">
        <v>8832</v>
      </c>
      <c r="N917" s="1514" t="s">
        <v>12009</v>
      </c>
      <c r="O917" s="1513" t="s">
        <v>12011</v>
      </c>
      <c r="P917" s="5540"/>
      <c r="Q917" s="6094" t="s">
        <v>9071</v>
      </c>
      <c r="R917" s="1515" t="s">
        <v>536</v>
      </c>
      <c r="S917" s="1518"/>
      <c r="T917" s="1519"/>
      <c r="U917" s="1504"/>
      <c r="V917" s="1520"/>
      <c r="W917" s="1519"/>
      <c r="X917" s="1504"/>
      <c r="Y917" s="1520"/>
      <c r="Z917" s="1519"/>
      <c r="AA917" s="1504"/>
      <c r="AB917" s="1520"/>
      <c r="AC917" s="1519"/>
      <c r="AD917" s="1504"/>
      <c r="AE917" s="1520"/>
      <c r="AF917" s="1519"/>
      <c r="AG917" s="1504"/>
      <c r="AH917" s="1520"/>
      <c r="AI917" s="1503">
        <v>6903</v>
      </c>
      <c r="AJ917" s="1504">
        <v>0</v>
      </c>
      <c r="AK917" s="3919">
        <v>0</v>
      </c>
      <c r="AL917" s="1505">
        <f t="shared" ref="AL917:AL923" si="280">AI917-AJ917-AK917</f>
        <v>6903</v>
      </c>
      <c r="AM917" s="1508" t="s">
        <v>1061</v>
      </c>
      <c r="AN917" s="3401">
        <v>45334</v>
      </c>
      <c r="AO917" s="3402" t="s">
        <v>12120</v>
      </c>
      <c r="AP917" s="2905" t="s">
        <v>11479</v>
      </c>
      <c r="AQ917" s="2906">
        <v>1.1576249999999999</v>
      </c>
      <c r="AR917" s="1506"/>
      <c r="AS917" s="1507"/>
      <c r="AT917" s="1507"/>
      <c r="AU917" s="1507"/>
      <c r="AV917" s="1507"/>
      <c r="AW917" s="3247">
        <f t="shared" si="279"/>
        <v>6903</v>
      </c>
      <c r="AX917" s="3146"/>
      <c r="BA917" s="267"/>
      <c r="BB917" s="267"/>
      <c r="BC917" s="4117">
        <f t="shared" si="266"/>
        <v>0</v>
      </c>
      <c r="BD917" s="4117">
        <f t="shared" si="267"/>
        <v>0</v>
      </c>
      <c r="BE917" s="6155"/>
      <c r="BF917" s="6154"/>
    </row>
    <row r="918" spans="1:58" ht="90" customHeight="1">
      <c r="A918" s="5981" t="s">
        <v>10984</v>
      </c>
      <c r="B918" s="1538" t="s">
        <v>12121</v>
      </c>
      <c r="C918" s="1509">
        <v>0</v>
      </c>
      <c r="D918" s="1510">
        <v>45308</v>
      </c>
      <c r="E918" s="4344" t="s">
        <v>10324</v>
      </c>
      <c r="F918" s="2497" t="s">
        <v>11480</v>
      </c>
      <c r="G918" s="5387">
        <v>1.1576249999999999</v>
      </c>
      <c r="H918" s="1513" t="s">
        <v>12050</v>
      </c>
      <c r="I918" s="1514" t="s">
        <v>1433</v>
      </c>
      <c r="J918" s="1515" t="s">
        <v>1434</v>
      </c>
      <c r="K918" s="1516">
        <v>47495</v>
      </c>
      <c r="L918" s="1514" t="s">
        <v>12051</v>
      </c>
      <c r="M918" s="1515" t="s">
        <v>9455</v>
      </c>
      <c r="N918" s="1514" t="s">
        <v>12053</v>
      </c>
      <c r="O918" s="1513" t="s">
        <v>12052</v>
      </c>
      <c r="P918" s="1517"/>
      <c r="Q918" s="1515" t="s">
        <v>12055</v>
      </c>
      <c r="R918" s="1515" t="s">
        <v>12054</v>
      </c>
      <c r="S918" s="1518"/>
      <c r="T918" s="1519"/>
      <c r="U918" s="1504"/>
      <c r="V918" s="1520"/>
      <c r="W918" s="1519"/>
      <c r="X918" s="1504"/>
      <c r="Y918" s="1520"/>
      <c r="Z918" s="1519"/>
      <c r="AA918" s="1504"/>
      <c r="AB918" s="1520"/>
      <c r="AC918" s="1519"/>
      <c r="AD918" s="1504"/>
      <c r="AE918" s="1520"/>
      <c r="AF918" s="1519"/>
      <c r="AG918" s="1504"/>
      <c r="AH918" s="1520"/>
      <c r="AI918" s="1503">
        <v>13104</v>
      </c>
      <c r="AJ918" s="1504">
        <v>0</v>
      </c>
      <c r="AK918" s="3919">
        <v>0</v>
      </c>
      <c r="AL918" s="1505">
        <f t="shared" si="280"/>
        <v>13104</v>
      </c>
      <c r="AM918" s="1508" t="s">
        <v>1061</v>
      </c>
      <c r="AN918" s="3401">
        <v>45274</v>
      </c>
      <c r="AO918" s="3402" t="s">
        <v>12122</v>
      </c>
      <c r="AP918" s="2905" t="s">
        <v>11479</v>
      </c>
      <c r="AQ918" s="2906">
        <v>1.1576249999999999</v>
      </c>
      <c r="AR918" s="1506"/>
      <c r="AS918" s="1507"/>
      <c r="AT918" s="1507"/>
      <c r="AU918" s="1507"/>
      <c r="AV918" s="1507"/>
      <c r="AW918" s="3247">
        <f t="shared" si="279"/>
        <v>13104</v>
      </c>
      <c r="AX918" s="3146"/>
      <c r="BA918" s="267"/>
      <c r="BB918" s="267"/>
      <c r="BC918" s="4117">
        <f t="shared" si="266"/>
        <v>0</v>
      </c>
      <c r="BD918" s="4117">
        <f t="shared" si="267"/>
        <v>0</v>
      </c>
      <c r="BE918" s="6155"/>
      <c r="BF918" s="6154"/>
    </row>
    <row r="919" spans="1:58" ht="76.5">
      <c r="A919" s="5981" t="s">
        <v>11030</v>
      </c>
      <c r="B919" s="1538" t="s">
        <v>12123</v>
      </c>
      <c r="C919" s="1509">
        <v>0</v>
      </c>
      <c r="D919" s="1510">
        <v>44704</v>
      </c>
      <c r="E919" s="4344" t="s">
        <v>9156</v>
      </c>
      <c r="F919" s="2497" t="s">
        <v>9005</v>
      </c>
      <c r="G919" s="5387">
        <v>1.0956269999999999</v>
      </c>
      <c r="H919" s="1513" t="s">
        <v>9937</v>
      </c>
      <c r="I919" s="1514" t="s">
        <v>9560</v>
      </c>
      <c r="J919" s="4345" t="s">
        <v>4306</v>
      </c>
      <c r="K919" s="1516">
        <v>45429</v>
      </c>
      <c r="L919" s="1514" t="s">
        <v>8424</v>
      </c>
      <c r="M919" s="1515" t="s">
        <v>9938</v>
      </c>
      <c r="N919" s="1514" t="s">
        <v>9940</v>
      </c>
      <c r="O919" s="1513" t="s">
        <v>9939</v>
      </c>
      <c r="P919" s="1517"/>
      <c r="Q919" s="6094" t="s">
        <v>9071</v>
      </c>
      <c r="R919" s="1515" t="s">
        <v>581</v>
      </c>
      <c r="S919" s="1518"/>
      <c r="T919" s="1519"/>
      <c r="U919" s="1504"/>
      <c r="V919" s="1520"/>
      <c r="W919" s="1519"/>
      <c r="X919" s="1504"/>
      <c r="Y919" s="1520"/>
      <c r="Z919" s="1519"/>
      <c r="AA919" s="1504"/>
      <c r="AB919" s="1520"/>
      <c r="AC919" s="1519"/>
      <c r="AD919" s="1504"/>
      <c r="AE919" s="1520"/>
      <c r="AF919" s="1519"/>
      <c r="AG919" s="1504"/>
      <c r="AH919" s="1520"/>
      <c r="AI919" s="1503">
        <v>5567</v>
      </c>
      <c r="AJ919" s="1504">
        <v>0</v>
      </c>
      <c r="AK919" s="3919">
        <v>0</v>
      </c>
      <c r="AL919" s="1505">
        <f t="shared" si="280"/>
        <v>5567</v>
      </c>
      <c r="AM919" s="1508" t="s">
        <v>1061</v>
      </c>
      <c r="AN919" s="3401">
        <v>45341</v>
      </c>
      <c r="AO919" s="3402" t="s">
        <v>12131</v>
      </c>
      <c r="AP919" s="2905" t="s">
        <v>11479</v>
      </c>
      <c r="AQ919" s="2906">
        <v>1.1576249999999999</v>
      </c>
      <c r="AR919" s="1506"/>
      <c r="AS919" s="1507"/>
      <c r="AT919" s="1507"/>
      <c r="AU919" s="1507"/>
      <c r="AV919" s="1507"/>
      <c r="AW919" s="3247">
        <f>ROUND(AL919*AQ919/G919,0)</f>
        <v>5882</v>
      </c>
      <c r="AX919" s="3146"/>
      <c r="BA919" s="267"/>
      <c r="BB919" s="267"/>
      <c r="BC919" s="4117">
        <f t="shared" si="266"/>
        <v>0</v>
      </c>
      <c r="BD919" s="4117">
        <f t="shared" si="267"/>
        <v>0</v>
      </c>
      <c r="BE919" s="6155"/>
      <c r="BF919" s="6154"/>
    </row>
    <row r="920" spans="1:58" ht="76.5">
      <c r="A920" s="5981" t="s">
        <v>11006</v>
      </c>
      <c r="B920" s="1538" t="s">
        <v>12124</v>
      </c>
      <c r="C920" s="1509">
        <v>0</v>
      </c>
      <c r="D920" s="1510">
        <v>44512</v>
      </c>
      <c r="E920" s="4344" t="s">
        <v>9156</v>
      </c>
      <c r="F920" s="2497" t="s">
        <v>9005</v>
      </c>
      <c r="G920" s="5387">
        <v>1.0956269999999999</v>
      </c>
      <c r="H920" s="1513" t="s">
        <v>9402</v>
      </c>
      <c r="I920" s="1514" t="s">
        <v>9190</v>
      </c>
      <c r="J920" s="4345" t="s">
        <v>4306</v>
      </c>
      <c r="K920" s="1516">
        <v>45970</v>
      </c>
      <c r="L920" s="1514" t="s">
        <v>9403</v>
      </c>
      <c r="M920" s="1515" t="s">
        <v>9404</v>
      </c>
      <c r="N920" s="1514" t="s">
        <v>9405</v>
      </c>
      <c r="O920" s="1513" t="s">
        <v>9406</v>
      </c>
      <c r="P920" s="1517"/>
      <c r="Q920" s="6094" t="s">
        <v>9047</v>
      </c>
      <c r="R920" s="1515" t="s">
        <v>129</v>
      </c>
      <c r="S920" s="1518"/>
      <c r="T920" s="1519"/>
      <c r="U920" s="1504"/>
      <c r="V920" s="1520"/>
      <c r="W920" s="1519"/>
      <c r="X920" s="1504"/>
      <c r="Y920" s="1520"/>
      <c r="Z920" s="1519"/>
      <c r="AA920" s="1504"/>
      <c r="AB920" s="1520"/>
      <c r="AC920" s="1519"/>
      <c r="AD920" s="1504"/>
      <c r="AE920" s="1520"/>
      <c r="AF920" s="1519"/>
      <c r="AG920" s="1504"/>
      <c r="AH920" s="1520"/>
      <c r="AI920" s="1503">
        <v>5567</v>
      </c>
      <c r="AJ920" s="1504">
        <v>0</v>
      </c>
      <c r="AK920" s="3919">
        <v>0</v>
      </c>
      <c r="AL920" s="1505">
        <f t="shared" si="280"/>
        <v>5567</v>
      </c>
      <c r="AM920" s="1508" t="s">
        <v>1061</v>
      </c>
      <c r="AN920" s="3401">
        <v>45341</v>
      </c>
      <c r="AO920" s="3402" t="s">
        <v>12132</v>
      </c>
      <c r="AP920" s="2905" t="s">
        <v>11479</v>
      </c>
      <c r="AQ920" s="2906">
        <v>1.1576249999999999</v>
      </c>
      <c r="AR920" s="1506"/>
      <c r="AS920" s="1507"/>
      <c r="AT920" s="1507"/>
      <c r="AU920" s="1507"/>
      <c r="AV920" s="1507"/>
      <c r="AW920" s="3247">
        <f>ROUND(AL920*AQ920/G920,0)</f>
        <v>5882</v>
      </c>
      <c r="AX920" s="3146"/>
      <c r="BA920" s="267"/>
      <c r="BB920" s="267"/>
      <c r="BC920" s="4117">
        <f t="shared" si="266"/>
        <v>0</v>
      </c>
      <c r="BD920" s="4117">
        <f t="shared" si="267"/>
        <v>0</v>
      </c>
      <c r="BE920" s="6155"/>
      <c r="BF920" s="6154"/>
    </row>
    <row r="921" spans="1:58" ht="77.25" thickBot="1">
      <c r="A921" s="6400" t="s">
        <v>11006</v>
      </c>
      <c r="B921" s="5573" t="s">
        <v>12133</v>
      </c>
      <c r="C921" s="6401">
        <v>0</v>
      </c>
      <c r="D921" s="6402">
        <v>44510</v>
      </c>
      <c r="E921" s="6403" t="s">
        <v>9156</v>
      </c>
      <c r="F921" s="3835" t="s">
        <v>9005</v>
      </c>
      <c r="G921" s="5775">
        <v>1.0956269999999999</v>
      </c>
      <c r="H921" s="6404" t="s">
        <v>9377</v>
      </c>
      <c r="I921" s="5580" t="s">
        <v>1433</v>
      </c>
      <c r="J921" s="6405" t="s">
        <v>1434</v>
      </c>
      <c r="K921" s="6406">
        <v>46696</v>
      </c>
      <c r="L921" s="5580" t="s">
        <v>9378</v>
      </c>
      <c r="M921" s="6405" t="s">
        <v>6628</v>
      </c>
      <c r="N921" s="5580" t="s">
        <v>9379</v>
      </c>
      <c r="O921" s="6404" t="s">
        <v>9380</v>
      </c>
      <c r="P921" s="5737"/>
      <c r="Q921" s="6405" t="s">
        <v>9381</v>
      </c>
      <c r="R921" s="6405" t="s">
        <v>3732</v>
      </c>
      <c r="S921" s="6407"/>
      <c r="T921" s="5585"/>
      <c r="U921" s="6408"/>
      <c r="V921" s="6409"/>
      <c r="W921" s="5585"/>
      <c r="X921" s="6408"/>
      <c r="Y921" s="6409"/>
      <c r="Z921" s="5585"/>
      <c r="AA921" s="6408"/>
      <c r="AB921" s="6409"/>
      <c r="AC921" s="5585"/>
      <c r="AD921" s="6408"/>
      <c r="AE921" s="6409"/>
      <c r="AF921" s="5585"/>
      <c r="AG921" s="6408"/>
      <c r="AH921" s="6409"/>
      <c r="AI921" s="5588">
        <v>34183</v>
      </c>
      <c r="AJ921" s="6408">
        <v>0</v>
      </c>
      <c r="AK921" s="6410">
        <v>0</v>
      </c>
      <c r="AL921" s="6411">
        <f t="shared" si="280"/>
        <v>34183</v>
      </c>
      <c r="AM921" s="5743" t="s">
        <v>1061</v>
      </c>
      <c r="AN921" s="6412">
        <v>45349</v>
      </c>
      <c r="AO921" s="6413" t="s">
        <v>12134</v>
      </c>
      <c r="AP921" s="3851" t="s">
        <v>11479</v>
      </c>
      <c r="AQ921" s="3852">
        <v>1.1576249999999999</v>
      </c>
      <c r="AR921" s="5596"/>
      <c r="AS921" s="6414"/>
      <c r="AT921" s="6414"/>
      <c r="AU921" s="6414"/>
      <c r="AV921" s="6414"/>
      <c r="AW921" s="6415">
        <f>ROUND(AL921*AQ921/G921,0)</f>
        <v>36117</v>
      </c>
      <c r="AX921" s="5599"/>
      <c r="AY921" s="4029" t="s">
        <v>12093</v>
      </c>
      <c r="AZ921" s="3888">
        <f>SUM(AW914:AW921)</f>
        <v>86555</v>
      </c>
      <c r="BA921" s="2119">
        <f>AZ921</f>
        <v>86555</v>
      </c>
      <c r="BB921" s="267"/>
      <c r="BC921" s="4117">
        <f t="shared" si="266"/>
        <v>0</v>
      </c>
      <c r="BD921" s="4117">
        <f t="shared" si="267"/>
        <v>0</v>
      </c>
      <c r="BE921" s="6155"/>
      <c r="BF921" s="6154"/>
    </row>
    <row r="922" spans="1:58" ht="89.25">
      <c r="A922" s="6045" t="s">
        <v>10984</v>
      </c>
      <c r="B922" s="564" t="s">
        <v>10560</v>
      </c>
      <c r="C922" s="565">
        <v>0</v>
      </c>
      <c r="D922" s="566">
        <v>45121</v>
      </c>
      <c r="E922" s="4561" t="s">
        <v>10324</v>
      </c>
      <c r="F922" s="567" t="s">
        <v>11480</v>
      </c>
      <c r="G922" s="5505">
        <v>1.1576249999999999</v>
      </c>
      <c r="H922" s="6416" t="s">
        <v>11525</v>
      </c>
      <c r="I922" s="569" t="s">
        <v>11526</v>
      </c>
      <c r="J922" s="570" t="s">
        <v>4306</v>
      </c>
      <c r="K922" s="571">
        <v>45831</v>
      </c>
      <c r="L922" s="569" t="s">
        <v>11527</v>
      </c>
      <c r="M922" s="568" t="s">
        <v>11528</v>
      </c>
      <c r="N922" s="339" t="s">
        <v>11530</v>
      </c>
      <c r="O922" s="332" t="s">
        <v>11529</v>
      </c>
      <c r="P922" s="345" t="s">
        <v>11531</v>
      </c>
      <c r="Q922" s="322" t="s">
        <v>9657</v>
      </c>
      <c r="R922" s="322" t="s">
        <v>581</v>
      </c>
      <c r="S922" s="346"/>
      <c r="T922" s="347"/>
      <c r="U922" s="326"/>
      <c r="V922" s="348"/>
      <c r="W922" s="347"/>
      <c r="X922" s="326"/>
      <c r="Y922" s="348"/>
      <c r="Z922" s="347"/>
      <c r="AA922" s="326"/>
      <c r="AB922" s="348"/>
      <c r="AC922" s="347"/>
      <c r="AD922" s="326"/>
      <c r="AE922" s="348"/>
      <c r="AF922" s="347"/>
      <c r="AG922" s="326"/>
      <c r="AH922" s="348"/>
      <c r="AI922" s="482">
        <v>19448</v>
      </c>
      <c r="AJ922" s="326">
        <v>0</v>
      </c>
      <c r="AK922" s="3917">
        <v>0</v>
      </c>
      <c r="AL922" s="349">
        <f t="shared" si="280"/>
        <v>19448</v>
      </c>
      <c r="AM922" s="2002" t="s">
        <v>2977</v>
      </c>
      <c r="AN922" s="3357">
        <v>45364</v>
      </c>
      <c r="AO922" s="695" t="s">
        <v>12170</v>
      </c>
      <c r="AP922" s="3362" t="s">
        <v>11479</v>
      </c>
      <c r="AQ922" s="3555">
        <v>1.1576249999999999</v>
      </c>
      <c r="AR922" s="333"/>
      <c r="AS922" s="330"/>
      <c r="AT922" s="330"/>
      <c r="AU922" s="330"/>
      <c r="AV922" s="330"/>
      <c r="AW922" s="3156">
        <f>ROUND(AL922*AQ922/G922,0)</f>
        <v>19448</v>
      </c>
      <c r="AX922" s="3140"/>
      <c r="BA922" s="267"/>
      <c r="BB922" s="267"/>
      <c r="BC922" s="4117">
        <f t="shared" si="266"/>
        <v>0</v>
      </c>
      <c r="BD922" s="4117">
        <f t="shared" si="267"/>
        <v>0</v>
      </c>
      <c r="BE922" s="6155"/>
      <c r="BF922" s="6154"/>
    </row>
    <row r="923" spans="1:58" ht="108" customHeight="1">
      <c r="A923" s="2418" t="s">
        <v>11005</v>
      </c>
      <c r="B923" s="338" t="s">
        <v>12171</v>
      </c>
      <c r="C923" s="321">
        <v>0</v>
      </c>
      <c r="D923" s="323" t="s">
        <v>11023</v>
      </c>
      <c r="E923" s="3051" t="s">
        <v>6386</v>
      </c>
      <c r="F923" s="324" t="s">
        <v>11024</v>
      </c>
      <c r="G923" s="2669">
        <v>1.1100000000000001</v>
      </c>
      <c r="H923" s="332" t="s">
        <v>6177</v>
      </c>
      <c r="I923" s="339" t="s">
        <v>1433</v>
      </c>
      <c r="J923" s="322" t="s">
        <v>1434</v>
      </c>
      <c r="K923" s="340">
        <v>45695</v>
      </c>
      <c r="L923" s="339" t="s">
        <v>6178</v>
      </c>
      <c r="M923" s="322" t="s">
        <v>6179</v>
      </c>
      <c r="N923" s="339" t="s">
        <v>6180</v>
      </c>
      <c r="O923" s="332" t="s">
        <v>6181</v>
      </c>
      <c r="P923" s="345" t="s">
        <v>12172</v>
      </c>
      <c r="Q923" s="322" t="s">
        <v>6182</v>
      </c>
      <c r="R923" s="322" t="s">
        <v>6183</v>
      </c>
      <c r="S923" s="346"/>
      <c r="T923" s="347">
        <v>14755</v>
      </c>
      <c r="U923" s="326">
        <v>0</v>
      </c>
      <c r="V923" s="348">
        <f t="shared" ref="V923" si="281">T923-U923</f>
        <v>14755</v>
      </c>
      <c r="W923" s="347">
        <v>18445</v>
      </c>
      <c r="X923" s="326">
        <v>0</v>
      </c>
      <c r="Y923" s="348">
        <f t="shared" ref="Y923" si="282">W923-X923</f>
        <v>18445</v>
      </c>
      <c r="Z923" s="347">
        <v>0</v>
      </c>
      <c r="AA923" s="326">
        <v>0</v>
      </c>
      <c r="AB923" s="348">
        <f t="shared" ref="AB923" si="283">Z923-AA923</f>
        <v>0</v>
      </c>
      <c r="AC923" s="347"/>
      <c r="AD923" s="326"/>
      <c r="AE923" s="348"/>
      <c r="AF923" s="347"/>
      <c r="AG923" s="326"/>
      <c r="AH923" s="348"/>
      <c r="AI923" s="482">
        <v>0</v>
      </c>
      <c r="AJ923" s="326">
        <f t="shared" ref="AJ923" si="284">U923+X923+AA923+AD923+AG923</f>
        <v>0</v>
      </c>
      <c r="AK923" s="3917">
        <v>0</v>
      </c>
      <c r="AL923" s="349">
        <f t="shared" si="280"/>
        <v>0</v>
      </c>
      <c r="AM923" s="2002" t="s">
        <v>270</v>
      </c>
      <c r="AN923" s="3357">
        <v>45366</v>
      </c>
      <c r="AO923" s="695" t="s">
        <v>12173</v>
      </c>
      <c r="AP923" s="3222" t="s">
        <v>10102</v>
      </c>
      <c r="AQ923" s="3223">
        <v>1.1100000000000001</v>
      </c>
      <c r="AR923" s="333">
        <v>0</v>
      </c>
      <c r="AS923" s="330">
        <v>0</v>
      </c>
      <c r="AT923" s="330">
        <v>0</v>
      </c>
      <c r="AU923" s="330">
        <v>0</v>
      </c>
      <c r="AV923" s="330">
        <v>0</v>
      </c>
      <c r="AW923" s="3156">
        <v>1690</v>
      </c>
      <c r="AX923" s="3140"/>
      <c r="BB923" s="267"/>
      <c r="BC923" s="4117">
        <f t="shared" si="266"/>
        <v>0</v>
      </c>
      <c r="BD923" s="4117">
        <f t="shared" si="267"/>
        <v>0</v>
      </c>
      <c r="BE923" s="6155"/>
      <c r="BF923" s="6154"/>
    </row>
    <row r="924" spans="1:58" ht="76.5">
      <c r="A924" s="2418" t="s">
        <v>10984</v>
      </c>
      <c r="B924" s="338" t="s">
        <v>12056</v>
      </c>
      <c r="C924" s="321">
        <v>0</v>
      </c>
      <c r="D924" s="323">
        <v>45079</v>
      </c>
      <c r="E924" s="3058" t="s">
        <v>10324</v>
      </c>
      <c r="F924" s="830" t="s">
        <v>10101</v>
      </c>
      <c r="G924" s="5356">
        <v>1.1100000000000001</v>
      </c>
      <c r="H924" s="332" t="s">
        <v>11370</v>
      </c>
      <c r="I924" s="339" t="s">
        <v>9560</v>
      </c>
      <c r="J924" s="2399" t="s">
        <v>4306</v>
      </c>
      <c r="K924" s="340">
        <v>45810</v>
      </c>
      <c r="L924" s="339" t="s">
        <v>11371</v>
      </c>
      <c r="M924" s="322" t="s">
        <v>11372</v>
      </c>
      <c r="N924" s="339" t="s">
        <v>11373</v>
      </c>
      <c r="O924" s="332" t="s">
        <v>11374</v>
      </c>
      <c r="P924" s="345"/>
      <c r="Q924" s="6094" t="s">
        <v>9071</v>
      </c>
      <c r="R924" s="322" t="s">
        <v>536</v>
      </c>
      <c r="S924" s="346"/>
      <c r="T924" s="347"/>
      <c r="U924" s="326"/>
      <c r="V924" s="348"/>
      <c r="W924" s="347"/>
      <c r="X924" s="326"/>
      <c r="Y924" s="348"/>
      <c r="Z924" s="347"/>
      <c r="AA924" s="326"/>
      <c r="AB924" s="348"/>
      <c r="AC924" s="347"/>
      <c r="AD924" s="326"/>
      <c r="AE924" s="348"/>
      <c r="AF924" s="347"/>
      <c r="AG924" s="326"/>
      <c r="AH924" s="348"/>
      <c r="AI924" s="482">
        <v>5639</v>
      </c>
      <c r="AJ924" s="326">
        <v>0</v>
      </c>
      <c r="AK924" s="3917">
        <v>0</v>
      </c>
      <c r="AL924" s="349">
        <f t="shared" ref="AL924:AL929" si="285">AI924-AJ924-AK924</f>
        <v>5639</v>
      </c>
      <c r="AM924" s="2002" t="s">
        <v>1061</v>
      </c>
      <c r="AN924" s="3357">
        <v>45371</v>
      </c>
      <c r="AO924" s="695" t="s">
        <v>12183</v>
      </c>
      <c r="AP924" s="3362" t="s">
        <v>11479</v>
      </c>
      <c r="AQ924" s="3555">
        <v>1.1576249999999999</v>
      </c>
      <c r="AR924" s="333"/>
      <c r="AS924" s="330"/>
      <c r="AT924" s="330"/>
      <c r="AU924" s="330"/>
      <c r="AV924" s="330"/>
      <c r="AW924" s="3156">
        <f t="shared" ref="AW924:AW929" si="286">ROUND(AL924*AQ924/G924,0)</f>
        <v>5881</v>
      </c>
      <c r="AX924" s="3140"/>
      <c r="BA924" s="267"/>
      <c r="BB924" s="267"/>
      <c r="BC924" s="4117">
        <f t="shared" si="266"/>
        <v>0</v>
      </c>
      <c r="BD924" s="4117">
        <f t="shared" si="267"/>
        <v>0</v>
      </c>
      <c r="BE924" s="6155"/>
      <c r="BF924" s="6154"/>
    </row>
    <row r="925" spans="1:58" ht="76.5">
      <c r="A925" s="2418" t="s">
        <v>10984</v>
      </c>
      <c r="B925" s="338" t="s">
        <v>12151</v>
      </c>
      <c r="C925" s="321">
        <v>0</v>
      </c>
      <c r="D925" s="323">
        <v>45331</v>
      </c>
      <c r="E925" s="3058" t="s">
        <v>10324</v>
      </c>
      <c r="F925" s="830" t="s">
        <v>11480</v>
      </c>
      <c r="G925" s="5356">
        <v>1.1576249999999999</v>
      </c>
      <c r="H925" s="332" t="s">
        <v>12112</v>
      </c>
      <c r="I925" s="339" t="s">
        <v>1433</v>
      </c>
      <c r="J925" s="6418">
        <v>45359</v>
      </c>
      <c r="K925" s="340" t="s">
        <v>11396</v>
      </c>
      <c r="L925" s="339" t="s">
        <v>12113</v>
      </c>
      <c r="M925" s="322" t="s">
        <v>8769</v>
      </c>
      <c r="N925" s="339" t="s">
        <v>5806</v>
      </c>
      <c r="O925" s="332" t="s">
        <v>12114</v>
      </c>
      <c r="P925" s="345"/>
      <c r="Q925" s="322" t="s">
        <v>12115</v>
      </c>
      <c r="R925" s="322" t="s">
        <v>12116</v>
      </c>
      <c r="S925" s="346"/>
      <c r="T925" s="347"/>
      <c r="U925" s="326"/>
      <c r="V925" s="348"/>
      <c r="W925" s="347"/>
      <c r="X925" s="326"/>
      <c r="Y925" s="348"/>
      <c r="Z925" s="347"/>
      <c r="AA925" s="326"/>
      <c r="AB925" s="348"/>
      <c r="AC925" s="820"/>
      <c r="AD925" s="821"/>
      <c r="AE925" s="822"/>
      <c r="AF925" s="820"/>
      <c r="AG925" s="821"/>
      <c r="AH925" s="822"/>
      <c r="AI925" s="482">
        <v>5557</v>
      </c>
      <c r="AJ925" s="326">
        <v>0</v>
      </c>
      <c r="AK925" s="3917">
        <v>0</v>
      </c>
      <c r="AL925" s="349">
        <f t="shared" si="285"/>
        <v>5557</v>
      </c>
      <c r="AM925" s="2002" t="s">
        <v>12193</v>
      </c>
      <c r="AN925" s="3357">
        <v>45372</v>
      </c>
      <c r="AO925" s="695" t="s">
        <v>12192</v>
      </c>
      <c r="AP925" s="3362" t="s">
        <v>11479</v>
      </c>
      <c r="AQ925" s="3555">
        <v>1.1576249999999999</v>
      </c>
      <c r="AR925" s="333"/>
      <c r="AS925" s="330"/>
      <c r="AT925" s="330"/>
      <c r="AU925" s="849"/>
      <c r="AV925" s="849"/>
      <c r="AW925" s="3156">
        <f t="shared" si="286"/>
        <v>5557</v>
      </c>
      <c r="AX925" s="3140"/>
      <c r="BA925" s="267"/>
      <c r="BB925" s="267"/>
      <c r="BC925" s="4117">
        <f t="shared" si="266"/>
        <v>0</v>
      </c>
      <c r="BD925" s="4117">
        <f t="shared" si="267"/>
        <v>0</v>
      </c>
      <c r="BE925" s="6155"/>
      <c r="BF925" s="6154"/>
    </row>
    <row r="926" spans="1:58" ht="77.25" thickBot="1">
      <c r="A926" s="6419" t="s">
        <v>4276</v>
      </c>
      <c r="B926" s="6420" t="s">
        <v>11952</v>
      </c>
      <c r="C926" s="6421">
        <v>0</v>
      </c>
      <c r="D926" s="6422">
        <v>45371</v>
      </c>
      <c r="E926" s="6423" t="s">
        <v>10324</v>
      </c>
      <c r="F926" s="6424" t="s">
        <v>11480</v>
      </c>
      <c r="G926" s="6425">
        <v>1.1576249999999999</v>
      </c>
      <c r="H926" s="6426" t="s">
        <v>12179</v>
      </c>
      <c r="I926" s="6427" t="s">
        <v>9560</v>
      </c>
      <c r="J926" s="6428" t="s">
        <v>4306</v>
      </c>
      <c r="K926" s="6429">
        <v>46101</v>
      </c>
      <c r="L926" s="6427" t="s">
        <v>8424</v>
      </c>
      <c r="M926" s="6428" t="s">
        <v>8425</v>
      </c>
      <c r="N926" s="6427" t="s">
        <v>12180</v>
      </c>
      <c r="O926" s="6426" t="s">
        <v>12181</v>
      </c>
      <c r="P926" s="6430"/>
      <c r="Q926" s="6431" t="s">
        <v>9071</v>
      </c>
      <c r="R926" s="6428" t="s">
        <v>581</v>
      </c>
      <c r="S926" s="6432"/>
      <c r="T926" s="6433"/>
      <c r="U926" s="6434"/>
      <c r="V926" s="6435"/>
      <c r="W926" s="6433"/>
      <c r="X926" s="6434"/>
      <c r="Y926" s="6435"/>
      <c r="Z926" s="6433"/>
      <c r="AA926" s="6434"/>
      <c r="AB926" s="6435"/>
      <c r="AC926" s="6436"/>
      <c r="AD926" s="6437"/>
      <c r="AE926" s="6438"/>
      <c r="AF926" s="6436"/>
      <c r="AG926" s="6437"/>
      <c r="AH926" s="6438"/>
      <c r="AI926" s="6439">
        <v>5881</v>
      </c>
      <c r="AJ926" s="6434">
        <v>0</v>
      </c>
      <c r="AK926" s="6440">
        <v>0</v>
      </c>
      <c r="AL926" s="6441">
        <f t="shared" si="285"/>
        <v>5881</v>
      </c>
      <c r="AM926" s="6442" t="s">
        <v>1061</v>
      </c>
      <c r="AN926" s="6443">
        <v>45376</v>
      </c>
      <c r="AO926" s="6444" t="s">
        <v>12194</v>
      </c>
      <c r="AP926" s="6445" t="s">
        <v>11479</v>
      </c>
      <c r="AQ926" s="6446">
        <v>1.1576249999999999</v>
      </c>
      <c r="AR926" s="6447"/>
      <c r="AS926" s="6448"/>
      <c r="AT926" s="6448"/>
      <c r="AU926" s="6449"/>
      <c r="AV926" s="6449"/>
      <c r="AW926" s="6450">
        <f t="shared" si="286"/>
        <v>5881</v>
      </c>
      <c r="AX926" s="6451"/>
      <c r="AY926" s="4031" t="s">
        <v>12150</v>
      </c>
      <c r="AZ926" s="3857">
        <f>SUM(AW922:AW926)</f>
        <v>38457</v>
      </c>
      <c r="BA926" s="1663">
        <f>AZ926</f>
        <v>38457</v>
      </c>
      <c r="BB926" s="267"/>
      <c r="BC926" s="4117">
        <f t="shared" si="266"/>
        <v>0</v>
      </c>
      <c r="BD926" s="4117">
        <f t="shared" si="267"/>
        <v>0</v>
      </c>
      <c r="BE926" s="6155"/>
      <c r="BF926" s="6154"/>
    </row>
    <row r="927" spans="1:58" ht="76.5">
      <c r="A927" s="6017" t="s">
        <v>11030</v>
      </c>
      <c r="B927" s="2298" t="s">
        <v>12057</v>
      </c>
      <c r="C927" s="2299">
        <v>0</v>
      </c>
      <c r="D927" s="2300">
        <v>44865</v>
      </c>
      <c r="E927" s="4812" t="s">
        <v>10324</v>
      </c>
      <c r="F927" s="2497" t="s">
        <v>10101</v>
      </c>
      <c r="G927" s="5387">
        <v>1.1100000000000001</v>
      </c>
      <c r="H927" s="2306" t="s">
        <v>11092</v>
      </c>
      <c r="I927" s="2303" t="s">
        <v>1433</v>
      </c>
      <c r="J927" s="2304" t="s">
        <v>1434</v>
      </c>
      <c r="K927" s="2305">
        <v>47053</v>
      </c>
      <c r="L927" s="2303" t="s">
        <v>10498</v>
      </c>
      <c r="M927" s="2304" t="s">
        <v>9594</v>
      </c>
      <c r="N927" s="2303" t="s">
        <v>10500</v>
      </c>
      <c r="O927" s="2306" t="s">
        <v>10499</v>
      </c>
      <c r="P927" s="2321"/>
      <c r="Q927" s="2304" t="s">
        <v>10501</v>
      </c>
      <c r="R927" s="2304" t="s">
        <v>10502</v>
      </c>
      <c r="S927" s="2307"/>
      <c r="T927" s="2308"/>
      <c r="U927" s="2309"/>
      <c r="V927" s="2310"/>
      <c r="W927" s="2308"/>
      <c r="X927" s="2309"/>
      <c r="Y927" s="2310"/>
      <c r="Z927" s="2308"/>
      <c r="AA927" s="2309"/>
      <c r="AB927" s="2310"/>
      <c r="AC927" s="2308"/>
      <c r="AD927" s="2309"/>
      <c r="AE927" s="2310"/>
      <c r="AF927" s="2308"/>
      <c r="AG927" s="2309"/>
      <c r="AH927" s="2310"/>
      <c r="AI927" s="2311">
        <v>7992</v>
      </c>
      <c r="AJ927" s="2309">
        <v>0</v>
      </c>
      <c r="AK927" s="3914">
        <v>0</v>
      </c>
      <c r="AL927" s="2312">
        <f t="shared" si="285"/>
        <v>7992</v>
      </c>
      <c r="AM927" s="3491" t="s">
        <v>1061</v>
      </c>
      <c r="AN927" s="3492">
        <v>45386</v>
      </c>
      <c r="AO927" s="2492" t="s">
        <v>12207</v>
      </c>
      <c r="AP927" s="2905" t="s">
        <v>11479</v>
      </c>
      <c r="AQ927" s="2906">
        <v>1.1576249999999999</v>
      </c>
      <c r="AR927" s="2313"/>
      <c r="AS927" s="2314"/>
      <c r="AT927" s="2314"/>
      <c r="AU927" s="2314"/>
      <c r="AV927" s="2314"/>
      <c r="AW927" s="2883">
        <f t="shared" si="286"/>
        <v>8335</v>
      </c>
      <c r="AX927" s="2899"/>
      <c r="BB927" s="267"/>
      <c r="BC927" s="4117">
        <f t="shared" si="266"/>
        <v>0</v>
      </c>
      <c r="BD927" s="4117">
        <f t="shared" si="267"/>
        <v>0</v>
      </c>
      <c r="BE927" s="6155"/>
      <c r="BF927" s="6154"/>
    </row>
    <row r="928" spans="1:58" ht="89.25">
      <c r="A928" s="5981" t="s">
        <v>11006</v>
      </c>
      <c r="B928" s="1538" t="s">
        <v>10841</v>
      </c>
      <c r="C928" s="1509">
        <v>2</v>
      </c>
      <c r="D928" s="1510" t="s">
        <v>11487</v>
      </c>
      <c r="E928" s="2300" t="s">
        <v>11496</v>
      </c>
      <c r="F928" s="6452" t="s">
        <v>11488</v>
      </c>
      <c r="G928" s="6172">
        <v>1.1576249999999999</v>
      </c>
      <c r="H928" s="1513" t="s">
        <v>11490</v>
      </c>
      <c r="I928" s="1514" t="s">
        <v>11489</v>
      </c>
      <c r="J928" s="1515" t="s">
        <v>1434</v>
      </c>
      <c r="K928" s="1516">
        <v>45947</v>
      </c>
      <c r="L928" s="1514" t="s">
        <v>11491</v>
      </c>
      <c r="M928" s="1515" t="s">
        <v>11492</v>
      </c>
      <c r="N928" s="1514" t="s">
        <v>11493</v>
      </c>
      <c r="O928" s="1513" t="s">
        <v>11494</v>
      </c>
      <c r="P928" s="1517"/>
      <c r="Q928" s="1515" t="s">
        <v>11495</v>
      </c>
      <c r="R928" s="1515" t="s">
        <v>7242</v>
      </c>
      <c r="S928" s="1518"/>
      <c r="T928" s="1519"/>
      <c r="U928" s="1504"/>
      <c r="V928" s="1520"/>
      <c r="W928" s="1519"/>
      <c r="X928" s="1504"/>
      <c r="Y928" s="1520"/>
      <c r="Z928" s="1519"/>
      <c r="AA928" s="1504"/>
      <c r="AB928" s="1520"/>
      <c r="AC928" s="1519"/>
      <c r="AD928" s="1504"/>
      <c r="AE928" s="1520"/>
      <c r="AF928" s="1519"/>
      <c r="AG928" s="1504"/>
      <c r="AH928" s="1520"/>
      <c r="AI928" s="1503">
        <v>582513</v>
      </c>
      <c r="AJ928" s="1504">
        <v>0</v>
      </c>
      <c r="AK928" s="3919">
        <v>0</v>
      </c>
      <c r="AL928" s="1505">
        <f t="shared" si="285"/>
        <v>582513</v>
      </c>
      <c r="AM928" s="1508" t="s">
        <v>1061</v>
      </c>
      <c r="AN928" s="3401">
        <v>45390</v>
      </c>
      <c r="AO928" s="3402" t="s">
        <v>12208</v>
      </c>
      <c r="AP928" s="2905" t="s">
        <v>11479</v>
      </c>
      <c r="AQ928" s="2906">
        <v>1.1576249999999999</v>
      </c>
      <c r="AR928" s="1506"/>
      <c r="AS928" s="1507"/>
      <c r="AT928" s="1507"/>
      <c r="AU928" s="1507"/>
      <c r="AV928" s="1507"/>
      <c r="AW928" s="3247">
        <f t="shared" si="286"/>
        <v>582513</v>
      </c>
      <c r="AX928" s="3146"/>
      <c r="BB928" s="267"/>
      <c r="BC928" s="4117">
        <f t="shared" si="266"/>
        <v>0</v>
      </c>
      <c r="BD928" s="4117">
        <f t="shared" si="267"/>
        <v>0</v>
      </c>
      <c r="BE928" s="6155"/>
      <c r="BF928" s="6154"/>
    </row>
    <row r="929" spans="1:58" ht="89.25">
      <c r="A929" s="5981" t="s">
        <v>10984</v>
      </c>
      <c r="B929" s="1538" t="s">
        <v>12072</v>
      </c>
      <c r="C929" s="1509">
        <v>0</v>
      </c>
      <c r="D929" s="1510">
        <v>45106</v>
      </c>
      <c r="E929" s="4344" t="s">
        <v>10324</v>
      </c>
      <c r="F929" s="2497" t="s">
        <v>10101</v>
      </c>
      <c r="G929" s="5387">
        <v>1.1100000000000001</v>
      </c>
      <c r="H929" s="1513" t="s">
        <v>11463</v>
      </c>
      <c r="I929" s="1514" t="s">
        <v>11464</v>
      </c>
      <c r="J929" s="4345" t="s">
        <v>4306</v>
      </c>
      <c r="K929" s="1516">
        <v>45837</v>
      </c>
      <c r="L929" s="1514" t="s">
        <v>11466</v>
      </c>
      <c r="M929" s="1515" t="s">
        <v>11467</v>
      </c>
      <c r="N929" s="1514" t="s">
        <v>11470</v>
      </c>
      <c r="O929" s="1513" t="s">
        <v>11472</v>
      </c>
      <c r="P929" s="1517"/>
      <c r="Q929" s="6094" t="s">
        <v>9071</v>
      </c>
      <c r="R929" s="1515" t="s">
        <v>536</v>
      </c>
      <c r="S929" s="1518"/>
      <c r="T929" s="1519"/>
      <c r="U929" s="1504"/>
      <c r="V929" s="1520"/>
      <c r="W929" s="1519"/>
      <c r="X929" s="1504"/>
      <c r="Y929" s="1520"/>
      <c r="Z929" s="1519"/>
      <c r="AA929" s="1504"/>
      <c r="AB929" s="1520"/>
      <c r="AC929" s="1519"/>
      <c r="AD929" s="1504"/>
      <c r="AE929" s="1520"/>
      <c r="AF929" s="1519"/>
      <c r="AG929" s="1504"/>
      <c r="AH929" s="1520"/>
      <c r="AI929" s="1503">
        <v>5639</v>
      </c>
      <c r="AJ929" s="1504">
        <v>0</v>
      </c>
      <c r="AK929" s="3919">
        <v>0</v>
      </c>
      <c r="AL929" s="1505">
        <f t="shared" si="285"/>
        <v>5639</v>
      </c>
      <c r="AM929" s="1508" t="s">
        <v>1061</v>
      </c>
      <c r="AN929" s="3401">
        <v>45391</v>
      </c>
      <c r="AO929" s="3402" t="s">
        <v>12209</v>
      </c>
      <c r="AP929" s="2905" t="s">
        <v>11479</v>
      </c>
      <c r="AQ929" s="2906">
        <v>1.1576249999999999</v>
      </c>
      <c r="AR929" s="1506"/>
      <c r="AS929" s="1507"/>
      <c r="AT929" s="1507"/>
      <c r="AU929" s="1507"/>
      <c r="AV929" s="1507"/>
      <c r="AW929" s="3247">
        <f t="shared" si="286"/>
        <v>5881</v>
      </c>
      <c r="AX929" s="3146"/>
      <c r="BA929" s="267"/>
      <c r="BB929" s="267"/>
      <c r="BC929" s="4117">
        <f t="shared" si="266"/>
        <v>0</v>
      </c>
      <c r="BD929" s="4117">
        <f t="shared" si="267"/>
        <v>0</v>
      </c>
      <c r="BE929" s="6155"/>
      <c r="BF929" s="6154"/>
    </row>
    <row r="930" spans="1:58" ht="89.25">
      <c r="A930" s="5981" t="s">
        <v>10984</v>
      </c>
      <c r="B930" s="1538" t="s">
        <v>12263</v>
      </c>
      <c r="C930" s="1509">
        <v>0</v>
      </c>
      <c r="D930" s="1510">
        <v>45314</v>
      </c>
      <c r="E930" s="4344" t="s">
        <v>10324</v>
      </c>
      <c r="F930" s="2497" t="s">
        <v>11480</v>
      </c>
      <c r="G930" s="5387">
        <v>1.1576249999999999</v>
      </c>
      <c r="H930" s="1513" t="s">
        <v>12059</v>
      </c>
      <c r="I930" s="1514" t="s">
        <v>12060</v>
      </c>
      <c r="J930" s="4345" t="s">
        <v>4306</v>
      </c>
      <c r="K930" s="1516">
        <v>46002</v>
      </c>
      <c r="L930" s="1514" t="s">
        <v>12061</v>
      </c>
      <c r="M930" s="1515" t="s">
        <v>12064</v>
      </c>
      <c r="N930" s="1514" t="s">
        <v>12062</v>
      </c>
      <c r="O930" s="1513" t="s">
        <v>12063</v>
      </c>
      <c r="P930" s="1517"/>
      <c r="Q930" s="6094" t="s">
        <v>9071</v>
      </c>
      <c r="R930" s="1515" t="s">
        <v>536</v>
      </c>
      <c r="S930" s="1518"/>
      <c r="T930" s="1519"/>
      <c r="U930" s="1504"/>
      <c r="V930" s="1520"/>
      <c r="W930" s="1519"/>
      <c r="X930" s="1504"/>
      <c r="Y930" s="1520"/>
      <c r="Z930" s="1519"/>
      <c r="AA930" s="1504"/>
      <c r="AB930" s="1520"/>
      <c r="AC930" s="1519"/>
      <c r="AD930" s="1504"/>
      <c r="AE930" s="1520"/>
      <c r="AF930" s="1519"/>
      <c r="AG930" s="1504"/>
      <c r="AH930" s="1520"/>
      <c r="AI930" s="1503">
        <v>5881</v>
      </c>
      <c r="AJ930" s="1504">
        <v>0</v>
      </c>
      <c r="AK930" s="3919">
        <v>0</v>
      </c>
      <c r="AL930" s="1505">
        <f t="shared" ref="AL930:AL935" si="287">AI930-AJ930-AK930</f>
        <v>5881</v>
      </c>
      <c r="AM930" s="1508" t="s">
        <v>1061</v>
      </c>
      <c r="AN930" s="3401">
        <v>45398</v>
      </c>
      <c r="AO930" s="3402" t="s">
        <v>12264</v>
      </c>
      <c r="AP930" s="2905" t="s">
        <v>11479</v>
      </c>
      <c r="AQ930" s="2906">
        <v>1.1576249999999999</v>
      </c>
      <c r="AR930" s="1506"/>
      <c r="AS930" s="1507"/>
      <c r="AT930" s="1507"/>
      <c r="AU930" s="1507"/>
      <c r="AV930" s="1507"/>
      <c r="AW930" s="3247">
        <f t="shared" ref="AW930:AW935" si="288">ROUND(AL930*AQ930/G930,0)</f>
        <v>5881</v>
      </c>
      <c r="AX930" s="3146"/>
      <c r="BA930" s="267"/>
      <c r="BB930" s="267"/>
      <c r="BC930" s="4117">
        <f t="shared" si="266"/>
        <v>0</v>
      </c>
      <c r="BD930" s="4117">
        <f t="shared" si="267"/>
        <v>0</v>
      </c>
      <c r="BE930" s="6155"/>
      <c r="BF930" s="6154"/>
    </row>
    <row r="931" spans="1:58" ht="102.75" thickBot="1">
      <c r="A931" s="6482" t="s">
        <v>11038</v>
      </c>
      <c r="B931" s="6483" t="s">
        <v>12267</v>
      </c>
      <c r="C931" s="6484">
        <v>2</v>
      </c>
      <c r="D931" s="6485" t="s">
        <v>8341</v>
      </c>
      <c r="E931" s="6485" t="s">
        <v>8339</v>
      </c>
      <c r="F931" s="6486" t="s">
        <v>8340</v>
      </c>
      <c r="G931" s="6487">
        <v>1.0795220000000001</v>
      </c>
      <c r="H931" s="6488" t="s">
        <v>11074</v>
      </c>
      <c r="I931" s="6489" t="s">
        <v>1433</v>
      </c>
      <c r="J931" s="6490" t="s">
        <v>1434</v>
      </c>
      <c r="K931" s="6491" t="s">
        <v>12229</v>
      </c>
      <c r="L931" s="6489" t="s">
        <v>5105</v>
      </c>
      <c r="M931" s="6490" t="s">
        <v>5106</v>
      </c>
      <c r="N931" s="6489" t="s">
        <v>8343</v>
      </c>
      <c r="O931" s="6488" t="s">
        <v>8342</v>
      </c>
      <c r="P931" s="6492" t="s">
        <v>8344</v>
      </c>
      <c r="Q931" s="6493" t="s">
        <v>8346</v>
      </c>
      <c r="R931" s="6490" t="s">
        <v>8347</v>
      </c>
      <c r="S931" s="6494" t="s">
        <v>12268</v>
      </c>
      <c r="T931" s="6495">
        <v>595643</v>
      </c>
      <c r="U931" s="6496">
        <v>364589</v>
      </c>
      <c r="V931" s="6497">
        <f>T931-U931</f>
        <v>231054</v>
      </c>
      <c r="W931" s="6495">
        <v>296334</v>
      </c>
      <c r="X931" s="6496">
        <v>64339</v>
      </c>
      <c r="Y931" s="6497">
        <f>W931-X931</f>
        <v>231995</v>
      </c>
      <c r="Z931" s="6495">
        <v>116394</v>
      </c>
      <c r="AA931" s="6496">
        <v>61889</v>
      </c>
      <c r="AB931" s="6497">
        <f>Z931-AA931</f>
        <v>54505</v>
      </c>
      <c r="AC931" s="6495"/>
      <c r="AD931" s="6496"/>
      <c r="AE931" s="6497"/>
      <c r="AF931" s="6495"/>
      <c r="AG931" s="6496"/>
      <c r="AH931" s="6497"/>
      <c r="AI931" s="6498">
        <v>493332</v>
      </c>
      <c r="AJ931" s="6496">
        <v>493332</v>
      </c>
      <c r="AK931" s="6499">
        <v>0</v>
      </c>
      <c r="AL931" s="6500">
        <f t="shared" si="287"/>
        <v>0</v>
      </c>
      <c r="AM931" s="6501"/>
      <c r="AN931" s="6502"/>
      <c r="AO931" s="6484"/>
      <c r="AP931" s="6503" t="s">
        <v>11479</v>
      </c>
      <c r="AQ931" s="6504">
        <v>1.1576249999999999</v>
      </c>
      <c r="AR931" s="6505">
        <v>0</v>
      </c>
      <c r="AS931" s="6506">
        <v>0</v>
      </c>
      <c r="AT931" s="6506">
        <v>0</v>
      </c>
      <c r="AU931" s="6506">
        <v>0</v>
      </c>
      <c r="AV931" s="6506">
        <v>0</v>
      </c>
      <c r="AW931" s="6507">
        <f t="shared" si="288"/>
        <v>0</v>
      </c>
      <c r="AX931" s="6508"/>
      <c r="AY931" s="4029" t="s">
        <v>12206</v>
      </c>
      <c r="AZ931" s="3888">
        <f>SUM(AW927:AW931)</f>
        <v>602610</v>
      </c>
      <c r="BA931" s="2119">
        <f>AZ931</f>
        <v>602610</v>
      </c>
      <c r="BB931" s="267"/>
      <c r="BC931" s="4117">
        <f t="shared" si="266"/>
        <v>529024</v>
      </c>
      <c r="BD931" s="4117">
        <f t="shared" si="267"/>
        <v>0</v>
      </c>
      <c r="BE931" s="6155"/>
      <c r="BF931" s="6154"/>
    </row>
    <row r="932" spans="1:58" ht="89.25">
      <c r="A932" s="2418" t="s">
        <v>10984</v>
      </c>
      <c r="B932" s="338" t="s">
        <v>11356</v>
      </c>
      <c r="C932" s="321">
        <v>0</v>
      </c>
      <c r="D932" s="323">
        <v>45265</v>
      </c>
      <c r="E932" s="3058" t="s">
        <v>10324</v>
      </c>
      <c r="F932" s="830" t="s">
        <v>11480</v>
      </c>
      <c r="G932" s="5356">
        <v>1.1576249999999999</v>
      </c>
      <c r="H932" s="332" t="s">
        <v>11930</v>
      </c>
      <c r="I932" s="339" t="s">
        <v>11925</v>
      </c>
      <c r="J932" s="2399" t="s">
        <v>4306</v>
      </c>
      <c r="K932" s="340">
        <v>45968</v>
      </c>
      <c r="L932" s="339" t="s">
        <v>11922</v>
      </c>
      <c r="M932" s="322" t="s">
        <v>6094</v>
      </c>
      <c r="N932" s="339" t="s">
        <v>11923</v>
      </c>
      <c r="O932" s="332" t="s">
        <v>11924</v>
      </c>
      <c r="P932" s="345"/>
      <c r="Q932" s="6094" t="s">
        <v>9071</v>
      </c>
      <c r="R932" s="322" t="s">
        <v>536</v>
      </c>
      <c r="S932" s="346"/>
      <c r="T932" s="347"/>
      <c r="U932" s="326"/>
      <c r="V932" s="348"/>
      <c r="W932" s="347"/>
      <c r="X932" s="326"/>
      <c r="Y932" s="348"/>
      <c r="Z932" s="347"/>
      <c r="AA932" s="326"/>
      <c r="AB932" s="348"/>
      <c r="AC932" s="820"/>
      <c r="AD932" s="821"/>
      <c r="AE932" s="822"/>
      <c r="AF932" s="820"/>
      <c r="AG932" s="821"/>
      <c r="AH932" s="822"/>
      <c r="AI932" s="482">
        <v>5881</v>
      </c>
      <c r="AJ932" s="326">
        <v>0</v>
      </c>
      <c r="AK932" s="3917">
        <v>0</v>
      </c>
      <c r="AL932" s="349">
        <f t="shared" si="287"/>
        <v>5881</v>
      </c>
      <c r="AM932" s="2002" t="s">
        <v>1061</v>
      </c>
      <c r="AN932" s="3357">
        <v>45422</v>
      </c>
      <c r="AO932" s="695" t="s">
        <v>12296</v>
      </c>
      <c r="AP932" s="3362" t="s">
        <v>11479</v>
      </c>
      <c r="AQ932" s="3555">
        <v>1.1576249999999999</v>
      </c>
      <c r="AR932" s="333"/>
      <c r="AS932" s="330"/>
      <c r="AT932" s="330"/>
      <c r="AU932" s="849"/>
      <c r="AV932" s="849"/>
      <c r="AW932" s="3156">
        <f t="shared" si="288"/>
        <v>5881</v>
      </c>
      <c r="AX932" s="3140"/>
      <c r="BA932" s="267"/>
      <c r="BB932" s="267"/>
      <c r="BC932" s="4117">
        <f t="shared" si="266"/>
        <v>0</v>
      </c>
      <c r="BD932" s="4117">
        <f t="shared" si="267"/>
        <v>0</v>
      </c>
      <c r="BE932" s="6155"/>
      <c r="BF932" s="6154"/>
    </row>
    <row r="933" spans="1:58" ht="89.25">
      <c r="A933" s="2418" t="s">
        <v>11006</v>
      </c>
      <c r="B933" s="338" t="s">
        <v>9259</v>
      </c>
      <c r="C933" s="321">
        <v>0</v>
      </c>
      <c r="D933" s="323">
        <v>44684</v>
      </c>
      <c r="E933" s="3058" t="s">
        <v>9156</v>
      </c>
      <c r="F933" s="830" t="s">
        <v>9005</v>
      </c>
      <c r="G933" s="5356">
        <v>1.0956269999999999</v>
      </c>
      <c r="H933" s="332" t="s">
        <v>9884</v>
      </c>
      <c r="I933" s="339" t="s">
        <v>1433</v>
      </c>
      <c r="J933" s="322" t="s">
        <v>1434</v>
      </c>
      <c r="K933" s="340">
        <v>46869</v>
      </c>
      <c r="L933" s="339" t="s">
        <v>9885</v>
      </c>
      <c r="M933" s="322" t="s">
        <v>9886</v>
      </c>
      <c r="N933" s="339" t="s">
        <v>9888</v>
      </c>
      <c r="O933" s="332" t="s">
        <v>9887</v>
      </c>
      <c r="P933" s="345"/>
      <c r="Q933" s="322" t="s">
        <v>9890</v>
      </c>
      <c r="R933" s="322" t="s">
        <v>9889</v>
      </c>
      <c r="S933" s="346"/>
      <c r="T933" s="347"/>
      <c r="U933" s="326"/>
      <c r="V933" s="348"/>
      <c r="W933" s="347"/>
      <c r="X933" s="326"/>
      <c r="Y933" s="348"/>
      <c r="Z933" s="347"/>
      <c r="AA933" s="326"/>
      <c r="AB933" s="348"/>
      <c r="AC933" s="820"/>
      <c r="AD933" s="821"/>
      <c r="AE933" s="822"/>
      <c r="AF933" s="820"/>
      <c r="AG933" s="821"/>
      <c r="AH933" s="822"/>
      <c r="AI933" s="482">
        <v>104345</v>
      </c>
      <c r="AJ933" s="326">
        <v>0</v>
      </c>
      <c r="AK933" s="3917">
        <v>0</v>
      </c>
      <c r="AL933" s="349">
        <f t="shared" si="287"/>
        <v>104345</v>
      </c>
      <c r="AM933" s="2002" t="s">
        <v>1061</v>
      </c>
      <c r="AN933" s="3357">
        <v>45425</v>
      </c>
      <c r="AO933" s="695" t="s">
        <v>12297</v>
      </c>
      <c r="AP933" s="3362" t="str">
        <f>'2) AICN (Issued)'!AP$2</f>
        <v>Planning Reg 2023-2024</v>
      </c>
      <c r="AQ933" s="3555">
        <f>'2) AICN (Issued)'!AQ$2</f>
        <v>1.1576249999999999</v>
      </c>
      <c r="AR933" s="333"/>
      <c r="AS933" s="330"/>
      <c r="AT933" s="330"/>
      <c r="AU933" s="849"/>
      <c r="AV933" s="849"/>
      <c r="AW933" s="3156">
        <f t="shared" si="288"/>
        <v>110250</v>
      </c>
      <c r="AX933" s="3140"/>
      <c r="BA933" s="267"/>
      <c r="BB933" s="267"/>
      <c r="BC933" s="4117">
        <f t="shared" si="266"/>
        <v>0</v>
      </c>
      <c r="BD933" s="4117">
        <f t="shared" si="267"/>
        <v>0</v>
      </c>
      <c r="BE933" s="6155"/>
      <c r="BF933" s="6154"/>
    </row>
    <row r="934" spans="1:58" ht="76.5">
      <c r="A934" s="2418" t="s">
        <v>10984</v>
      </c>
      <c r="B934" s="338" t="s">
        <v>11946</v>
      </c>
      <c r="C934" s="321">
        <v>0</v>
      </c>
      <c r="D934" s="323">
        <v>45330</v>
      </c>
      <c r="E934" s="3058" t="s">
        <v>10324</v>
      </c>
      <c r="F934" s="830" t="s">
        <v>11480</v>
      </c>
      <c r="G934" s="5356">
        <v>1.1576249999999999</v>
      </c>
      <c r="H934" s="332" t="s">
        <v>12125</v>
      </c>
      <c r="I934" s="339" t="s">
        <v>5753</v>
      </c>
      <c r="J934" s="322" t="s">
        <v>2712</v>
      </c>
      <c r="K934" s="340">
        <v>46798</v>
      </c>
      <c r="L934" s="339" t="s">
        <v>12126</v>
      </c>
      <c r="M934" s="322" t="s">
        <v>9660</v>
      </c>
      <c r="N934" s="339" t="s">
        <v>12127</v>
      </c>
      <c r="O934" s="332" t="s">
        <v>12128</v>
      </c>
      <c r="P934" s="345"/>
      <c r="Q934" s="322" t="s">
        <v>12129</v>
      </c>
      <c r="R934" s="322" t="s">
        <v>12130</v>
      </c>
      <c r="S934" s="346"/>
      <c r="T934" s="347"/>
      <c r="U934" s="326"/>
      <c r="V934" s="348"/>
      <c r="W934" s="347"/>
      <c r="X934" s="326"/>
      <c r="Y934" s="348"/>
      <c r="Z934" s="347"/>
      <c r="AA934" s="326"/>
      <c r="AB934" s="348"/>
      <c r="AC934" s="820"/>
      <c r="AD934" s="821"/>
      <c r="AE934" s="822"/>
      <c r="AF934" s="820"/>
      <c r="AG934" s="821"/>
      <c r="AH934" s="822"/>
      <c r="AI934" s="482">
        <v>5557</v>
      </c>
      <c r="AJ934" s="326">
        <v>0</v>
      </c>
      <c r="AK934" s="3917">
        <v>0</v>
      </c>
      <c r="AL934" s="349">
        <f t="shared" si="287"/>
        <v>5557</v>
      </c>
      <c r="AM934" s="2002" t="s">
        <v>1061</v>
      </c>
      <c r="AN934" s="3357">
        <v>45426</v>
      </c>
      <c r="AO934" s="695" t="s">
        <v>12304</v>
      </c>
      <c r="AP934" s="3362" t="s">
        <v>11479</v>
      </c>
      <c r="AQ934" s="3555">
        <v>1.1576249999999999</v>
      </c>
      <c r="AR934" s="333"/>
      <c r="AS934" s="330"/>
      <c r="AT934" s="330"/>
      <c r="AU934" s="849"/>
      <c r="AV934" s="849"/>
      <c r="AW934" s="3156">
        <f t="shared" si="288"/>
        <v>5557</v>
      </c>
      <c r="AX934" s="3140"/>
      <c r="BA934" s="267"/>
      <c r="BB934" s="267"/>
      <c r="BC934" s="4117">
        <f t="shared" si="266"/>
        <v>0</v>
      </c>
      <c r="BD934" s="4117">
        <f t="shared" si="267"/>
        <v>0</v>
      </c>
      <c r="BE934" s="6155"/>
      <c r="BF934" s="6154"/>
    </row>
    <row r="935" spans="1:58" ht="76.5">
      <c r="A935" s="2418" t="s">
        <v>10984</v>
      </c>
      <c r="B935" s="338" t="s">
        <v>10564</v>
      </c>
      <c r="C935" s="321">
        <v>0</v>
      </c>
      <c r="D935" s="323">
        <v>45121</v>
      </c>
      <c r="E935" s="3058" t="s">
        <v>10324</v>
      </c>
      <c r="F935" s="830" t="s">
        <v>11480</v>
      </c>
      <c r="G935" s="5356">
        <v>1.1576249999999999</v>
      </c>
      <c r="H935" s="332" t="s">
        <v>11519</v>
      </c>
      <c r="I935" s="339" t="s">
        <v>9560</v>
      </c>
      <c r="J935" s="2399" t="s">
        <v>4306</v>
      </c>
      <c r="K935" s="340">
        <v>45845</v>
      </c>
      <c r="L935" s="339" t="s">
        <v>11521</v>
      </c>
      <c r="M935" s="322" t="s">
        <v>11522</v>
      </c>
      <c r="N935" s="339" t="s">
        <v>11524</v>
      </c>
      <c r="O935" s="332" t="s">
        <v>11523</v>
      </c>
      <c r="P935" s="345"/>
      <c r="Q935" s="6094" t="s">
        <v>9071</v>
      </c>
      <c r="R935" s="322" t="s">
        <v>536</v>
      </c>
      <c r="S935" s="346"/>
      <c r="T935" s="347"/>
      <c r="U935" s="326"/>
      <c r="V935" s="348"/>
      <c r="W935" s="347"/>
      <c r="X935" s="326"/>
      <c r="Y935" s="348"/>
      <c r="Z935" s="347"/>
      <c r="AA935" s="326"/>
      <c r="AB935" s="348"/>
      <c r="AC935" s="820"/>
      <c r="AD935" s="821"/>
      <c r="AE935" s="822"/>
      <c r="AF935" s="820"/>
      <c r="AG935" s="821"/>
      <c r="AH935" s="822"/>
      <c r="AI935" s="482">
        <v>5881</v>
      </c>
      <c r="AJ935" s="326">
        <v>0</v>
      </c>
      <c r="AK935" s="3917">
        <v>0</v>
      </c>
      <c r="AL935" s="349">
        <f t="shared" si="287"/>
        <v>5881</v>
      </c>
      <c r="AM935" s="2002" t="s">
        <v>1061</v>
      </c>
      <c r="AN935" s="3357">
        <v>45426</v>
      </c>
      <c r="AO935" s="6538" t="s">
        <v>12307</v>
      </c>
      <c r="AP935" s="3362" t="s">
        <v>11479</v>
      </c>
      <c r="AQ935" s="3555">
        <v>1.1576249999999999</v>
      </c>
      <c r="AR935" s="333"/>
      <c r="AS935" s="330"/>
      <c r="AT935" s="330"/>
      <c r="AU935" s="849"/>
      <c r="AV935" s="849"/>
      <c r="AW935" s="3156">
        <f t="shared" si="288"/>
        <v>5881</v>
      </c>
      <c r="AX935" s="3140"/>
      <c r="BA935" s="267"/>
      <c r="BB935" s="267"/>
      <c r="BC935" s="4117">
        <f t="shared" si="266"/>
        <v>0</v>
      </c>
      <c r="BD935" s="4117">
        <f t="shared" si="267"/>
        <v>0</v>
      </c>
      <c r="BE935" s="6155"/>
      <c r="BF935" s="6154"/>
    </row>
    <row r="936" spans="1:58" ht="76.5">
      <c r="A936" s="2418" t="s">
        <v>11030</v>
      </c>
      <c r="B936" s="338" t="s">
        <v>12169</v>
      </c>
      <c r="C936" s="321">
        <v>0</v>
      </c>
      <c r="D936" s="323">
        <v>44910</v>
      </c>
      <c r="E936" s="3058" t="s">
        <v>10324</v>
      </c>
      <c r="F936" s="830" t="s">
        <v>10101</v>
      </c>
      <c r="G936" s="5356">
        <v>1.1100000000000001</v>
      </c>
      <c r="H936" s="332" t="s">
        <v>11099</v>
      </c>
      <c r="I936" s="339" t="s">
        <v>1433</v>
      </c>
      <c r="J936" s="322" t="s">
        <v>1434</v>
      </c>
      <c r="K936" s="340">
        <v>47101</v>
      </c>
      <c r="L936" s="339" t="s">
        <v>10648</v>
      </c>
      <c r="M936" s="322" t="s">
        <v>4012</v>
      </c>
      <c r="N936" s="339" t="s">
        <v>10649</v>
      </c>
      <c r="O936" s="332" t="s">
        <v>10650</v>
      </c>
      <c r="P936" s="345"/>
      <c r="Q936" s="322" t="s">
        <v>10652</v>
      </c>
      <c r="R936" s="322" t="s">
        <v>10651</v>
      </c>
      <c r="S936" s="346"/>
      <c r="T936" s="347"/>
      <c r="U936" s="326"/>
      <c r="V936" s="348"/>
      <c r="W936" s="347"/>
      <c r="X936" s="326"/>
      <c r="Y936" s="348"/>
      <c r="Z936" s="347"/>
      <c r="AA936" s="326"/>
      <c r="AB936" s="348"/>
      <c r="AC936" s="820"/>
      <c r="AD936" s="821"/>
      <c r="AE936" s="822"/>
      <c r="AF936" s="820"/>
      <c r="AG936" s="821"/>
      <c r="AH936" s="822"/>
      <c r="AI936" s="482">
        <v>43249</v>
      </c>
      <c r="AJ936" s="326">
        <v>0</v>
      </c>
      <c r="AK936" s="3917">
        <v>0</v>
      </c>
      <c r="AL936" s="349">
        <f>AI936-AJ936-AK936</f>
        <v>43249</v>
      </c>
      <c r="AM936" s="2002" t="s">
        <v>1061</v>
      </c>
      <c r="AN936" s="3357">
        <v>45426</v>
      </c>
      <c r="AO936" s="6538" t="s">
        <v>12323</v>
      </c>
      <c r="AP936" s="3362" t="s">
        <v>11479</v>
      </c>
      <c r="AQ936" s="3555">
        <v>1.1576249999999999</v>
      </c>
      <c r="AR936" s="333"/>
      <c r="AS936" s="330"/>
      <c r="AT936" s="330"/>
      <c r="AU936" s="849"/>
      <c r="AV936" s="849"/>
      <c r="AW936" s="3156">
        <f>ROUND(AL936*AQ936/G936,0)</f>
        <v>45105</v>
      </c>
      <c r="AX936" s="3140"/>
      <c r="BA936" s="267"/>
      <c r="BB936" s="267"/>
      <c r="BC936" s="4117">
        <f t="shared" si="266"/>
        <v>0</v>
      </c>
      <c r="BD936" s="4117">
        <f t="shared" si="267"/>
        <v>0</v>
      </c>
      <c r="BE936" s="6155"/>
      <c r="BF936" s="6154"/>
    </row>
    <row r="937" spans="1:58" ht="114.75">
      <c r="A937" s="6509" t="s">
        <v>11005</v>
      </c>
      <c r="B937" s="6193" t="s">
        <v>12298</v>
      </c>
      <c r="C937" s="6510">
        <v>0</v>
      </c>
      <c r="D937" s="6194" t="s">
        <v>11023</v>
      </c>
      <c r="E937" s="6194" t="s">
        <v>6386</v>
      </c>
      <c r="F937" s="6196" t="s">
        <v>11024</v>
      </c>
      <c r="G937" s="6511">
        <v>1.1100000000000001</v>
      </c>
      <c r="H937" s="6512" t="s">
        <v>6177</v>
      </c>
      <c r="I937" s="6198" t="s">
        <v>1433</v>
      </c>
      <c r="J937" s="6199" t="s">
        <v>1434</v>
      </c>
      <c r="K937" s="6513">
        <v>45695</v>
      </c>
      <c r="L937" s="6198" t="s">
        <v>6178</v>
      </c>
      <c r="M937" s="6199" t="s">
        <v>6179</v>
      </c>
      <c r="N937" s="6198" t="s">
        <v>6180</v>
      </c>
      <c r="O937" s="6512" t="s">
        <v>6181</v>
      </c>
      <c r="P937" s="6200" t="s">
        <v>12306</v>
      </c>
      <c r="Q937" s="6199" t="s">
        <v>6182</v>
      </c>
      <c r="R937" s="6199" t="s">
        <v>6183</v>
      </c>
      <c r="S937" s="6514"/>
      <c r="T937" s="6202">
        <v>14755</v>
      </c>
      <c r="U937" s="6203">
        <v>0</v>
      </c>
      <c r="V937" s="6515">
        <f>T937-U937</f>
        <v>14755</v>
      </c>
      <c r="W937" s="6202">
        <v>18445</v>
      </c>
      <c r="X937" s="6203">
        <v>0</v>
      </c>
      <c r="Y937" s="6515">
        <f>W937-X937</f>
        <v>18445</v>
      </c>
      <c r="Z937" s="6202">
        <v>0</v>
      </c>
      <c r="AA937" s="6203">
        <v>0</v>
      </c>
      <c r="AB937" s="6515">
        <f>Z937-AA937</f>
        <v>0</v>
      </c>
      <c r="AC937" s="6202"/>
      <c r="AD937" s="6203"/>
      <c r="AE937" s="6515"/>
      <c r="AF937" s="6202"/>
      <c r="AG937" s="6203"/>
      <c r="AH937" s="6515"/>
      <c r="AI937" s="6208">
        <v>21690</v>
      </c>
      <c r="AJ937" s="6203">
        <f>U937+X937+AA937+AD937+AG937</f>
        <v>0</v>
      </c>
      <c r="AK937" s="6516">
        <v>0</v>
      </c>
      <c r="AL937" s="6517">
        <f t="shared" ref="AL937:AL938" si="289">AI937-AJ937-AK937</f>
        <v>21690</v>
      </c>
      <c r="AM937" s="6518" t="s">
        <v>12299</v>
      </c>
      <c r="AN937" s="6519">
        <v>45426</v>
      </c>
      <c r="AO937" s="6539" t="s">
        <v>12324</v>
      </c>
      <c r="AP937" s="6520" t="s">
        <v>12300</v>
      </c>
      <c r="AQ937" s="6521">
        <v>1.1100000000000001</v>
      </c>
      <c r="AR937" s="6522">
        <v>0</v>
      </c>
      <c r="AS937" s="6523">
        <v>0</v>
      </c>
      <c r="AT937" s="6523">
        <v>0</v>
      </c>
      <c r="AU937" s="6523">
        <v>0</v>
      </c>
      <c r="AV937" s="6523">
        <v>0</v>
      </c>
      <c r="AW937" s="6524">
        <v>20089</v>
      </c>
      <c r="AX937" s="5709"/>
      <c r="BA937" s="267"/>
      <c r="BB937" s="267"/>
      <c r="BC937" s="4117">
        <f t="shared" si="266"/>
        <v>0</v>
      </c>
      <c r="BD937" s="4117">
        <f t="shared" si="267"/>
        <v>0</v>
      </c>
      <c r="BE937" s="6155"/>
      <c r="BF937" s="6154"/>
    </row>
    <row r="938" spans="1:58" ht="102">
      <c r="A938" s="6509" t="s">
        <v>10984</v>
      </c>
      <c r="B938" s="6193" t="s">
        <v>12301</v>
      </c>
      <c r="C938" s="6525">
        <v>0</v>
      </c>
      <c r="D938" s="6526">
        <v>43909</v>
      </c>
      <c r="E938" s="6527" t="s">
        <v>7151</v>
      </c>
      <c r="F938" s="6528" t="s">
        <v>6893</v>
      </c>
      <c r="G938" s="6529">
        <v>1.047839</v>
      </c>
      <c r="H938" s="6530" t="s">
        <v>7716</v>
      </c>
      <c r="I938" s="6198" t="s">
        <v>1433</v>
      </c>
      <c r="J938" s="6531" t="s">
        <v>1434</v>
      </c>
      <c r="K938" s="6532" t="s">
        <v>7715</v>
      </c>
      <c r="L938" s="6198" t="s">
        <v>5885</v>
      </c>
      <c r="M938" s="6531" t="s">
        <v>1957</v>
      </c>
      <c r="N938" s="6198" t="s">
        <v>5886</v>
      </c>
      <c r="O938" s="6530" t="s">
        <v>7717</v>
      </c>
      <c r="P938" s="6200" t="s">
        <v>12305</v>
      </c>
      <c r="Q938" s="6531" t="s">
        <v>12302</v>
      </c>
      <c r="R938" s="6531" t="s">
        <v>7718</v>
      </c>
      <c r="S938" s="6533"/>
      <c r="T938" s="6202"/>
      <c r="U938" s="6534"/>
      <c r="V938" s="6535"/>
      <c r="W938" s="6202"/>
      <c r="X938" s="6534"/>
      <c r="Y938" s="6535"/>
      <c r="Z938" s="6202"/>
      <c r="AA938" s="6534"/>
      <c r="AB938" s="6535"/>
      <c r="AC938" s="6202"/>
      <c r="AD938" s="6534"/>
      <c r="AE938" s="6535"/>
      <c r="AF938" s="6202"/>
      <c r="AG938" s="6534"/>
      <c r="AH938" s="6535"/>
      <c r="AI938" s="6208">
        <v>7150</v>
      </c>
      <c r="AJ938" s="6534">
        <v>0</v>
      </c>
      <c r="AK938" s="6516">
        <v>0</v>
      </c>
      <c r="AL938" s="6517">
        <f t="shared" si="289"/>
        <v>7150</v>
      </c>
      <c r="AM938" s="6518" t="s">
        <v>12299</v>
      </c>
      <c r="AN938" s="6519">
        <v>45426</v>
      </c>
      <c r="AO938" s="6539" t="s">
        <v>12325</v>
      </c>
      <c r="AP938" s="3696" t="s">
        <v>12303</v>
      </c>
      <c r="AQ938" s="3697">
        <v>1.1576249999999999</v>
      </c>
      <c r="AR938" s="6536"/>
      <c r="AS938" s="6537"/>
      <c r="AT938" s="6537"/>
      <c r="AU938" s="6537"/>
      <c r="AV938" s="6537"/>
      <c r="AW938" s="6524">
        <v>8750</v>
      </c>
      <c r="AX938" s="5709"/>
      <c r="BA938" s="267"/>
      <c r="BB938" s="267"/>
      <c r="BC938" s="4117">
        <f t="shared" si="266"/>
        <v>0</v>
      </c>
      <c r="BD938" s="4117">
        <f t="shared" si="267"/>
        <v>0</v>
      </c>
      <c r="BE938" s="6155"/>
      <c r="BF938" s="6154"/>
    </row>
    <row r="939" spans="1:58" ht="89.25">
      <c r="A939" s="2418" t="s">
        <v>4276</v>
      </c>
      <c r="B939" s="338" t="s">
        <v>11984</v>
      </c>
      <c r="C939" s="321">
        <v>0</v>
      </c>
      <c r="D939" s="323">
        <v>45428</v>
      </c>
      <c r="E939" s="3058" t="s">
        <v>10324</v>
      </c>
      <c r="F939" s="830" t="s">
        <v>11480</v>
      </c>
      <c r="G939" s="5356">
        <v>1.1576249999999999</v>
      </c>
      <c r="H939" s="332" t="s">
        <v>12318</v>
      </c>
      <c r="I939" s="339" t="s">
        <v>12319</v>
      </c>
      <c r="J939" s="2399" t="s">
        <v>4306</v>
      </c>
      <c r="K939" s="340">
        <v>46079</v>
      </c>
      <c r="L939" s="339" t="s">
        <v>12320</v>
      </c>
      <c r="M939" s="322" t="s">
        <v>12321</v>
      </c>
      <c r="N939" s="339" t="s">
        <v>12322</v>
      </c>
      <c r="O939" s="322" t="s">
        <v>12321</v>
      </c>
      <c r="P939" s="345"/>
      <c r="Q939" s="6094" t="s">
        <v>9071</v>
      </c>
      <c r="R939" s="322" t="s">
        <v>9071</v>
      </c>
      <c r="S939" s="346"/>
      <c r="T939" s="347"/>
      <c r="U939" s="326"/>
      <c r="V939" s="348"/>
      <c r="W939" s="347"/>
      <c r="X939" s="326"/>
      <c r="Y939" s="348"/>
      <c r="Z939" s="347"/>
      <c r="AA939" s="326"/>
      <c r="AB939" s="348"/>
      <c r="AC939" s="820"/>
      <c r="AD939" s="821"/>
      <c r="AE939" s="822"/>
      <c r="AF939" s="820"/>
      <c r="AG939" s="821"/>
      <c r="AH939" s="822"/>
      <c r="AI939" s="482">
        <v>0</v>
      </c>
      <c r="AJ939" s="326">
        <v>0</v>
      </c>
      <c r="AK939" s="3917">
        <v>0</v>
      </c>
      <c r="AL939" s="349">
        <f t="shared" ref="AL939:AL944" si="290">AI939-AJ939-AK939</f>
        <v>0</v>
      </c>
      <c r="AM939" s="2002" t="s">
        <v>11686</v>
      </c>
      <c r="AN939" s="3357" t="s">
        <v>2140</v>
      </c>
      <c r="AO939" s="695" t="s">
        <v>2140</v>
      </c>
      <c r="AP939" s="3362" t="s">
        <v>11479</v>
      </c>
      <c r="AQ939" s="3555">
        <v>1.1576249999999999</v>
      </c>
      <c r="AR939" s="333"/>
      <c r="AS939" s="330"/>
      <c r="AT939" s="330"/>
      <c r="AU939" s="849"/>
      <c r="AV939" s="849"/>
      <c r="AW939" s="3156">
        <f t="shared" ref="AW939:AW944" si="291">ROUND(AL939*AQ939/G939,0)</f>
        <v>0</v>
      </c>
      <c r="AX939" s="3140"/>
      <c r="BA939" s="267"/>
      <c r="BB939" s="267"/>
      <c r="BC939" s="4117">
        <f t="shared" si="266"/>
        <v>0</v>
      </c>
      <c r="BD939" s="4117">
        <f t="shared" si="267"/>
        <v>0</v>
      </c>
      <c r="BE939" s="6155"/>
      <c r="BF939" s="6154"/>
    </row>
    <row r="940" spans="1:58" ht="76.5">
      <c r="A940" s="2418" t="s">
        <v>4276</v>
      </c>
      <c r="B940" s="338" t="s">
        <v>11958</v>
      </c>
      <c r="C940" s="321">
        <v>0</v>
      </c>
      <c r="D940" s="323">
        <v>45397</v>
      </c>
      <c r="E940" s="3058" t="s">
        <v>10324</v>
      </c>
      <c r="F940" s="830" t="s">
        <v>11480</v>
      </c>
      <c r="G940" s="5356">
        <v>1.1576249999999999</v>
      </c>
      <c r="H940" s="332" t="s">
        <v>12255</v>
      </c>
      <c r="I940" s="339" t="s">
        <v>1433</v>
      </c>
      <c r="J940" s="322" t="s">
        <v>1434</v>
      </c>
      <c r="K940" s="340">
        <v>47585</v>
      </c>
      <c r="L940" s="339" t="s">
        <v>12256</v>
      </c>
      <c r="M940" s="322" t="s">
        <v>12257</v>
      </c>
      <c r="N940" s="339" t="s">
        <v>12258</v>
      </c>
      <c r="O940" s="332" t="s">
        <v>12259</v>
      </c>
      <c r="P940" s="345"/>
      <c r="Q940" s="322" t="s">
        <v>12260</v>
      </c>
      <c r="R940" s="322" t="s">
        <v>12261</v>
      </c>
      <c r="S940" s="346"/>
      <c r="T940" s="347"/>
      <c r="U940" s="326"/>
      <c r="V940" s="348"/>
      <c r="W940" s="347"/>
      <c r="X940" s="326"/>
      <c r="Y940" s="348"/>
      <c r="Z940" s="347"/>
      <c r="AA940" s="326"/>
      <c r="AB940" s="348"/>
      <c r="AC940" s="820"/>
      <c r="AD940" s="821"/>
      <c r="AE940" s="822"/>
      <c r="AF940" s="820"/>
      <c r="AG940" s="821"/>
      <c r="AH940" s="822"/>
      <c r="AI940" s="482">
        <v>2445</v>
      </c>
      <c r="AJ940" s="326">
        <v>0</v>
      </c>
      <c r="AK940" s="3917">
        <v>0</v>
      </c>
      <c r="AL940" s="349">
        <f t="shared" si="290"/>
        <v>2445</v>
      </c>
      <c r="AM940" s="2002" t="s">
        <v>1061</v>
      </c>
      <c r="AN940" s="3357">
        <v>45432</v>
      </c>
      <c r="AO940" s="695" t="s">
        <v>12326</v>
      </c>
      <c r="AP940" s="3362" t="s">
        <v>11479</v>
      </c>
      <c r="AQ940" s="3555">
        <v>1.1576249999999999</v>
      </c>
      <c r="AR940" s="333"/>
      <c r="AS940" s="330"/>
      <c r="AT940" s="330"/>
      <c r="AU940" s="849"/>
      <c r="AV940" s="849"/>
      <c r="AW940" s="3156">
        <f t="shared" si="291"/>
        <v>2445</v>
      </c>
      <c r="AX940" s="3140"/>
      <c r="BA940" s="267"/>
      <c r="BB940" s="267"/>
      <c r="BC940" s="4117">
        <f t="shared" si="266"/>
        <v>0</v>
      </c>
      <c r="BD940" s="4117">
        <f t="shared" si="267"/>
        <v>0</v>
      </c>
      <c r="BE940" s="6155"/>
      <c r="BF940" s="6154"/>
    </row>
    <row r="941" spans="1:58" ht="89.25">
      <c r="A941" s="2418" t="s">
        <v>10984</v>
      </c>
      <c r="B941" s="338" t="s">
        <v>11357</v>
      </c>
      <c r="C941" s="321">
        <v>0</v>
      </c>
      <c r="D941" s="323">
        <v>45265</v>
      </c>
      <c r="E941" s="3058" t="s">
        <v>10324</v>
      </c>
      <c r="F941" s="830" t="s">
        <v>11480</v>
      </c>
      <c r="G941" s="5356">
        <v>1.1576249999999999</v>
      </c>
      <c r="H941" s="332" t="s">
        <v>11931</v>
      </c>
      <c r="I941" s="339" t="s">
        <v>12005</v>
      </c>
      <c r="J941" s="2399" t="s">
        <v>4306</v>
      </c>
      <c r="K941" s="340">
        <v>45974</v>
      </c>
      <c r="L941" s="339" t="s">
        <v>11926</v>
      </c>
      <c r="M941" s="322" t="s">
        <v>11927</v>
      </c>
      <c r="N941" s="339" t="s">
        <v>11928</v>
      </c>
      <c r="O941" s="332" t="s">
        <v>11929</v>
      </c>
      <c r="P941" s="345"/>
      <c r="Q941" s="6094" t="s">
        <v>9071</v>
      </c>
      <c r="R941" s="322" t="s">
        <v>536</v>
      </c>
      <c r="S941" s="346"/>
      <c r="T941" s="347"/>
      <c r="U941" s="326"/>
      <c r="V941" s="348"/>
      <c r="W941" s="347"/>
      <c r="X941" s="326"/>
      <c r="Y941" s="348"/>
      <c r="Z941" s="347"/>
      <c r="AA941" s="326"/>
      <c r="AB941" s="348"/>
      <c r="AC941" s="820"/>
      <c r="AD941" s="821"/>
      <c r="AE941" s="822"/>
      <c r="AF941" s="820"/>
      <c r="AG941" s="821"/>
      <c r="AH941" s="822"/>
      <c r="AI941" s="482">
        <v>6903</v>
      </c>
      <c r="AJ941" s="326">
        <v>0</v>
      </c>
      <c r="AK941" s="3917">
        <v>0</v>
      </c>
      <c r="AL941" s="349">
        <f t="shared" si="290"/>
        <v>6903</v>
      </c>
      <c r="AM941" s="2002" t="s">
        <v>1061</v>
      </c>
      <c r="AN941" s="3357">
        <v>45436</v>
      </c>
      <c r="AO941" s="695" t="s">
        <v>12346</v>
      </c>
      <c r="AP941" s="3362" t="s">
        <v>11479</v>
      </c>
      <c r="AQ941" s="3555">
        <v>1.1576249999999999</v>
      </c>
      <c r="AR941" s="333"/>
      <c r="AS941" s="330"/>
      <c r="AT941" s="330"/>
      <c r="AU941" s="849"/>
      <c r="AV941" s="849"/>
      <c r="AW941" s="3156">
        <f t="shared" si="291"/>
        <v>6903</v>
      </c>
      <c r="AX941" s="3140"/>
      <c r="BA941" s="267"/>
      <c r="BB941" s="267"/>
      <c r="BC941" s="4117">
        <f t="shared" si="266"/>
        <v>0</v>
      </c>
      <c r="BD941" s="4117">
        <f t="shared" si="267"/>
        <v>0</v>
      </c>
      <c r="BE941" s="6155"/>
      <c r="BF941" s="6154"/>
    </row>
    <row r="942" spans="1:58" ht="90" thickBot="1">
      <c r="A942" s="6562" t="s">
        <v>4276</v>
      </c>
      <c r="B942" s="6420" t="s">
        <v>11989</v>
      </c>
      <c r="C942" s="6563">
        <v>0</v>
      </c>
      <c r="D942" s="6564">
        <v>45440</v>
      </c>
      <c r="E942" s="6565" t="s">
        <v>10324</v>
      </c>
      <c r="F942" s="3793" t="s">
        <v>11480</v>
      </c>
      <c r="G942" s="5368">
        <v>1.1576249999999999</v>
      </c>
      <c r="H942" s="6566" t="s">
        <v>12348</v>
      </c>
      <c r="I942" s="6427" t="s">
        <v>12352</v>
      </c>
      <c r="J942" s="6567" t="s">
        <v>4306</v>
      </c>
      <c r="K942" s="6568">
        <v>46092</v>
      </c>
      <c r="L942" s="6427" t="s">
        <v>12357</v>
      </c>
      <c r="M942" s="307" t="s">
        <v>12358</v>
      </c>
      <c r="N942" s="6427" t="s">
        <v>12356</v>
      </c>
      <c r="O942" s="6567" t="s">
        <v>12355</v>
      </c>
      <c r="P942" s="6430"/>
      <c r="Q942" s="6569" t="s">
        <v>9071</v>
      </c>
      <c r="R942" s="6567" t="s">
        <v>536</v>
      </c>
      <c r="S942" s="6570"/>
      <c r="T942" s="6433"/>
      <c r="U942" s="6571"/>
      <c r="V942" s="6572"/>
      <c r="W942" s="6433"/>
      <c r="X942" s="6571"/>
      <c r="Y942" s="6572"/>
      <c r="Z942" s="6433"/>
      <c r="AA942" s="6571"/>
      <c r="AB942" s="6572"/>
      <c r="AC942" s="6436"/>
      <c r="AD942" s="6573"/>
      <c r="AE942" s="6574"/>
      <c r="AF942" s="6436"/>
      <c r="AG942" s="6573"/>
      <c r="AH942" s="6574"/>
      <c r="AI942" s="6439">
        <v>6903</v>
      </c>
      <c r="AJ942" s="6571">
        <v>0</v>
      </c>
      <c r="AK942" s="6575">
        <v>0</v>
      </c>
      <c r="AL942" s="6576">
        <f t="shared" si="290"/>
        <v>6903</v>
      </c>
      <c r="AM942" s="6442" t="s">
        <v>1061</v>
      </c>
      <c r="AN942" s="6577">
        <v>45442</v>
      </c>
      <c r="AO942" s="6578" t="s">
        <v>12414</v>
      </c>
      <c r="AP942" s="3387" t="s">
        <v>11479</v>
      </c>
      <c r="AQ942" s="4753">
        <v>1.1576249999999999</v>
      </c>
      <c r="AR942" s="6447"/>
      <c r="AS942" s="6579"/>
      <c r="AT942" s="6579"/>
      <c r="AU942" s="6580"/>
      <c r="AV942" s="6580"/>
      <c r="AW942" s="6581">
        <f t="shared" si="291"/>
        <v>6903</v>
      </c>
      <c r="AX942" s="6451"/>
      <c r="AY942" s="4031" t="s">
        <v>12295</v>
      </c>
      <c r="AZ942" s="3857">
        <f>SUM(AW932:AW942)</f>
        <v>217764</v>
      </c>
      <c r="BA942" s="1663">
        <f>AZ942</f>
        <v>217764</v>
      </c>
      <c r="BB942" s="267"/>
      <c r="BC942" s="4117">
        <f t="shared" si="266"/>
        <v>0</v>
      </c>
      <c r="BD942" s="4117">
        <f t="shared" si="267"/>
        <v>0</v>
      </c>
      <c r="BE942" s="6155"/>
      <c r="BF942" s="6154"/>
    </row>
    <row r="943" spans="1:58" ht="76.5">
      <c r="A943" s="5981" t="s">
        <v>11030</v>
      </c>
      <c r="B943" s="1538" t="s">
        <v>10766</v>
      </c>
      <c r="C943" s="1509">
        <v>0</v>
      </c>
      <c r="D943" s="1510">
        <v>44944</v>
      </c>
      <c r="E943" s="4344" t="s">
        <v>10324</v>
      </c>
      <c r="F943" s="2497" t="s">
        <v>10101</v>
      </c>
      <c r="G943" s="5387">
        <v>1.1100000000000001</v>
      </c>
      <c r="H943" s="1513" t="s">
        <v>11108</v>
      </c>
      <c r="I943" s="1514" t="s">
        <v>5753</v>
      </c>
      <c r="J943" s="1515" t="s">
        <v>2712</v>
      </c>
      <c r="K943" s="1516">
        <v>46399</v>
      </c>
      <c r="L943" s="1514" t="s">
        <v>10763</v>
      </c>
      <c r="M943" s="1515" t="s">
        <v>8769</v>
      </c>
      <c r="N943" s="1514" t="s">
        <v>10764</v>
      </c>
      <c r="O943" s="1513" t="s">
        <v>10765</v>
      </c>
      <c r="P943" s="1517"/>
      <c r="Q943" s="1515" t="s">
        <v>8325</v>
      </c>
      <c r="R943" s="1515" t="s">
        <v>8326</v>
      </c>
      <c r="S943" s="1518"/>
      <c r="T943" s="1519"/>
      <c r="U943" s="1504"/>
      <c r="V943" s="1520"/>
      <c r="W943" s="1519"/>
      <c r="X943" s="1504"/>
      <c r="Y943" s="1520"/>
      <c r="Z943" s="1519"/>
      <c r="AA943" s="1504"/>
      <c r="AB943" s="1520"/>
      <c r="AC943" s="1519"/>
      <c r="AD943" s="1504"/>
      <c r="AE943" s="1520"/>
      <c r="AF943" s="1519"/>
      <c r="AG943" s="1504"/>
      <c r="AH943" s="1520"/>
      <c r="AI943" s="1503">
        <v>15888</v>
      </c>
      <c r="AJ943" s="1504">
        <v>0</v>
      </c>
      <c r="AK943" s="3919">
        <v>0</v>
      </c>
      <c r="AL943" s="1505">
        <f t="shared" si="290"/>
        <v>15888</v>
      </c>
      <c r="AM943" s="1508" t="s">
        <v>1061</v>
      </c>
      <c r="AN943" s="3401">
        <v>45447</v>
      </c>
      <c r="AO943" s="3402" t="s">
        <v>12421</v>
      </c>
      <c r="AP943" s="2905" t="s">
        <v>11479</v>
      </c>
      <c r="AQ943" s="2906">
        <v>1.1576249999999999</v>
      </c>
      <c r="AR943" s="1506"/>
      <c r="AS943" s="1507"/>
      <c r="AT943" s="1507"/>
      <c r="AU943" s="1507"/>
      <c r="AV943" s="1507"/>
      <c r="AW943" s="3247">
        <f t="shared" si="291"/>
        <v>16570</v>
      </c>
      <c r="AX943" s="3146"/>
      <c r="BA943" s="267"/>
      <c r="BB943" s="267"/>
      <c r="BC943" s="4117">
        <f t="shared" si="266"/>
        <v>0</v>
      </c>
      <c r="BD943" s="4117">
        <f t="shared" si="267"/>
        <v>0</v>
      </c>
      <c r="BE943" s="6155"/>
      <c r="BF943" s="6154"/>
    </row>
    <row r="944" spans="1:58" ht="89.25">
      <c r="A944" s="5981" t="s">
        <v>10984</v>
      </c>
      <c r="B944" s="1538" t="s">
        <v>11339</v>
      </c>
      <c r="C944" s="1509">
        <v>0</v>
      </c>
      <c r="D944" s="1510">
        <v>45195</v>
      </c>
      <c r="E944" s="4344" t="s">
        <v>10324</v>
      </c>
      <c r="F944" s="2497" t="s">
        <v>11480</v>
      </c>
      <c r="G944" s="5387">
        <v>1.1576249999999999</v>
      </c>
      <c r="H944" s="1513" t="s">
        <v>11716</v>
      </c>
      <c r="I944" s="1514" t="s">
        <v>11717</v>
      </c>
      <c r="J944" s="4345" t="s">
        <v>4306</v>
      </c>
      <c r="K944" s="1516">
        <v>45926</v>
      </c>
      <c r="L944" s="1514" t="s">
        <v>5527</v>
      </c>
      <c r="M944" s="1515" t="s">
        <v>11718</v>
      </c>
      <c r="N944" s="1514" t="s">
        <v>11719</v>
      </c>
      <c r="O944" s="1513" t="s">
        <v>11720</v>
      </c>
      <c r="P944" s="1517"/>
      <c r="Q944" s="6094" t="s">
        <v>9071</v>
      </c>
      <c r="R944" s="1515" t="s">
        <v>536</v>
      </c>
      <c r="S944" s="1518"/>
      <c r="T944" s="1519"/>
      <c r="U944" s="1504"/>
      <c r="V944" s="1520"/>
      <c r="W944" s="1519"/>
      <c r="X944" s="1504"/>
      <c r="Y944" s="1520"/>
      <c r="Z944" s="1519"/>
      <c r="AA944" s="1504"/>
      <c r="AB944" s="1520"/>
      <c r="AC944" s="1519"/>
      <c r="AD944" s="1504"/>
      <c r="AE944" s="1520"/>
      <c r="AF944" s="1519"/>
      <c r="AG944" s="1504"/>
      <c r="AH944" s="1520"/>
      <c r="AI944" s="1503">
        <v>5881</v>
      </c>
      <c r="AJ944" s="1504">
        <v>0</v>
      </c>
      <c r="AK944" s="3919">
        <v>0</v>
      </c>
      <c r="AL944" s="1505">
        <f t="shared" si="290"/>
        <v>5881</v>
      </c>
      <c r="AM944" s="1508" t="s">
        <v>1061</v>
      </c>
      <c r="AN944" s="3401">
        <v>45447</v>
      </c>
      <c r="AO944" s="3402" t="s">
        <v>12422</v>
      </c>
      <c r="AP944" s="2905" t="s">
        <v>11479</v>
      </c>
      <c r="AQ944" s="2906">
        <v>1.1576249999999999</v>
      </c>
      <c r="AR944" s="1506"/>
      <c r="AS944" s="1507"/>
      <c r="AT944" s="1507"/>
      <c r="AU944" s="1507"/>
      <c r="AV944" s="1507"/>
      <c r="AW944" s="3247">
        <f t="shared" si="291"/>
        <v>5881</v>
      </c>
      <c r="AX944" s="3146"/>
      <c r="BA944" s="267"/>
      <c r="BB944" s="267"/>
      <c r="BC944" s="4117">
        <f t="shared" si="266"/>
        <v>0</v>
      </c>
      <c r="BD944" s="4117">
        <f t="shared" si="267"/>
        <v>0</v>
      </c>
      <c r="BE944" s="6155"/>
      <c r="BF944" s="6154"/>
    </row>
    <row r="945" spans="1:61" ht="76.5">
      <c r="A945" s="5981" t="s">
        <v>10984</v>
      </c>
      <c r="B945" s="1538" t="s">
        <v>12081</v>
      </c>
      <c r="C945" s="1509">
        <v>0</v>
      </c>
      <c r="D945" s="1510">
        <v>45323</v>
      </c>
      <c r="E945" s="4344" t="s">
        <v>10324</v>
      </c>
      <c r="F945" s="2497" t="s">
        <v>11480</v>
      </c>
      <c r="G945" s="5387">
        <v>1.1576249999999999</v>
      </c>
      <c r="H945" s="1513" t="s">
        <v>12080</v>
      </c>
      <c r="I945" s="1514" t="s">
        <v>5753</v>
      </c>
      <c r="J945" s="1515" t="s">
        <v>2712</v>
      </c>
      <c r="K945" s="1516">
        <v>46782</v>
      </c>
      <c r="L945" s="1514" t="s">
        <v>12083</v>
      </c>
      <c r="M945" s="1515" t="s">
        <v>11300</v>
      </c>
      <c r="N945" s="1514" t="s">
        <v>12084</v>
      </c>
      <c r="O945" s="1513" t="s">
        <v>12085</v>
      </c>
      <c r="P945" s="1517"/>
      <c r="Q945" s="1515" t="s">
        <v>12087</v>
      </c>
      <c r="R945" s="1515" t="s">
        <v>12082</v>
      </c>
      <c r="S945" s="1518"/>
      <c r="T945" s="1519"/>
      <c r="U945" s="1504"/>
      <c r="V945" s="1520"/>
      <c r="W945" s="1519"/>
      <c r="X945" s="1504"/>
      <c r="Y945" s="1520"/>
      <c r="Z945" s="1519"/>
      <c r="AA945" s="1504"/>
      <c r="AB945" s="1520"/>
      <c r="AC945" s="1519"/>
      <c r="AD945" s="1504"/>
      <c r="AE945" s="1520"/>
      <c r="AF945" s="1519"/>
      <c r="AG945" s="1504"/>
      <c r="AH945" s="1520"/>
      <c r="AI945" s="1503">
        <v>19448</v>
      </c>
      <c r="AJ945" s="1504">
        <v>0</v>
      </c>
      <c r="AK945" s="3919">
        <v>0</v>
      </c>
      <c r="AL945" s="1505">
        <f t="shared" ref="AL945:AL951" si="292">AI945-AJ945-AK945</f>
        <v>19448</v>
      </c>
      <c r="AM945" s="1508" t="s">
        <v>1061</v>
      </c>
      <c r="AN945" s="3401">
        <v>45453</v>
      </c>
      <c r="AO945" s="3402" t="s">
        <v>12426</v>
      </c>
      <c r="AP945" s="2905" t="s">
        <v>11479</v>
      </c>
      <c r="AQ945" s="2906">
        <v>1.1576249999999999</v>
      </c>
      <c r="AR945" s="1506"/>
      <c r="AS945" s="1507"/>
      <c r="AT945" s="1507"/>
      <c r="AU945" s="1507"/>
      <c r="AV945" s="1507"/>
      <c r="AW945" s="3247">
        <f t="shared" ref="AW945:AW951" si="293">ROUND(AL945*AQ945/G945,0)</f>
        <v>19448</v>
      </c>
      <c r="AX945" s="3146"/>
      <c r="BA945" s="267"/>
      <c r="BB945" s="267"/>
      <c r="BC945" s="4117">
        <f t="shared" si="266"/>
        <v>0</v>
      </c>
      <c r="BD945" s="4117">
        <f t="shared" si="267"/>
        <v>0</v>
      </c>
      <c r="BE945" s="6155"/>
      <c r="BF945" s="6154"/>
    </row>
    <row r="946" spans="1:61" ht="76.5">
      <c r="A946" s="5981" t="s">
        <v>10984</v>
      </c>
      <c r="B946" s="1538" t="s">
        <v>11961</v>
      </c>
      <c r="C946" s="1509">
        <v>0</v>
      </c>
      <c r="D946" s="1510">
        <v>45412</v>
      </c>
      <c r="E946" s="4344" t="s">
        <v>10324</v>
      </c>
      <c r="F946" s="2497" t="s">
        <v>11480</v>
      </c>
      <c r="G946" s="5387">
        <v>1.1576249999999999</v>
      </c>
      <c r="H946" s="1513" t="s">
        <v>12286</v>
      </c>
      <c r="I946" s="1514" t="s">
        <v>5753</v>
      </c>
      <c r="J946" s="1515" t="s">
        <v>2712</v>
      </c>
      <c r="K946" s="1516">
        <v>46855</v>
      </c>
      <c r="L946" s="1514" t="s">
        <v>12287</v>
      </c>
      <c r="M946" s="1515" t="s">
        <v>8769</v>
      </c>
      <c r="N946" s="1514" t="s">
        <v>12288</v>
      </c>
      <c r="O946" s="1513" t="s">
        <v>12289</v>
      </c>
      <c r="P946" s="1517"/>
      <c r="Q946" s="1515" t="s">
        <v>4127</v>
      </c>
      <c r="R946" s="1515" t="s">
        <v>7249</v>
      </c>
      <c r="S946" s="1518"/>
      <c r="T946" s="1519"/>
      <c r="U946" s="1504"/>
      <c r="V946" s="1520"/>
      <c r="W946" s="1519"/>
      <c r="X946" s="1504"/>
      <c r="Y946" s="1520"/>
      <c r="Z946" s="1519"/>
      <c r="AA946" s="1504"/>
      <c r="AB946" s="1520"/>
      <c r="AC946" s="1519"/>
      <c r="AD946" s="1504"/>
      <c r="AE946" s="1520"/>
      <c r="AF946" s="1519"/>
      <c r="AG946" s="1504"/>
      <c r="AH946" s="1520"/>
      <c r="AI946" s="1503">
        <v>16570</v>
      </c>
      <c r="AJ946" s="1504">
        <v>0</v>
      </c>
      <c r="AK946" s="3919">
        <v>0</v>
      </c>
      <c r="AL946" s="1505">
        <f t="shared" si="292"/>
        <v>16570</v>
      </c>
      <c r="AM946" s="1508" t="s">
        <v>1061</v>
      </c>
      <c r="AN946" s="3401">
        <v>45455</v>
      </c>
      <c r="AO946" s="3402" t="s">
        <v>12427</v>
      </c>
      <c r="AP946" s="2905" t="s">
        <v>11479</v>
      </c>
      <c r="AQ946" s="2906">
        <v>1.1576249999999999</v>
      </c>
      <c r="AR946" s="1506"/>
      <c r="AS946" s="1507"/>
      <c r="AT946" s="1507"/>
      <c r="AU946" s="1507"/>
      <c r="AV946" s="1507"/>
      <c r="AW946" s="3247">
        <f t="shared" si="293"/>
        <v>16570</v>
      </c>
      <c r="AX946" s="3146"/>
      <c r="BA946" s="267"/>
      <c r="BB946" s="267"/>
      <c r="BC946" s="4117">
        <f t="shared" si="266"/>
        <v>0</v>
      </c>
      <c r="BD946" s="4117">
        <f t="shared" si="267"/>
        <v>0</v>
      </c>
      <c r="BE946" s="6155"/>
      <c r="BF946" s="6154"/>
    </row>
    <row r="947" spans="1:61" ht="76.5">
      <c r="A947" s="5981" t="s">
        <v>11006</v>
      </c>
      <c r="B947" s="1538" t="s">
        <v>12428</v>
      </c>
      <c r="C947" s="1509">
        <v>0</v>
      </c>
      <c r="D947" s="1510">
        <v>44651</v>
      </c>
      <c r="E947" s="4344" t="s">
        <v>9156</v>
      </c>
      <c r="F947" s="2497" t="s">
        <v>9005</v>
      </c>
      <c r="G947" s="5387">
        <v>1.0956269999999999</v>
      </c>
      <c r="H947" s="1513" t="s">
        <v>9801</v>
      </c>
      <c r="I947" s="1514" t="s">
        <v>5753</v>
      </c>
      <c r="J947" s="1515" t="s">
        <v>2712</v>
      </c>
      <c r="K947" s="1516">
        <v>46106</v>
      </c>
      <c r="L947" s="1514" t="s">
        <v>9802</v>
      </c>
      <c r="M947" s="1515" t="s">
        <v>9803</v>
      </c>
      <c r="N947" s="1514" t="s">
        <v>9805</v>
      </c>
      <c r="O947" s="1513" t="s">
        <v>9804</v>
      </c>
      <c r="P947" s="1517"/>
      <c r="Q947" s="1515" t="s">
        <v>9807</v>
      </c>
      <c r="R947" s="1515" t="s">
        <v>9806</v>
      </c>
      <c r="S947" s="1518"/>
      <c r="T947" s="1519"/>
      <c r="U947" s="1504"/>
      <c r="V947" s="1520"/>
      <c r="W947" s="1519"/>
      <c r="X947" s="1504"/>
      <c r="Y947" s="1520"/>
      <c r="Z947" s="1519"/>
      <c r="AA947" s="1504"/>
      <c r="AB947" s="1520"/>
      <c r="AC947" s="1519"/>
      <c r="AD947" s="1504"/>
      <c r="AE947" s="1520"/>
      <c r="AF947" s="1519"/>
      <c r="AG947" s="1504"/>
      <c r="AH947" s="1520"/>
      <c r="AI947" s="1503">
        <v>18406</v>
      </c>
      <c r="AJ947" s="1504">
        <v>0</v>
      </c>
      <c r="AK947" s="3919">
        <v>0</v>
      </c>
      <c r="AL947" s="1505">
        <f t="shared" si="292"/>
        <v>18406</v>
      </c>
      <c r="AM947" s="1508" t="s">
        <v>1061</v>
      </c>
      <c r="AN947" s="3401">
        <v>45457</v>
      </c>
      <c r="AO947" s="3402" t="s">
        <v>12477</v>
      </c>
      <c r="AP947" s="2905" t="s">
        <v>11479</v>
      </c>
      <c r="AQ947" s="2906">
        <v>1.1576249999999999</v>
      </c>
      <c r="AR947" s="1506"/>
      <c r="AS947" s="1507"/>
      <c r="AT947" s="1507"/>
      <c r="AU947" s="1507"/>
      <c r="AV947" s="1507"/>
      <c r="AW947" s="3247">
        <f t="shared" si="293"/>
        <v>19448</v>
      </c>
      <c r="AX947" s="3146"/>
      <c r="BA947" s="267"/>
      <c r="BB947" s="267"/>
      <c r="BC947" s="4117">
        <f t="shared" si="266"/>
        <v>0</v>
      </c>
      <c r="BD947" s="4117">
        <f t="shared" si="267"/>
        <v>0</v>
      </c>
      <c r="BE947" s="6155"/>
      <c r="BF947" s="6154"/>
    </row>
    <row r="948" spans="1:61" ht="89.25">
      <c r="A948" s="5981" t="s">
        <v>10984</v>
      </c>
      <c r="B948" s="1538" t="s">
        <v>11342</v>
      </c>
      <c r="C948" s="1509">
        <v>0</v>
      </c>
      <c r="D948" s="1510">
        <v>45203</v>
      </c>
      <c r="E948" s="4344" t="s">
        <v>10324</v>
      </c>
      <c r="F948" s="2497" t="s">
        <v>11480</v>
      </c>
      <c r="G948" s="5387">
        <v>1.1576249999999999</v>
      </c>
      <c r="H948" s="1513" t="s">
        <v>11739</v>
      </c>
      <c r="I948" s="1514" t="s">
        <v>11740</v>
      </c>
      <c r="J948" s="4345" t="s">
        <v>4306</v>
      </c>
      <c r="K948" s="1516">
        <v>45934</v>
      </c>
      <c r="L948" s="1514" t="s">
        <v>11741</v>
      </c>
      <c r="M948" s="1515" t="s">
        <v>11742</v>
      </c>
      <c r="N948" s="1514" t="s">
        <v>11743</v>
      </c>
      <c r="O948" s="1515" t="s">
        <v>11742</v>
      </c>
      <c r="P948" s="1517"/>
      <c r="Q948" s="6582" t="s">
        <v>9071</v>
      </c>
      <c r="R948" s="1515" t="s">
        <v>536</v>
      </c>
      <c r="S948" s="1518"/>
      <c r="T948" s="1519"/>
      <c r="U948" s="1504"/>
      <c r="V948" s="1520"/>
      <c r="W948" s="1519"/>
      <c r="X948" s="1504"/>
      <c r="Y948" s="1520"/>
      <c r="Z948" s="1519"/>
      <c r="AA948" s="1504"/>
      <c r="AB948" s="1520"/>
      <c r="AC948" s="1519"/>
      <c r="AD948" s="1504"/>
      <c r="AE948" s="1520"/>
      <c r="AF948" s="1519"/>
      <c r="AG948" s="1504"/>
      <c r="AH948" s="1520"/>
      <c r="AI948" s="1503">
        <v>6903</v>
      </c>
      <c r="AJ948" s="1504">
        <v>0</v>
      </c>
      <c r="AK948" s="3919">
        <v>0</v>
      </c>
      <c r="AL948" s="1505">
        <f>AI948-AJ948-AK948</f>
        <v>6903</v>
      </c>
      <c r="AM948" s="1508" t="s">
        <v>12494</v>
      </c>
      <c r="AN948" s="3401">
        <v>45462</v>
      </c>
      <c r="AO948" s="3402" t="s">
        <v>12495</v>
      </c>
      <c r="AP948" s="2905" t="s">
        <v>11479</v>
      </c>
      <c r="AQ948" s="2906">
        <v>1.1576249999999999</v>
      </c>
      <c r="AR948" s="1506"/>
      <c r="AS948" s="1507"/>
      <c r="AT948" s="1507"/>
      <c r="AU948" s="1507"/>
      <c r="AV948" s="1507"/>
      <c r="AW948" s="3247">
        <f>ROUND(AL948*AQ948/G948,0)</f>
        <v>6903</v>
      </c>
      <c r="AX948" s="3146"/>
      <c r="BA948" s="267"/>
      <c r="BB948" s="267"/>
      <c r="BC948" s="4117">
        <f t="shared" si="266"/>
        <v>0</v>
      </c>
      <c r="BD948" s="4117">
        <f t="shared" si="267"/>
        <v>0</v>
      </c>
      <c r="BE948" s="6155"/>
      <c r="BF948" s="6154"/>
    </row>
    <row r="949" spans="1:61" ht="89.25">
      <c r="A949" s="5981" t="s">
        <v>10984</v>
      </c>
      <c r="B949" s="1538" t="s">
        <v>11991</v>
      </c>
      <c r="C949" s="1509">
        <v>0</v>
      </c>
      <c r="D949" s="1510">
        <v>45449</v>
      </c>
      <c r="E949" s="4344" t="s">
        <v>10324</v>
      </c>
      <c r="F949" s="2497" t="s">
        <v>11480</v>
      </c>
      <c r="G949" s="5387">
        <v>1.1576249999999999</v>
      </c>
      <c r="H949" s="1513" t="s">
        <v>12479</v>
      </c>
      <c r="I949" s="1514" t="s">
        <v>12425</v>
      </c>
      <c r="J949" s="4345" t="s">
        <v>4306</v>
      </c>
      <c r="K949" s="1516">
        <v>46164</v>
      </c>
      <c r="L949" s="1514" t="s">
        <v>5527</v>
      </c>
      <c r="M949" s="1515" t="s">
        <v>11718</v>
      </c>
      <c r="N949" s="1514" t="s">
        <v>12423</v>
      </c>
      <c r="O949" s="1513" t="s">
        <v>12424</v>
      </c>
      <c r="P949" s="1517"/>
      <c r="Q949" s="6582" t="s">
        <v>9071</v>
      </c>
      <c r="R949" s="1515" t="s">
        <v>536</v>
      </c>
      <c r="S949" s="1518"/>
      <c r="T949" s="1519"/>
      <c r="U949" s="1504"/>
      <c r="V949" s="1520"/>
      <c r="W949" s="1519"/>
      <c r="X949" s="1504"/>
      <c r="Y949" s="1520"/>
      <c r="Z949" s="1519"/>
      <c r="AA949" s="1504"/>
      <c r="AB949" s="1520"/>
      <c r="AC949" s="1519"/>
      <c r="AD949" s="1504"/>
      <c r="AE949" s="1520"/>
      <c r="AF949" s="1519"/>
      <c r="AG949" s="1504"/>
      <c r="AH949" s="1520"/>
      <c r="AI949" s="1503">
        <v>5881</v>
      </c>
      <c r="AJ949" s="1504">
        <v>0</v>
      </c>
      <c r="AK949" s="3919">
        <v>0</v>
      </c>
      <c r="AL949" s="1505">
        <f t="shared" si="292"/>
        <v>5881</v>
      </c>
      <c r="AM949" s="1508" t="s">
        <v>1061</v>
      </c>
      <c r="AN949" s="3401">
        <v>45463</v>
      </c>
      <c r="AO949" s="3402" t="s">
        <v>12510</v>
      </c>
      <c r="AP949" s="2905" t="s">
        <v>11479</v>
      </c>
      <c r="AQ949" s="2906">
        <v>1.1576249999999999</v>
      </c>
      <c r="AR949" s="1506"/>
      <c r="AS949" s="1507"/>
      <c r="AT949" s="1507"/>
      <c r="AU949" s="1507"/>
      <c r="AV949" s="1507"/>
      <c r="AW949" s="3247">
        <f t="shared" si="293"/>
        <v>5881</v>
      </c>
      <c r="AX949" s="3146"/>
      <c r="BA949" s="267"/>
      <c r="BB949" s="267"/>
      <c r="BC949" s="4117">
        <f t="shared" si="266"/>
        <v>0</v>
      </c>
      <c r="BD949" s="4117">
        <f t="shared" si="267"/>
        <v>0</v>
      </c>
      <c r="BE949" s="6155"/>
      <c r="BF949" s="6154"/>
    </row>
    <row r="950" spans="1:61" ht="89.25">
      <c r="A950" s="5981" t="s">
        <v>10984</v>
      </c>
      <c r="B950" s="1538" t="s">
        <v>11990</v>
      </c>
      <c r="C950" s="1509">
        <v>0</v>
      </c>
      <c r="D950" s="1510">
        <v>45440</v>
      </c>
      <c r="E950" s="4344" t="s">
        <v>10324</v>
      </c>
      <c r="F950" s="2497" t="s">
        <v>11480</v>
      </c>
      <c r="G950" s="5387">
        <v>1.1576249999999999</v>
      </c>
      <c r="H950" s="1513" t="s">
        <v>12349</v>
      </c>
      <c r="I950" s="1514" t="s">
        <v>12353</v>
      </c>
      <c r="J950" s="4345" t="s">
        <v>4306</v>
      </c>
      <c r="K950" s="1516">
        <v>46096</v>
      </c>
      <c r="L950" s="1514" t="s">
        <v>12359</v>
      </c>
      <c r="M950" s="1515" t="s">
        <v>12362</v>
      </c>
      <c r="N950" s="1514" t="s">
        <v>12360</v>
      </c>
      <c r="O950" s="1513" t="s">
        <v>12361</v>
      </c>
      <c r="P950" s="1517"/>
      <c r="Q950" s="1515" t="s">
        <v>9071</v>
      </c>
      <c r="R950" s="1515" t="s">
        <v>536</v>
      </c>
      <c r="S950" s="1518"/>
      <c r="T950" s="1519"/>
      <c r="U950" s="1504"/>
      <c r="V950" s="1520"/>
      <c r="W950" s="1519"/>
      <c r="X950" s="1504"/>
      <c r="Y950" s="1520"/>
      <c r="Z950" s="1519"/>
      <c r="AA950" s="1504"/>
      <c r="AB950" s="1520"/>
      <c r="AC950" s="1519"/>
      <c r="AD950" s="1504"/>
      <c r="AE950" s="1520"/>
      <c r="AF950" s="1519"/>
      <c r="AG950" s="1504"/>
      <c r="AH950" s="1520"/>
      <c r="AI950" s="1503">
        <v>6903</v>
      </c>
      <c r="AJ950" s="1504">
        <v>0</v>
      </c>
      <c r="AK950" s="3919">
        <v>0</v>
      </c>
      <c r="AL950" s="1505">
        <f>AI950-AJ950-AK950</f>
        <v>6903</v>
      </c>
      <c r="AM950" s="1508" t="s">
        <v>1061</v>
      </c>
      <c r="AN950" s="3401">
        <v>45464</v>
      </c>
      <c r="AO950" s="3402" t="s">
        <v>12511</v>
      </c>
      <c r="AP950" s="2905" t="s">
        <v>11479</v>
      </c>
      <c r="AQ950" s="2906">
        <v>1.1576249999999999</v>
      </c>
      <c r="AR950" s="1506"/>
      <c r="AS950" s="1507"/>
      <c r="AT950" s="1507"/>
      <c r="AU950" s="1507"/>
      <c r="AV950" s="1507"/>
      <c r="AW950" s="3247">
        <f>ROUND(AL950*AQ950/G950,0)</f>
        <v>6903</v>
      </c>
      <c r="AX950" s="3146"/>
      <c r="BB950" s="267"/>
      <c r="BC950" s="4117">
        <f t="shared" si="266"/>
        <v>0</v>
      </c>
      <c r="BD950" s="4117">
        <f t="shared" si="267"/>
        <v>0</v>
      </c>
      <c r="BE950" s="6155"/>
      <c r="BF950" s="6154"/>
    </row>
    <row r="951" spans="1:61" ht="127.5">
      <c r="A951" s="5981" t="s">
        <v>11006</v>
      </c>
      <c r="B951" s="1538" t="s">
        <v>11015</v>
      </c>
      <c r="C951" s="1509">
        <v>0</v>
      </c>
      <c r="D951" s="1510">
        <v>44447</v>
      </c>
      <c r="E951" s="4344" t="s">
        <v>9156</v>
      </c>
      <c r="F951" s="2497" t="s">
        <v>9005</v>
      </c>
      <c r="G951" s="5387">
        <v>1.0956269999999999</v>
      </c>
      <c r="H951" s="1513" t="s">
        <v>11014</v>
      </c>
      <c r="I951" s="1514" t="s">
        <v>1433</v>
      </c>
      <c r="J951" s="1515" t="s">
        <v>1434</v>
      </c>
      <c r="K951" s="1516">
        <v>46555</v>
      </c>
      <c r="L951" s="1514" t="s">
        <v>9207</v>
      </c>
      <c r="M951" s="1515" t="s">
        <v>9212</v>
      </c>
      <c r="N951" s="1514" t="s">
        <v>9209</v>
      </c>
      <c r="O951" s="1513" t="s">
        <v>9208</v>
      </c>
      <c r="P951" s="1517"/>
      <c r="Q951" s="1515" t="s">
        <v>8817</v>
      </c>
      <c r="R951" s="1515" t="s">
        <v>8105</v>
      </c>
      <c r="S951" s="1518"/>
      <c r="T951" s="1519"/>
      <c r="U951" s="1504"/>
      <c r="V951" s="1520"/>
      <c r="W951" s="1519"/>
      <c r="X951" s="1504"/>
      <c r="Y951" s="1520"/>
      <c r="Z951" s="1519"/>
      <c r="AA951" s="1504"/>
      <c r="AB951" s="1520"/>
      <c r="AC951" s="1519"/>
      <c r="AD951" s="1504"/>
      <c r="AE951" s="1520"/>
      <c r="AF951" s="1519"/>
      <c r="AG951" s="1504"/>
      <c r="AH951" s="1520"/>
      <c r="AI951" s="1503">
        <v>11883</v>
      </c>
      <c r="AJ951" s="1504">
        <v>0</v>
      </c>
      <c r="AK951" s="3919">
        <v>0</v>
      </c>
      <c r="AL951" s="1505">
        <f t="shared" si="292"/>
        <v>11883</v>
      </c>
      <c r="AM951" s="1508" t="s">
        <v>1061</v>
      </c>
      <c r="AN951" s="3401">
        <v>45464</v>
      </c>
      <c r="AO951" s="3402" t="s">
        <v>12512</v>
      </c>
      <c r="AP951" s="2905" t="s">
        <v>11479</v>
      </c>
      <c r="AQ951" s="2906">
        <v>1.1576249999999999</v>
      </c>
      <c r="AR951" s="1506"/>
      <c r="AS951" s="1507"/>
      <c r="AT951" s="1507"/>
      <c r="AU951" s="1507"/>
      <c r="AV951" s="1507"/>
      <c r="AW951" s="3247">
        <f t="shared" si="293"/>
        <v>12555</v>
      </c>
      <c r="AX951" s="3146"/>
      <c r="BA951" s="267"/>
      <c r="BB951" s="267"/>
      <c r="BC951" s="4117">
        <f t="shared" si="266"/>
        <v>0</v>
      </c>
      <c r="BD951" s="4117">
        <f t="shared" si="267"/>
        <v>0</v>
      </c>
      <c r="BE951" s="6155"/>
      <c r="BF951" s="6154"/>
    </row>
    <row r="952" spans="1:61" ht="76.5">
      <c r="A952" s="5981" t="s">
        <v>11030</v>
      </c>
      <c r="B952" s="1538" t="s">
        <v>12451</v>
      </c>
      <c r="C952" s="1509">
        <v>0</v>
      </c>
      <c r="D952" s="1510">
        <v>44970</v>
      </c>
      <c r="E952" s="4344" t="s">
        <v>10324</v>
      </c>
      <c r="F952" s="2497" t="s">
        <v>10101</v>
      </c>
      <c r="G952" s="5387">
        <v>1.1100000000000001</v>
      </c>
      <c r="H952" s="1513" t="s">
        <v>11113</v>
      </c>
      <c r="I952" s="1514" t="s">
        <v>1433</v>
      </c>
      <c r="J952" s="1515" t="s">
        <v>1434</v>
      </c>
      <c r="K952" s="1516">
        <v>47156</v>
      </c>
      <c r="L952" s="1514" t="s">
        <v>10813</v>
      </c>
      <c r="M952" s="1515" t="s">
        <v>9803</v>
      </c>
      <c r="N952" s="1514" t="s">
        <v>5882</v>
      </c>
      <c r="O952" s="1513" t="s">
        <v>10814</v>
      </c>
      <c r="P952" s="1517"/>
      <c r="Q952" s="1515" t="s">
        <v>10815</v>
      </c>
      <c r="R952" s="1515" t="s">
        <v>536</v>
      </c>
      <c r="S952" s="1518"/>
      <c r="T952" s="1519"/>
      <c r="U952" s="1504"/>
      <c r="V952" s="1520"/>
      <c r="W952" s="1519"/>
      <c r="X952" s="1504"/>
      <c r="Y952" s="1520"/>
      <c r="Z952" s="1519"/>
      <c r="AA952" s="1504"/>
      <c r="AB952" s="1520"/>
      <c r="AC952" s="1519"/>
      <c r="AD952" s="1504"/>
      <c r="AE952" s="1520"/>
      <c r="AF952" s="1519"/>
      <c r="AG952" s="1504"/>
      <c r="AH952" s="1520"/>
      <c r="AI952" s="1503">
        <v>114552</v>
      </c>
      <c r="AJ952" s="1504">
        <v>0</v>
      </c>
      <c r="AK952" s="3919">
        <v>0</v>
      </c>
      <c r="AL952" s="1505">
        <f>AI952-AJ952-AK952</f>
        <v>114552</v>
      </c>
      <c r="AM952" s="1508" t="s">
        <v>1061</v>
      </c>
      <c r="AN952" s="3401">
        <v>45468</v>
      </c>
      <c r="AO952" s="3402" t="s">
        <v>12515</v>
      </c>
      <c r="AP952" s="2905" t="s">
        <v>11479</v>
      </c>
      <c r="AQ952" s="2906">
        <v>1.1576249999999999</v>
      </c>
      <c r="AR952" s="1506"/>
      <c r="AS952" s="1507"/>
      <c r="AT952" s="1507"/>
      <c r="AU952" s="1507"/>
      <c r="AV952" s="1507"/>
      <c r="AW952" s="3247">
        <f>ROUND(AL952*AQ952/G952,0)</f>
        <v>119467</v>
      </c>
      <c r="AX952" s="3146"/>
      <c r="BA952" s="267"/>
      <c r="BB952" s="267"/>
      <c r="BC952" s="4117">
        <f t="shared" si="266"/>
        <v>0</v>
      </c>
      <c r="BD952" s="4117">
        <f t="shared" si="267"/>
        <v>0</v>
      </c>
      <c r="BE952" s="6155"/>
      <c r="BF952" s="6154"/>
    </row>
    <row r="953" spans="1:61" ht="89.25">
      <c r="A953" s="5981" t="s">
        <v>4276</v>
      </c>
      <c r="B953" s="1538" t="s">
        <v>11995</v>
      </c>
      <c r="C953" s="1509">
        <v>0</v>
      </c>
      <c r="D953" s="1510">
        <v>45462</v>
      </c>
      <c r="E953" s="4344" t="s">
        <v>10324</v>
      </c>
      <c r="F953" s="2497" t="s">
        <v>11480</v>
      </c>
      <c r="G953" s="5387">
        <v>1.1576249999999999</v>
      </c>
      <c r="H953" s="1513" t="s">
        <v>12499</v>
      </c>
      <c r="I953" s="1514" t="s">
        <v>12500</v>
      </c>
      <c r="J953" s="4345" t="s">
        <v>4306</v>
      </c>
      <c r="K953" s="1516">
        <v>46165</v>
      </c>
      <c r="L953" s="1514" t="s">
        <v>8843</v>
      </c>
      <c r="M953" s="1515" t="s">
        <v>12501</v>
      </c>
      <c r="N953" s="1514" t="s">
        <v>12502</v>
      </c>
      <c r="O953" s="1513" t="s">
        <v>12503</v>
      </c>
      <c r="P953" s="1517"/>
      <c r="Q953" s="1515" t="s">
        <v>9071</v>
      </c>
      <c r="R953" s="1515" t="s">
        <v>536</v>
      </c>
      <c r="S953" s="1518"/>
      <c r="T953" s="1519"/>
      <c r="U953" s="1504"/>
      <c r="V953" s="1520"/>
      <c r="W953" s="1519"/>
      <c r="X953" s="1504"/>
      <c r="Y953" s="1520"/>
      <c r="Z953" s="1519"/>
      <c r="AA953" s="1504"/>
      <c r="AB953" s="1520"/>
      <c r="AC953" s="1519"/>
      <c r="AD953" s="1504"/>
      <c r="AE953" s="1520"/>
      <c r="AF953" s="1519"/>
      <c r="AG953" s="1504"/>
      <c r="AH953" s="1520"/>
      <c r="AI953" s="1503">
        <v>5881</v>
      </c>
      <c r="AJ953" s="1504">
        <v>0</v>
      </c>
      <c r="AK953" s="3919">
        <v>0</v>
      </c>
      <c r="AL953" s="1505">
        <f>AI953-AJ953-AK953</f>
        <v>5881</v>
      </c>
      <c r="AM953" s="1508" t="s">
        <v>1061</v>
      </c>
      <c r="AN953" s="3401">
        <v>45469</v>
      </c>
      <c r="AO953" s="3402" t="s">
        <v>12534</v>
      </c>
      <c r="AP953" s="2905" t="s">
        <v>11479</v>
      </c>
      <c r="AQ953" s="2906">
        <v>1.1576249999999999</v>
      </c>
      <c r="AR953" s="1506"/>
      <c r="AS953" s="1507"/>
      <c r="AT953" s="1507"/>
      <c r="AU953" s="1507"/>
      <c r="AV953" s="1507"/>
      <c r="AW953" s="3247">
        <f>ROUND(AL953*AQ953/G953,0)</f>
        <v>5881</v>
      </c>
      <c r="AX953" s="3146"/>
      <c r="BB953" s="267"/>
      <c r="BC953" s="4117">
        <f t="shared" si="266"/>
        <v>0</v>
      </c>
      <c r="BD953" s="4117">
        <f t="shared" si="267"/>
        <v>0</v>
      </c>
      <c r="BE953" s="6155"/>
      <c r="BF953" s="6154"/>
    </row>
    <row r="954" spans="1:61" ht="90" thickBot="1">
      <c r="A954" s="6591" t="s">
        <v>11034</v>
      </c>
      <c r="B954" s="6592" t="s">
        <v>12533</v>
      </c>
      <c r="C954" s="6593">
        <v>0</v>
      </c>
      <c r="D954" s="6594">
        <v>44958</v>
      </c>
      <c r="E954" s="6595" t="s">
        <v>10324</v>
      </c>
      <c r="F954" s="3835" t="s">
        <v>10101</v>
      </c>
      <c r="G954" s="5775">
        <v>1.1100000000000001</v>
      </c>
      <c r="H954" s="6596" t="s">
        <v>10797</v>
      </c>
      <c r="I954" s="6597" t="s">
        <v>10798</v>
      </c>
      <c r="J954" s="6598" t="s">
        <v>4306</v>
      </c>
      <c r="K954" s="6599">
        <v>45689</v>
      </c>
      <c r="L954" s="6597" t="s">
        <v>645</v>
      </c>
      <c r="M954" s="6598" t="s">
        <v>10799</v>
      </c>
      <c r="N954" s="6597" t="s">
        <v>10800</v>
      </c>
      <c r="O954" s="6596" t="s">
        <v>10801</v>
      </c>
      <c r="P954" s="6600"/>
      <c r="Q954" s="6598" t="s">
        <v>9071</v>
      </c>
      <c r="R954" s="6598" t="s">
        <v>536</v>
      </c>
      <c r="S954" s="6601"/>
      <c r="T954" s="6602"/>
      <c r="U954" s="6603"/>
      <c r="V954" s="6604"/>
      <c r="W954" s="6602"/>
      <c r="X954" s="6603"/>
      <c r="Y954" s="6604"/>
      <c r="Z954" s="6602"/>
      <c r="AA954" s="6603"/>
      <c r="AB954" s="6604"/>
      <c r="AC954" s="6602"/>
      <c r="AD954" s="6603"/>
      <c r="AE954" s="6604"/>
      <c r="AF954" s="6602"/>
      <c r="AG954" s="6603"/>
      <c r="AH954" s="6604"/>
      <c r="AI954" s="6605">
        <v>6619</v>
      </c>
      <c r="AJ954" s="6603">
        <v>0</v>
      </c>
      <c r="AK954" s="6606">
        <v>0</v>
      </c>
      <c r="AL954" s="6607">
        <f>AI954-AJ954-AK954</f>
        <v>6619</v>
      </c>
      <c r="AM954" s="6608" t="s">
        <v>12494</v>
      </c>
      <c r="AN954" s="6609">
        <v>45469</v>
      </c>
      <c r="AO954" s="6614" t="s">
        <v>12537</v>
      </c>
      <c r="AP954" s="3851" t="s">
        <v>11479</v>
      </c>
      <c r="AQ954" s="3852">
        <v>1.1576249999999999</v>
      </c>
      <c r="AR954" s="6610"/>
      <c r="AS954" s="6611"/>
      <c r="AT954" s="6611"/>
      <c r="AU954" s="6611"/>
      <c r="AV954" s="6611"/>
      <c r="AW954" s="6612">
        <f>ROUND(AL954*AQ954/G954,0)</f>
        <v>6903</v>
      </c>
      <c r="AX954" s="6613"/>
      <c r="AY954" s="4029" t="s">
        <v>12420</v>
      </c>
      <c r="AZ954" s="3888">
        <f>SUM(AW943:AW954)</f>
        <v>242410</v>
      </c>
      <c r="BA954" s="2119">
        <f>AZ954</f>
        <v>242410</v>
      </c>
      <c r="BB954" s="307"/>
      <c r="BC954" s="4118">
        <f t="shared" si="266"/>
        <v>0</v>
      </c>
      <c r="BD954" s="4118">
        <f t="shared" si="267"/>
        <v>0</v>
      </c>
      <c r="BE954" s="6615"/>
      <c r="BF954" s="4722">
        <f>SUM(BA862:BA954)</f>
        <v>2547049</v>
      </c>
      <c r="BG954" s="4673">
        <f>SUM(BC862:BC954)</f>
        <v>529024</v>
      </c>
      <c r="BH954" s="4673">
        <f>SUM(BD862:BD954)</f>
        <v>3125</v>
      </c>
      <c r="BI954" s="4674">
        <f>SUM(BE862:BE954)</f>
        <v>0</v>
      </c>
    </row>
  </sheetData>
  <sheetProtection sheet="1" objects="1" scenarios="1"/>
  <mergeCells count="2">
    <mergeCell ref="T2:AL2"/>
    <mergeCell ref="AM2:AW2"/>
  </mergeCells>
  <phoneticPr fontId="7" type="noConversion"/>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Y79"/>
  <sheetViews>
    <sheetView workbookViewId="0">
      <pane xSplit="3" ySplit="7" topLeftCell="D78" activePane="bottomRight" state="frozen"/>
      <selection pane="topRight" activeCell="D1" sqref="D1"/>
      <selection pane="bottomLeft" activeCell="A8" sqref="A8"/>
      <selection pane="bottomRight" activeCell="D84" sqref="D84"/>
    </sheetView>
  </sheetViews>
  <sheetFormatPr defaultColWidth="9.140625" defaultRowHeight="11.25"/>
  <cols>
    <col min="1" max="1" width="21" style="27" customWidth="1"/>
    <col min="2" max="2" width="10.140625" style="49" bestFit="1" customWidth="1"/>
    <col min="3" max="3" width="12.85546875" style="50" customWidth="1"/>
    <col min="4" max="4" width="10.28515625" style="79" bestFit="1" customWidth="1"/>
    <col min="5" max="5" width="15" style="13" customWidth="1"/>
    <col min="6" max="6" width="14.5703125" style="14" customWidth="1"/>
    <col min="7" max="7" width="14.7109375" style="13" customWidth="1"/>
    <col min="8" max="8" width="14.140625" style="14" customWidth="1"/>
    <col min="9" max="9" width="17.28515625" style="13" customWidth="1"/>
    <col min="10" max="10" width="18.7109375" style="29" customWidth="1"/>
    <col min="11" max="11" width="16.140625" style="95" customWidth="1"/>
    <col min="12" max="12" width="14.28515625" style="96" customWidth="1"/>
    <col min="13" max="13" width="12.7109375" style="112" customWidth="1"/>
    <col min="14" max="14" width="14.7109375" style="113" customWidth="1"/>
    <col min="15" max="15" width="10.5703125" style="95" customWidth="1"/>
    <col min="16" max="16" width="14.28515625" style="97" customWidth="1"/>
    <col min="17" max="17" width="9.7109375" style="95" bestFit="1" customWidth="1"/>
    <col min="18" max="18" width="14.85546875" style="96" bestFit="1" customWidth="1"/>
    <col min="19" max="19" width="13.7109375" style="95" customWidth="1"/>
    <col min="20" max="20" width="15" style="97" customWidth="1"/>
    <col min="21" max="21" width="10.5703125" style="95" customWidth="1"/>
    <col min="22" max="22" width="14.7109375" style="97" customWidth="1"/>
    <col min="23" max="23" width="10.5703125" style="95" customWidth="1"/>
    <col min="24" max="24" width="14.140625" style="96" customWidth="1"/>
    <col min="25" max="25" width="11.7109375" style="95" bestFit="1" customWidth="1"/>
    <col min="26" max="26" width="14.85546875" style="96" bestFit="1" customWidth="1"/>
    <col min="27" max="27" width="10.5703125" style="95" customWidth="1"/>
    <col min="28" max="28" width="14.85546875" style="98" customWidth="1"/>
    <col min="29" max="29" width="14.42578125" style="58" customWidth="1"/>
    <col min="30" max="30" width="18.28515625" style="159" customWidth="1"/>
    <col min="31" max="31" width="14.5703125" style="151" bestFit="1" customWidth="1"/>
    <col min="32" max="32" width="10.85546875" style="152" bestFit="1" customWidth="1"/>
    <col min="33" max="33" width="13.85546875" style="88" customWidth="1"/>
    <col min="34" max="34" width="12" style="89" customWidth="1"/>
    <col min="35" max="35" width="13.28515625" style="121" customWidth="1"/>
    <col min="36" max="36" width="12" style="91" bestFit="1" customWidth="1"/>
    <col min="37" max="37" width="14.85546875" style="90" bestFit="1" customWidth="1"/>
    <col min="38" max="38" width="12.7109375" style="92" bestFit="1" customWidth="1"/>
    <col min="39" max="39" width="14.42578125" style="90" customWidth="1"/>
    <col min="40" max="40" width="9.7109375" style="93" bestFit="1" customWidth="1"/>
    <col min="41" max="41" width="14.85546875" style="90" bestFit="1" customWidth="1"/>
    <col min="42" max="42" width="9.85546875" style="93" bestFit="1" customWidth="1"/>
    <col min="43" max="43" width="14.85546875" style="90" bestFit="1" customWidth="1"/>
    <col min="44" max="44" width="11.7109375" style="93" bestFit="1" customWidth="1"/>
    <col min="45" max="45" width="14.85546875" style="90" bestFit="1" customWidth="1"/>
    <col min="46" max="46" width="10.5703125" style="93" bestFit="1" customWidth="1"/>
    <col min="47" max="47" width="14.85546875" style="90" bestFit="1" customWidth="1"/>
    <col min="48" max="48" width="10.42578125" style="93" bestFit="1" customWidth="1"/>
    <col min="49" max="49" width="14.85546875" style="90" bestFit="1" customWidth="1"/>
    <col min="50" max="50" width="14.85546875" style="93" bestFit="1" customWidth="1"/>
    <col min="51" max="51" width="14.85546875" style="90" bestFit="1" customWidth="1"/>
    <col min="52" max="52" width="9.5703125" style="93" bestFit="1" customWidth="1"/>
    <col min="53" max="53" width="14.85546875" style="94" bestFit="1" customWidth="1"/>
    <col min="54" max="54" width="12.5703125" style="99" bestFit="1" customWidth="1"/>
    <col min="55" max="55" width="12.42578125" style="87" bestFit="1" customWidth="1"/>
    <col min="56" max="16384" width="9.140625" style="55"/>
  </cols>
  <sheetData>
    <row r="1" spans="1:77" ht="12.75">
      <c r="A1" s="69" t="s">
        <v>518</v>
      </c>
      <c r="B1" s="136" t="s">
        <v>178</v>
      </c>
      <c r="C1" s="132" t="s">
        <v>1255</v>
      </c>
      <c r="D1" s="133"/>
      <c r="E1" s="134"/>
      <c r="F1" s="100"/>
      <c r="G1" s="47"/>
      <c r="H1" s="47"/>
      <c r="I1" s="47"/>
      <c r="J1" s="180" t="s">
        <v>772</v>
      </c>
      <c r="K1" s="190"/>
      <c r="L1" s="182">
        <f>SUM(K:K)</f>
        <v>144139</v>
      </c>
      <c r="M1" s="183"/>
      <c r="N1" s="184">
        <f>SUM(M:M)</f>
        <v>3208062</v>
      </c>
      <c r="O1" s="185"/>
      <c r="P1" s="184">
        <f>SUM(O:O)</f>
        <v>215093</v>
      </c>
      <c r="Q1" s="185"/>
      <c r="R1" s="184">
        <f>SUM(Q:Q)</f>
        <v>327919</v>
      </c>
      <c r="S1" s="1666"/>
      <c r="T1" s="1667">
        <f>SUM(S:S)</f>
        <v>779366</v>
      </c>
      <c r="U1" s="1666"/>
      <c r="V1" s="1668">
        <f>SUM(U:U)</f>
        <v>967263</v>
      </c>
      <c r="W1" s="185"/>
      <c r="X1" s="184">
        <f>SUM(W:W)</f>
        <v>0</v>
      </c>
      <c r="Y1" s="185"/>
      <c r="Z1" s="184">
        <f>SUM(Y:Y)</f>
        <v>130657</v>
      </c>
      <c r="AA1" s="185"/>
      <c r="AB1" s="187">
        <f>SUM(AA:AA)</f>
        <v>32246</v>
      </c>
      <c r="AC1" s="188" t="s">
        <v>940</v>
      </c>
      <c r="AD1" s="191">
        <f>SUM(AB1,Z1,X1,V1,T1,R1,P1,N1,L1)</f>
        <v>5804745</v>
      </c>
      <c r="AE1" s="192"/>
      <c r="AF1" s="143"/>
      <c r="AG1" s="61"/>
      <c r="AH1" s="34"/>
      <c r="AI1" s="41" t="s">
        <v>1104</v>
      </c>
      <c r="AJ1" s="51"/>
      <c r="AK1" s="43">
        <f>SUM(AJ:AJ)</f>
        <v>0</v>
      </c>
      <c r="AL1" s="44"/>
      <c r="AM1" s="43">
        <f>SUM(AL:AL)</f>
        <v>0</v>
      </c>
      <c r="AN1" s="42"/>
      <c r="AO1" s="43">
        <f>SUM(AN:AN)</f>
        <v>0</v>
      </c>
      <c r="AP1" s="42"/>
      <c r="AQ1" s="43">
        <f>SUM(AP:AP)</f>
        <v>0</v>
      </c>
      <c r="AR1" s="1674"/>
      <c r="AS1" s="1675">
        <f>SUM(AR:AR)</f>
        <v>0</v>
      </c>
      <c r="AT1" s="1674"/>
      <c r="AU1" s="1675">
        <f>SUM(AT:AT)</f>
        <v>0</v>
      </c>
      <c r="AV1" s="42"/>
      <c r="AW1" s="43">
        <f>SUM(AV:AV)</f>
        <v>0</v>
      </c>
      <c r="AX1" s="42"/>
      <c r="AY1" s="43">
        <f>SUM(AX:AX)</f>
        <v>0</v>
      </c>
      <c r="AZ1" s="42"/>
      <c r="BA1" s="45">
        <f>SUM(AZ:AZ)</f>
        <v>0</v>
      </c>
      <c r="BB1" s="179" t="s">
        <v>1125</v>
      </c>
      <c r="BC1" s="59">
        <f>AK1+AM1+AO1+AQ1+AS1+AU1+AW1+AY1+BA1</f>
        <v>0</v>
      </c>
    </row>
    <row r="2" spans="1:77" ht="67.5">
      <c r="A2" s="70" t="s">
        <v>271</v>
      </c>
      <c r="B2" s="137" t="s">
        <v>517</v>
      </c>
      <c r="C2" s="166" t="s">
        <v>440</v>
      </c>
      <c r="D2" s="75" t="s">
        <v>1103</v>
      </c>
      <c r="E2" s="67"/>
      <c r="F2" s="68"/>
      <c r="G2" s="21"/>
      <c r="H2" s="82"/>
      <c r="I2" s="46"/>
      <c r="J2" s="66"/>
      <c r="K2" s="167"/>
      <c r="L2" s="168"/>
      <c r="M2" s="110"/>
      <c r="N2" s="111"/>
      <c r="O2" s="15"/>
      <c r="P2" s="16"/>
      <c r="Q2" s="15"/>
      <c r="R2" s="16"/>
      <c r="S2" s="1669"/>
      <c r="T2" s="1670"/>
      <c r="U2" s="1669"/>
      <c r="V2" s="1671"/>
      <c r="W2" s="15"/>
      <c r="X2" s="16"/>
      <c r="Y2" s="15"/>
      <c r="Z2" s="16"/>
      <c r="AA2" s="15"/>
      <c r="AB2" s="17"/>
      <c r="AC2" s="56" t="s">
        <v>1269</v>
      </c>
      <c r="AD2" s="165">
        <f>SUM(AC:AC)-AD1</f>
        <v>0</v>
      </c>
      <c r="AE2" s="144"/>
      <c r="AF2" s="153"/>
      <c r="AG2" s="55"/>
      <c r="AH2" s="34"/>
      <c r="AI2" s="1"/>
      <c r="AJ2" s="52"/>
      <c r="AK2" s="39"/>
      <c r="AL2" s="18"/>
      <c r="AM2" s="18"/>
      <c r="AN2" s="19"/>
      <c r="AO2" s="18"/>
      <c r="AP2" s="19"/>
      <c r="AQ2" s="18"/>
      <c r="AR2" s="1676"/>
      <c r="AS2" s="1677"/>
      <c r="AT2" s="1676"/>
      <c r="AU2" s="1677"/>
      <c r="AV2" s="19"/>
      <c r="AW2" s="18"/>
      <c r="AX2" s="19"/>
      <c r="AY2" s="18"/>
      <c r="AZ2" s="19"/>
      <c r="BA2" s="18"/>
      <c r="BB2" s="60" t="s">
        <v>828</v>
      </c>
      <c r="BC2" s="18">
        <f>SUM(BB:BB)-BC1</f>
        <v>0</v>
      </c>
    </row>
    <row r="3" spans="1:77" ht="12" thickBot="1">
      <c r="A3" s="71"/>
      <c r="B3" s="138"/>
      <c r="C3" s="166" t="s">
        <v>1256</v>
      </c>
      <c r="D3" s="176">
        <f>COUNTA(C:C)-COUNTA(C1:C6)</f>
        <v>72</v>
      </c>
      <c r="E3" s="177"/>
      <c r="F3" s="101"/>
      <c r="G3" s="22"/>
      <c r="H3" s="22"/>
      <c r="I3" s="22"/>
      <c r="J3" s="170"/>
      <c r="K3" s="169"/>
      <c r="L3" s="178">
        <f>COUNTA(K:K)-COUNTA(K1:K6)</f>
        <v>37</v>
      </c>
      <c r="M3" s="8"/>
      <c r="N3" s="178">
        <f>COUNTA(M:M)-COUNTA(M1:M6)</f>
        <v>45</v>
      </c>
      <c r="O3" s="8"/>
      <c r="P3" s="178">
        <f>COUNTA(O:O)-COUNTA(O1:O6)</f>
        <v>17</v>
      </c>
      <c r="Q3" s="8"/>
      <c r="R3" s="178">
        <f>COUNTA(Q:Q)-COUNTA(Q1:Q6)</f>
        <v>46</v>
      </c>
      <c r="S3" s="1672"/>
      <c r="T3" s="1673">
        <f>COUNTA(S:S)-COUNTA(S1:S6)</f>
        <v>38</v>
      </c>
      <c r="U3" s="1672"/>
      <c r="V3" s="1673">
        <f>COUNTA(U:U)-COUNTA(U1:U6)</f>
        <v>41</v>
      </c>
      <c r="W3" s="8"/>
      <c r="X3" s="178">
        <f>COUNTA(W:W)-COUNTA(W1:W6)</f>
        <v>0</v>
      </c>
      <c r="Y3" s="8"/>
      <c r="Z3" s="178">
        <f>COUNTA(Y:Y)-COUNTA(Y1:Y6)</f>
        <v>23</v>
      </c>
      <c r="AA3" s="8"/>
      <c r="AB3" s="178">
        <f>COUNTA(AA:AA)-COUNTA(AA1:AA6)</f>
        <v>12</v>
      </c>
      <c r="AC3" s="57"/>
      <c r="AD3" s="17"/>
      <c r="AE3" s="145"/>
      <c r="AF3" s="143"/>
      <c r="AG3" s="61"/>
      <c r="AH3" s="117"/>
      <c r="AI3" s="115"/>
      <c r="AJ3" s="53"/>
      <c r="AK3" s="164">
        <f>COUNTA(AJ:AJ)-COUNTA(AJ1:AJ6)</f>
        <v>0</v>
      </c>
      <c r="AL3" s="37"/>
      <c r="AM3" s="115">
        <f>COUNTA(AL:AL)-COUNTA(AL1:AL6)</f>
        <v>0</v>
      </c>
      <c r="AN3" s="20"/>
      <c r="AO3" s="115">
        <f>COUNTA(AN:AN)-COUNTA(AN1:AN6)</f>
        <v>0</v>
      </c>
      <c r="AP3" s="20"/>
      <c r="AQ3" s="115">
        <f>COUNTA(AP:AP)-COUNTA(AP1:AP6)</f>
        <v>0</v>
      </c>
      <c r="AR3" s="1678"/>
      <c r="AS3" s="1679">
        <f>COUNTA(AR:AR)-COUNTA(AR1:AR6)</f>
        <v>0</v>
      </c>
      <c r="AT3" s="1678"/>
      <c r="AU3" s="1679">
        <f>COUNTA(AT:AT)-COUNTA(AT1:AT6)</f>
        <v>0</v>
      </c>
      <c r="AV3" s="20"/>
      <c r="AW3" s="115">
        <f>COUNTA(AV:AV)-COUNTA(AV1:AV6)</f>
        <v>0</v>
      </c>
      <c r="AX3" s="20"/>
      <c r="AY3" s="115">
        <f>COUNTA(AX:AX)-COUNTA(AX1:AX6)</f>
        <v>0</v>
      </c>
      <c r="AZ3" s="20"/>
      <c r="BA3" s="115">
        <f>COUNTA(AZ:AZ)-COUNTA(AZ1:AZ6)</f>
        <v>0</v>
      </c>
      <c r="BB3" s="62"/>
      <c r="BC3" s="18"/>
    </row>
    <row r="4" spans="1:77" ht="12.75" customHeight="1">
      <c r="A4" s="128"/>
      <c r="B4" s="122"/>
      <c r="C4" s="72" t="s">
        <v>666</v>
      </c>
      <c r="D4" s="76" t="s">
        <v>18</v>
      </c>
      <c r="E4" s="102" t="s">
        <v>456</v>
      </c>
      <c r="F4" s="103"/>
      <c r="G4" s="116" t="s">
        <v>173</v>
      </c>
      <c r="H4" s="103"/>
      <c r="I4" s="6655" t="s">
        <v>631</v>
      </c>
      <c r="J4" s="6680"/>
      <c r="K4" s="123"/>
      <c r="L4" s="124"/>
      <c r="M4" s="123"/>
      <c r="N4" s="25"/>
      <c r="O4" s="123"/>
      <c r="P4" s="2"/>
      <c r="Q4" s="123"/>
      <c r="R4" s="2"/>
      <c r="S4" s="941"/>
      <c r="T4" s="942"/>
      <c r="U4" s="941"/>
      <c r="V4" s="942"/>
      <c r="W4" s="9"/>
      <c r="X4" s="2"/>
      <c r="Y4" s="123"/>
      <c r="Z4" s="2"/>
      <c r="AA4" s="123"/>
      <c r="AB4" s="23"/>
      <c r="AC4" s="6652" t="s">
        <v>1253</v>
      </c>
      <c r="AD4" s="156" t="s">
        <v>695</v>
      </c>
      <c r="AE4" s="154"/>
      <c r="AF4" s="155"/>
      <c r="AG4" s="26" t="s">
        <v>583</v>
      </c>
      <c r="AH4" s="63"/>
      <c r="AI4" s="118"/>
      <c r="AJ4" s="125"/>
      <c r="AK4" s="40"/>
      <c r="AL4" s="126"/>
      <c r="AM4" s="3"/>
      <c r="AN4" s="127"/>
      <c r="AO4" s="3"/>
      <c r="AP4" s="127"/>
      <c r="AQ4" s="3"/>
      <c r="AR4" s="937"/>
      <c r="AS4" s="938"/>
      <c r="AT4" s="937"/>
      <c r="AU4" s="938"/>
      <c r="AV4" s="127"/>
      <c r="AW4" s="3"/>
      <c r="AX4" s="127"/>
      <c r="AY4" s="3"/>
      <c r="AZ4" s="127"/>
      <c r="BA4" s="32"/>
      <c r="BB4" s="6685" t="s">
        <v>1253</v>
      </c>
      <c r="BC4" s="86"/>
    </row>
    <row r="5" spans="1:77" ht="38.25" customHeight="1">
      <c r="A5" s="78" t="s">
        <v>130</v>
      </c>
      <c r="B5" s="129" t="s">
        <v>4930</v>
      </c>
      <c r="C5" s="73"/>
      <c r="D5" s="77" t="s">
        <v>19</v>
      </c>
      <c r="E5" s="104"/>
      <c r="F5" s="105"/>
      <c r="G5" s="104"/>
      <c r="H5" s="105"/>
      <c r="I5" s="6681"/>
      <c r="J5" s="6682"/>
      <c r="K5" s="6645" t="s">
        <v>1791</v>
      </c>
      <c r="L5" s="6646"/>
      <c r="M5" s="6645" t="s">
        <v>1189</v>
      </c>
      <c r="N5" s="6661"/>
      <c r="O5" s="6645" t="s">
        <v>1789</v>
      </c>
      <c r="P5" s="6646"/>
      <c r="Q5" s="6645" t="s">
        <v>1788</v>
      </c>
      <c r="R5" s="6646"/>
      <c r="S5" s="6659" t="s">
        <v>1785</v>
      </c>
      <c r="T5" s="6660"/>
      <c r="U5" s="6659" t="s">
        <v>1784</v>
      </c>
      <c r="V5" s="6660"/>
      <c r="W5" s="6645" t="s">
        <v>1786</v>
      </c>
      <c r="X5" s="6646"/>
      <c r="Y5" s="6645" t="s">
        <v>1783</v>
      </c>
      <c r="Z5" s="6646"/>
      <c r="AA5" s="6645" t="s">
        <v>1787</v>
      </c>
      <c r="AB5" s="6646"/>
      <c r="AC5" s="6683"/>
      <c r="AD5" s="157"/>
      <c r="AE5" s="139"/>
      <c r="AF5" s="141"/>
      <c r="AG5" s="4" t="s">
        <v>670</v>
      </c>
      <c r="AH5" s="35" t="s">
        <v>495</v>
      </c>
      <c r="AI5" s="119" t="s">
        <v>1101</v>
      </c>
      <c r="AJ5" s="6647" t="s">
        <v>1792</v>
      </c>
      <c r="AK5" s="6648"/>
      <c r="AL5" s="6647" t="s">
        <v>1189</v>
      </c>
      <c r="AM5" s="6649"/>
      <c r="AN5" s="6647" t="s">
        <v>1789</v>
      </c>
      <c r="AO5" s="6648"/>
      <c r="AP5" s="6647" t="s">
        <v>1788</v>
      </c>
      <c r="AQ5" s="6648"/>
      <c r="AR5" s="6650" t="s">
        <v>1785</v>
      </c>
      <c r="AS5" s="6651"/>
      <c r="AT5" s="6650" t="s">
        <v>1784</v>
      </c>
      <c r="AU5" s="6651"/>
      <c r="AV5" s="6647" t="s">
        <v>1786</v>
      </c>
      <c r="AW5" s="6648"/>
      <c r="AX5" s="6647" t="s">
        <v>1783</v>
      </c>
      <c r="AY5" s="6648"/>
      <c r="AZ5" s="6647" t="s">
        <v>1787</v>
      </c>
      <c r="BA5" s="6648"/>
      <c r="BB5" s="6686"/>
    </row>
    <row r="6" spans="1:77" ht="12" thickBot="1">
      <c r="A6" s="130"/>
      <c r="B6" s="131"/>
      <c r="C6" s="74"/>
      <c r="D6" s="135"/>
      <c r="E6" s="106" t="s">
        <v>1005</v>
      </c>
      <c r="F6" s="107" t="s">
        <v>603</v>
      </c>
      <c r="G6" s="106" t="s">
        <v>236</v>
      </c>
      <c r="H6" s="107" t="s">
        <v>603</v>
      </c>
      <c r="I6" s="108" t="s">
        <v>477</v>
      </c>
      <c r="J6" s="109" t="s">
        <v>1277</v>
      </c>
      <c r="K6" s="10" t="s">
        <v>247</v>
      </c>
      <c r="L6" s="83" t="s">
        <v>1254</v>
      </c>
      <c r="M6" s="10" t="s">
        <v>247</v>
      </c>
      <c r="N6" s="5" t="s">
        <v>1254</v>
      </c>
      <c r="O6" s="10" t="s">
        <v>247</v>
      </c>
      <c r="P6" s="5" t="s">
        <v>1254</v>
      </c>
      <c r="Q6" s="10" t="s">
        <v>247</v>
      </c>
      <c r="R6" s="5" t="s">
        <v>1254</v>
      </c>
      <c r="S6" s="943" t="s">
        <v>247</v>
      </c>
      <c r="T6" s="944" t="s">
        <v>1254</v>
      </c>
      <c r="U6" s="943" t="s">
        <v>247</v>
      </c>
      <c r="V6" s="944" t="s">
        <v>1254</v>
      </c>
      <c r="W6" s="10" t="s">
        <v>247</v>
      </c>
      <c r="X6" s="5" t="s">
        <v>1254</v>
      </c>
      <c r="Y6" s="10" t="s">
        <v>247</v>
      </c>
      <c r="Z6" s="5" t="s">
        <v>1254</v>
      </c>
      <c r="AA6" s="10" t="s">
        <v>247</v>
      </c>
      <c r="AB6" s="24" t="s">
        <v>1254</v>
      </c>
      <c r="AC6" s="6684"/>
      <c r="AD6" s="158" t="s">
        <v>753</v>
      </c>
      <c r="AE6" s="140" t="s">
        <v>928</v>
      </c>
      <c r="AF6" s="142" t="s">
        <v>979</v>
      </c>
      <c r="AG6" s="6"/>
      <c r="AH6" s="36"/>
      <c r="AI6" s="120"/>
      <c r="AJ6" s="54" t="s">
        <v>247</v>
      </c>
      <c r="AK6" s="7" t="s">
        <v>1254</v>
      </c>
      <c r="AL6" s="38" t="s">
        <v>247</v>
      </c>
      <c r="AM6" s="7" t="s">
        <v>1254</v>
      </c>
      <c r="AN6" s="11" t="s">
        <v>247</v>
      </c>
      <c r="AO6" s="7" t="s">
        <v>1254</v>
      </c>
      <c r="AP6" s="11" t="s">
        <v>247</v>
      </c>
      <c r="AQ6" s="7" t="s">
        <v>1254</v>
      </c>
      <c r="AR6" s="939" t="s">
        <v>247</v>
      </c>
      <c r="AS6" s="940" t="s">
        <v>1254</v>
      </c>
      <c r="AT6" s="939" t="s">
        <v>247</v>
      </c>
      <c r="AU6" s="940" t="s">
        <v>1254</v>
      </c>
      <c r="AV6" s="11" t="s">
        <v>247</v>
      </c>
      <c r="AW6" s="7" t="s">
        <v>1254</v>
      </c>
      <c r="AX6" s="11" t="s">
        <v>247</v>
      </c>
      <c r="AY6" s="7" t="s">
        <v>1254</v>
      </c>
      <c r="AZ6" s="11" t="s">
        <v>247</v>
      </c>
      <c r="BA6" s="33" t="s">
        <v>1254</v>
      </c>
      <c r="BB6" s="6687"/>
    </row>
    <row r="7" spans="1:77" s="267" customFormat="1" ht="18.75" thickBot="1">
      <c r="A7" s="268" t="s">
        <v>2258</v>
      </c>
      <c r="B7" s="269"/>
      <c r="C7" s="270"/>
      <c r="D7" s="271"/>
      <c r="E7" s="270"/>
      <c r="F7" s="272"/>
      <c r="G7" s="272"/>
      <c r="H7" s="273"/>
      <c r="I7" s="272"/>
      <c r="J7" s="272"/>
      <c r="K7" s="272"/>
      <c r="L7" s="272"/>
      <c r="M7" s="272"/>
      <c r="N7" s="272"/>
      <c r="O7" s="272"/>
      <c r="P7" s="272"/>
      <c r="Q7" s="272"/>
      <c r="R7" s="272"/>
      <c r="S7" s="272"/>
      <c r="T7" s="272"/>
      <c r="U7" s="272"/>
      <c r="V7" s="272"/>
      <c r="W7" s="272"/>
      <c r="X7" s="275"/>
      <c r="Y7" s="275"/>
      <c r="Z7" s="277"/>
      <c r="AA7" s="276"/>
      <c r="AB7" s="278"/>
      <c r="AC7" s="278"/>
      <c r="AD7" s="278"/>
      <c r="AE7" s="278"/>
      <c r="AF7" s="278"/>
      <c r="AG7" s="279"/>
      <c r="AH7" s="275"/>
      <c r="AI7" s="275"/>
      <c r="AJ7" s="275"/>
      <c r="AK7" s="275"/>
      <c r="AL7" s="275"/>
      <c r="AM7" s="280"/>
      <c r="AN7" s="272"/>
      <c r="AO7" s="272"/>
      <c r="AP7" s="272"/>
      <c r="AQ7" s="272"/>
      <c r="AR7" s="272"/>
      <c r="AS7" s="272"/>
      <c r="AT7" s="272"/>
      <c r="AU7" s="272"/>
      <c r="AV7" s="272"/>
      <c r="AW7" s="272"/>
      <c r="AX7" s="272"/>
      <c r="AY7" s="272"/>
      <c r="AZ7" s="272"/>
      <c r="BA7" s="272"/>
      <c r="BB7" s="277"/>
      <c r="BC7" s="87"/>
      <c r="BD7" s="55"/>
      <c r="BE7" s="55"/>
      <c r="BF7" s="55"/>
      <c r="BG7" s="55"/>
      <c r="BH7" s="55"/>
      <c r="BI7" s="55"/>
      <c r="BJ7" s="55"/>
      <c r="BK7" s="55"/>
      <c r="BL7" s="55"/>
      <c r="BM7" s="55"/>
      <c r="BN7" s="55"/>
      <c r="BO7" s="55"/>
      <c r="BP7" s="55"/>
      <c r="BQ7" s="55"/>
      <c r="BR7" s="55"/>
      <c r="BS7" s="55"/>
      <c r="BT7" s="55"/>
      <c r="BU7" s="55"/>
      <c r="BV7" s="55"/>
      <c r="BW7" s="55"/>
      <c r="BX7" s="55"/>
      <c r="BY7" s="55"/>
    </row>
    <row r="8" spans="1:77" s="194" customFormat="1" ht="57" thickBot="1">
      <c r="A8" s="782" t="s">
        <v>7441</v>
      </c>
      <c r="B8" s="527" t="s">
        <v>12</v>
      </c>
      <c r="C8" s="528" t="s">
        <v>127</v>
      </c>
      <c r="D8" s="529" t="s">
        <v>788</v>
      </c>
      <c r="E8" s="530" t="s">
        <v>193</v>
      </c>
      <c r="F8" s="531" t="s">
        <v>490</v>
      </c>
      <c r="G8" s="530" t="s">
        <v>1031</v>
      </c>
      <c r="H8" s="531" t="s">
        <v>1030</v>
      </c>
      <c r="I8" s="530" t="s">
        <v>63</v>
      </c>
      <c r="J8" s="532" t="s">
        <v>776</v>
      </c>
      <c r="K8" s="533"/>
      <c r="L8" s="534" t="s">
        <v>1769</v>
      </c>
      <c r="M8" s="535">
        <v>1111</v>
      </c>
      <c r="N8" s="534">
        <v>39965</v>
      </c>
      <c r="O8" s="533"/>
      <c r="P8" s="534" t="s">
        <v>1770</v>
      </c>
      <c r="Q8" s="533"/>
      <c r="R8" s="534" t="s">
        <v>1771</v>
      </c>
      <c r="S8" s="957"/>
      <c r="T8" s="973" t="s">
        <v>1772</v>
      </c>
      <c r="U8" s="957"/>
      <c r="V8" s="973" t="s">
        <v>1773</v>
      </c>
      <c r="W8" s="533"/>
      <c r="X8" s="531"/>
      <c r="Y8" s="533"/>
      <c r="Z8" s="531"/>
      <c r="AA8" s="533"/>
      <c r="AB8" s="532"/>
      <c r="AC8" s="536">
        <f t="shared" ref="AC8:AC39" si="0">K8+M8+O8+Q8+S8+U8+W8+Y8+AA8</f>
        <v>1111</v>
      </c>
      <c r="AD8" s="630" t="s">
        <v>937</v>
      </c>
      <c r="AE8" s="631">
        <v>40128</v>
      </c>
      <c r="AF8" s="632">
        <v>41589</v>
      </c>
      <c r="AG8" s="537"/>
      <c r="AH8" s="538"/>
      <c r="AI8" s="539"/>
      <c r="AJ8" s="540"/>
      <c r="AK8" s="541"/>
      <c r="AL8" s="542"/>
      <c r="AM8" s="541"/>
      <c r="AN8" s="543"/>
      <c r="AO8" s="541"/>
      <c r="AP8" s="543"/>
      <c r="AQ8" s="541"/>
      <c r="AR8" s="987"/>
      <c r="AS8" s="1002"/>
      <c r="AT8" s="987"/>
      <c r="AU8" s="1002"/>
      <c r="AV8" s="543"/>
      <c r="AW8" s="541"/>
      <c r="AX8" s="543"/>
      <c r="AY8" s="541"/>
      <c r="AZ8" s="543"/>
      <c r="BA8" s="544"/>
      <c r="BB8" s="545">
        <f t="shared" ref="BB8:BB33" si="1">AJ8+AL8+AN8+AP8+AR8+AT8+AV8+AX8+AZ8</f>
        <v>0</v>
      </c>
      <c r="BC8" s="87"/>
      <c r="BD8" s="55"/>
      <c r="BE8" s="55"/>
      <c r="BF8" s="55"/>
      <c r="BG8" s="55"/>
      <c r="BH8" s="55"/>
      <c r="BI8" s="55"/>
      <c r="BJ8" s="55"/>
      <c r="BK8" s="55"/>
      <c r="BL8" s="55"/>
      <c r="BM8" s="55"/>
      <c r="BN8" s="55"/>
      <c r="BO8" s="55"/>
      <c r="BP8" s="55"/>
      <c r="BQ8" s="55"/>
      <c r="BR8" s="55"/>
      <c r="BS8" s="55"/>
      <c r="BT8" s="55"/>
      <c r="BU8" s="55"/>
      <c r="BV8" s="55"/>
      <c r="BW8" s="55"/>
      <c r="BX8" s="55"/>
      <c r="BY8" s="55"/>
    </row>
    <row r="9" spans="1:77" ht="56.25">
      <c r="A9" s="783" t="s">
        <v>7442</v>
      </c>
      <c r="B9" s="368" t="s">
        <v>1308</v>
      </c>
      <c r="C9" s="215" t="s">
        <v>1174</v>
      </c>
      <c r="D9" s="350" t="s">
        <v>788</v>
      </c>
      <c r="E9" s="354" t="s">
        <v>1309</v>
      </c>
      <c r="F9" s="353" t="s">
        <v>1310</v>
      </c>
      <c r="G9" s="354" t="s">
        <v>1311</v>
      </c>
      <c r="H9" s="353" t="s">
        <v>605</v>
      </c>
      <c r="I9" s="354" t="s">
        <v>143</v>
      </c>
      <c r="J9" s="355" t="s">
        <v>741</v>
      </c>
      <c r="K9" s="370"/>
      <c r="L9" s="357" t="s">
        <v>1860</v>
      </c>
      <c r="M9" s="371">
        <v>1043</v>
      </c>
      <c r="N9" s="372">
        <v>39873</v>
      </c>
      <c r="O9" s="370"/>
      <c r="P9" s="373"/>
      <c r="Q9" s="370"/>
      <c r="R9" s="357" t="s">
        <v>1861</v>
      </c>
      <c r="S9" s="948"/>
      <c r="T9" s="949" t="s">
        <v>1862</v>
      </c>
      <c r="U9" s="948">
        <v>1127</v>
      </c>
      <c r="V9" s="950" t="s">
        <v>1863</v>
      </c>
      <c r="W9" s="370"/>
      <c r="X9" s="353"/>
      <c r="Y9" s="370"/>
      <c r="Z9" s="353"/>
      <c r="AA9" s="370"/>
      <c r="AB9" s="355"/>
      <c r="AC9" s="358">
        <f t="shared" si="0"/>
        <v>2170</v>
      </c>
      <c r="AD9" s="423" t="s">
        <v>937</v>
      </c>
      <c r="AE9" s="424">
        <v>39961</v>
      </c>
      <c r="AF9" s="425">
        <v>41421</v>
      </c>
      <c r="AG9" s="377"/>
      <c r="AH9" s="378"/>
      <c r="AI9" s="379"/>
      <c r="AJ9" s="380"/>
      <c r="AK9" s="381"/>
      <c r="AL9" s="382"/>
      <c r="AM9" s="381"/>
      <c r="AN9" s="383"/>
      <c r="AO9" s="381"/>
      <c r="AP9" s="383"/>
      <c r="AQ9" s="381"/>
      <c r="AR9" s="982"/>
      <c r="AS9" s="984"/>
      <c r="AT9" s="982"/>
      <c r="AU9" s="984"/>
      <c r="AV9" s="383"/>
      <c r="AW9" s="381"/>
      <c r="AX9" s="383"/>
      <c r="AY9" s="381"/>
      <c r="AZ9" s="383"/>
      <c r="BA9" s="384"/>
      <c r="BB9" s="367">
        <f t="shared" si="1"/>
        <v>0</v>
      </c>
    </row>
    <row r="10" spans="1:77" s="47" customFormat="1" ht="85.5">
      <c r="A10" s="4216" t="s">
        <v>7451</v>
      </c>
      <c r="B10" s="368" t="s">
        <v>1086</v>
      </c>
      <c r="C10" s="215" t="s">
        <v>108</v>
      </c>
      <c r="D10" s="350" t="s">
        <v>788</v>
      </c>
      <c r="E10" s="354" t="s">
        <v>1300</v>
      </c>
      <c r="F10" s="353" t="s">
        <v>884</v>
      </c>
      <c r="G10" s="354" t="s">
        <v>398</v>
      </c>
      <c r="H10" s="353" t="s">
        <v>1075</v>
      </c>
      <c r="I10" s="354" t="s">
        <v>1257</v>
      </c>
      <c r="J10" s="355" t="s">
        <v>250</v>
      </c>
      <c r="K10" s="370"/>
      <c r="L10" s="357"/>
      <c r="M10" s="371">
        <v>2648</v>
      </c>
      <c r="N10" s="372" t="s">
        <v>1868</v>
      </c>
      <c r="O10" s="370"/>
      <c r="P10" s="373"/>
      <c r="Q10" s="370"/>
      <c r="R10" s="353"/>
      <c r="S10" s="948"/>
      <c r="T10" s="951"/>
      <c r="U10" s="948"/>
      <c r="V10" s="950" t="s">
        <v>1865</v>
      </c>
      <c r="W10" s="370"/>
      <c r="X10" s="353"/>
      <c r="Y10" s="370"/>
      <c r="Z10" s="353"/>
      <c r="AA10" s="370"/>
      <c r="AB10" s="355"/>
      <c r="AC10" s="358">
        <f t="shared" si="0"/>
        <v>2648</v>
      </c>
      <c r="AD10" s="423" t="s">
        <v>266</v>
      </c>
      <c r="AE10" s="424">
        <v>38883</v>
      </c>
      <c r="AF10" s="425">
        <v>40344</v>
      </c>
      <c r="AG10" s="359" t="s">
        <v>1867</v>
      </c>
      <c r="AH10" s="360">
        <v>38953</v>
      </c>
      <c r="AI10" s="361">
        <v>211174</v>
      </c>
      <c r="AJ10" s="362"/>
      <c r="AK10" s="363"/>
      <c r="AL10" s="364"/>
      <c r="AM10" s="363"/>
      <c r="AN10" s="365"/>
      <c r="AO10" s="363"/>
      <c r="AP10" s="365"/>
      <c r="AQ10" s="363"/>
      <c r="AR10" s="935"/>
      <c r="AS10" s="936"/>
      <c r="AT10" s="935"/>
      <c r="AU10" s="981" t="s">
        <v>1866</v>
      </c>
      <c r="AV10" s="365"/>
      <c r="AW10" s="363"/>
      <c r="AX10" s="365"/>
      <c r="AY10" s="363"/>
      <c r="AZ10" s="365"/>
      <c r="BA10" s="366"/>
      <c r="BB10" s="367">
        <f t="shared" si="1"/>
        <v>0</v>
      </c>
      <c r="BC10" s="87"/>
      <c r="BD10" s="55"/>
      <c r="BE10" s="55"/>
      <c r="BF10" s="55"/>
      <c r="BG10" s="55"/>
      <c r="BH10" s="55"/>
      <c r="BI10" s="55"/>
      <c r="BJ10" s="55"/>
      <c r="BK10" s="55"/>
      <c r="BL10" s="55"/>
      <c r="BM10" s="55"/>
      <c r="BN10" s="55"/>
      <c r="BO10" s="55"/>
      <c r="BP10" s="55"/>
      <c r="BQ10" s="55"/>
      <c r="BR10" s="55"/>
      <c r="BS10" s="55"/>
      <c r="BT10" s="55"/>
      <c r="BU10" s="55"/>
      <c r="BV10" s="55"/>
      <c r="BW10" s="55"/>
      <c r="BX10" s="55"/>
      <c r="BY10" s="55"/>
    </row>
    <row r="11" spans="1:77" s="47" customFormat="1" ht="85.5">
      <c r="A11" s="783" t="s">
        <v>7452</v>
      </c>
      <c r="B11" s="368" t="s">
        <v>1020</v>
      </c>
      <c r="C11" s="215" t="s">
        <v>1077</v>
      </c>
      <c r="D11" s="350" t="s">
        <v>1330</v>
      </c>
      <c r="E11" s="354" t="s">
        <v>51</v>
      </c>
      <c r="F11" s="353" t="s">
        <v>816</v>
      </c>
      <c r="G11" s="354" t="s">
        <v>910</v>
      </c>
      <c r="H11" s="353" t="s">
        <v>911</v>
      </c>
      <c r="I11" s="354" t="s">
        <v>15</v>
      </c>
      <c r="J11" s="355" t="s">
        <v>581</v>
      </c>
      <c r="K11" s="370"/>
      <c r="L11" s="357"/>
      <c r="M11" s="371">
        <v>1220</v>
      </c>
      <c r="N11" s="372" t="s">
        <v>1869</v>
      </c>
      <c r="O11" s="370"/>
      <c r="P11" s="373"/>
      <c r="Q11" s="370"/>
      <c r="R11" s="353"/>
      <c r="S11" s="948"/>
      <c r="T11" s="951"/>
      <c r="U11" s="948"/>
      <c r="V11" s="952"/>
      <c r="W11" s="370"/>
      <c r="X11" s="353"/>
      <c r="Y11" s="370"/>
      <c r="Z11" s="353"/>
      <c r="AA11" s="370"/>
      <c r="AB11" s="355"/>
      <c r="AC11" s="358">
        <f t="shared" si="0"/>
        <v>1220</v>
      </c>
      <c r="AD11" s="423" t="s">
        <v>779</v>
      </c>
      <c r="AE11" s="424">
        <v>39008</v>
      </c>
      <c r="AF11" s="425">
        <v>39739</v>
      </c>
      <c r="AG11" s="359"/>
      <c r="AH11" s="360"/>
      <c r="AI11" s="361"/>
      <c r="AJ11" s="362"/>
      <c r="AK11" s="363"/>
      <c r="AL11" s="364"/>
      <c r="AM11" s="363"/>
      <c r="AN11" s="365"/>
      <c r="AO11" s="363"/>
      <c r="AP11" s="365"/>
      <c r="AQ11" s="363"/>
      <c r="AR11" s="935"/>
      <c r="AS11" s="936"/>
      <c r="AT11" s="935"/>
      <c r="AU11" s="936"/>
      <c r="AV11" s="365"/>
      <c r="AW11" s="363"/>
      <c r="AX11" s="365"/>
      <c r="AY11" s="363"/>
      <c r="AZ11" s="365"/>
      <c r="BA11" s="366"/>
      <c r="BB11" s="367">
        <f t="shared" si="1"/>
        <v>0</v>
      </c>
      <c r="BC11" s="87"/>
      <c r="BD11" s="55"/>
      <c r="BE11" s="55"/>
      <c r="BF11" s="55"/>
      <c r="BG11" s="55"/>
      <c r="BH11" s="55"/>
      <c r="BI11" s="55"/>
      <c r="BJ11" s="55"/>
      <c r="BK11" s="55"/>
      <c r="BL11" s="55"/>
      <c r="BM11" s="55"/>
      <c r="BN11" s="55"/>
      <c r="BO11" s="55"/>
      <c r="BP11" s="55"/>
      <c r="BQ11" s="55"/>
      <c r="BR11" s="55"/>
      <c r="BS11" s="55"/>
      <c r="BT11" s="55"/>
      <c r="BU11" s="55"/>
      <c r="BV11" s="55"/>
      <c r="BW11" s="55"/>
      <c r="BX11" s="55"/>
      <c r="BY11" s="55"/>
    </row>
    <row r="12" spans="1:77" s="47" customFormat="1" ht="69">
      <c r="A12" s="783" t="s">
        <v>7453</v>
      </c>
      <c r="B12" s="368" t="s">
        <v>621</v>
      </c>
      <c r="C12" s="215" t="s">
        <v>1021</v>
      </c>
      <c r="D12" s="350" t="s">
        <v>1330</v>
      </c>
      <c r="E12" s="354" t="s">
        <v>1260</v>
      </c>
      <c r="F12" s="353" t="s">
        <v>1333</v>
      </c>
      <c r="G12" s="354" t="s">
        <v>488</v>
      </c>
      <c r="H12" s="353" t="s">
        <v>648</v>
      </c>
      <c r="I12" s="354" t="s">
        <v>1257</v>
      </c>
      <c r="J12" s="355" t="s">
        <v>581</v>
      </c>
      <c r="K12" s="370"/>
      <c r="L12" s="357"/>
      <c r="M12" s="371">
        <v>2763</v>
      </c>
      <c r="N12" s="372">
        <v>39234</v>
      </c>
      <c r="O12" s="370"/>
      <c r="P12" s="373"/>
      <c r="Q12" s="370"/>
      <c r="R12" s="353"/>
      <c r="S12" s="948"/>
      <c r="T12" s="951"/>
      <c r="U12" s="948"/>
      <c r="V12" s="952"/>
      <c r="W12" s="370"/>
      <c r="X12" s="353"/>
      <c r="Y12" s="370"/>
      <c r="Z12" s="353"/>
      <c r="AA12" s="370"/>
      <c r="AB12" s="355"/>
      <c r="AC12" s="358">
        <f t="shared" si="0"/>
        <v>2763</v>
      </c>
      <c r="AD12" s="423" t="s">
        <v>937</v>
      </c>
      <c r="AE12" s="424">
        <v>39335</v>
      </c>
      <c r="AF12" s="425">
        <v>40066</v>
      </c>
      <c r="AG12" s="359"/>
      <c r="AH12" s="360"/>
      <c r="AI12" s="361"/>
      <c r="AJ12" s="362"/>
      <c r="AK12" s="363"/>
      <c r="AL12" s="364"/>
      <c r="AM12" s="363"/>
      <c r="AN12" s="365"/>
      <c r="AO12" s="363"/>
      <c r="AP12" s="365"/>
      <c r="AQ12" s="363"/>
      <c r="AR12" s="935"/>
      <c r="AS12" s="936"/>
      <c r="AT12" s="935"/>
      <c r="AU12" s="936"/>
      <c r="AV12" s="365"/>
      <c r="AW12" s="363"/>
      <c r="AX12" s="365"/>
      <c r="AY12" s="363"/>
      <c r="AZ12" s="365"/>
      <c r="BA12" s="366"/>
      <c r="BB12" s="367">
        <f t="shared" si="1"/>
        <v>0</v>
      </c>
      <c r="BC12" s="87"/>
      <c r="BD12" s="55"/>
      <c r="BE12" s="55"/>
      <c r="BF12" s="55"/>
      <c r="BG12" s="55"/>
      <c r="BH12" s="55"/>
      <c r="BI12" s="55"/>
      <c r="BJ12" s="55"/>
      <c r="BK12" s="55"/>
      <c r="BL12" s="55"/>
      <c r="BM12" s="55"/>
      <c r="BN12" s="55"/>
      <c r="BO12" s="55"/>
      <c r="BP12" s="55"/>
      <c r="BQ12" s="55"/>
      <c r="BR12" s="55"/>
      <c r="BS12" s="55"/>
      <c r="BT12" s="55"/>
      <c r="BU12" s="55"/>
      <c r="BV12" s="55"/>
      <c r="BW12" s="55"/>
      <c r="BX12" s="55"/>
      <c r="BY12" s="55"/>
    </row>
    <row r="13" spans="1:77" s="47" customFormat="1" ht="60.75">
      <c r="A13" s="783" t="s">
        <v>7454</v>
      </c>
      <c r="B13" s="368" t="s">
        <v>357</v>
      </c>
      <c r="C13" s="215" t="s">
        <v>132</v>
      </c>
      <c r="D13" s="350" t="s">
        <v>1330</v>
      </c>
      <c r="E13" s="354" t="s">
        <v>77</v>
      </c>
      <c r="F13" s="353" t="s">
        <v>675</v>
      </c>
      <c r="G13" s="354" t="s">
        <v>676</v>
      </c>
      <c r="H13" s="353" t="s">
        <v>1326</v>
      </c>
      <c r="I13" s="354" t="s">
        <v>1257</v>
      </c>
      <c r="J13" s="355" t="s">
        <v>581</v>
      </c>
      <c r="K13" s="370"/>
      <c r="L13" s="357"/>
      <c r="M13" s="371">
        <v>2789</v>
      </c>
      <c r="N13" s="372">
        <v>39326</v>
      </c>
      <c r="O13" s="370"/>
      <c r="P13" s="373"/>
      <c r="Q13" s="370"/>
      <c r="R13" s="353"/>
      <c r="S13" s="948"/>
      <c r="T13" s="951"/>
      <c r="U13" s="948"/>
      <c r="V13" s="952"/>
      <c r="W13" s="370"/>
      <c r="X13" s="353"/>
      <c r="Y13" s="370"/>
      <c r="Z13" s="353"/>
      <c r="AA13" s="370"/>
      <c r="AB13" s="355"/>
      <c r="AC13" s="358">
        <f t="shared" si="0"/>
        <v>2789</v>
      </c>
      <c r="AD13" s="633" t="s">
        <v>269</v>
      </c>
      <c r="AE13" s="424">
        <v>39419</v>
      </c>
      <c r="AF13" s="425">
        <v>40150</v>
      </c>
      <c r="AG13" s="359"/>
      <c r="AH13" s="360"/>
      <c r="AI13" s="361"/>
      <c r="AJ13" s="362"/>
      <c r="AK13" s="363"/>
      <c r="AL13" s="364"/>
      <c r="AM13" s="363"/>
      <c r="AN13" s="365"/>
      <c r="AO13" s="363"/>
      <c r="AP13" s="365"/>
      <c r="AQ13" s="363"/>
      <c r="AR13" s="935"/>
      <c r="AS13" s="936"/>
      <c r="AT13" s="935"/>
      <c r="AU13" s="936"/>
      <c r="AV13" s="365"/>
      <c r="AW13" s="363"/>
      <c r="AX13" s="365"/>
      <c r="AY13" s="363"/>
      <c r="AZ13" s="365"/>
      <c r="BA13" s="366"/>
      <c r="BB13" s="367">
        <f t="shared" si="1"/>
        <v>0</v>
      </c>
      <c r="BC13" s="87"/>
      <c r="BD13" s="55"/>
      <c r="BE13" s="55"/>
      <c r="BF13" s="55"/>
      <c r="BG13" s="55"/>
      <c r="BH13" s="55"/>
      <c r="BI13" s="55"/>
      <c r="BJ13" s="55"/>
      <c r="BK13" s="55"/>
      <c r="BL13" s="55"/>
      <c r="BM13" s="55"/>
      <c r="BN13" s="55"/>
      <c r="BO13" s="55"/>
      <c r="BP13" s="55"/>
      <c r="BQ13" s="55"/>
      <c r="BR13" s="55"/>
      <c r="BS13" s="55"/>
      <c r="BT13" s="55"/>
      <c r="BU13" s="55"/>
      <c r="BV13" s="55"/>
      <c r="BW13" s="55"/>
      <c r="BX13" s="55"/>
      <c r="BY13" s="55"/>
    </row>
    <row r="14" spans="1:77" s="47" customFormat="1" ht="45">
      <c r="A14" s="783" t="s">
        <v>7443</v>
      </c>
      <c r="B14" s="368" t="s">
        <v>297</v>
      </c>
      <c r="C14" s="215" t="s">
        <v>476</v>
      </c>
      <c r="D14" s="350" t="s">
        <v>788</v>
      </c>
      <c r="E14" s="354" t="s">
        <v>792</v>
      </c>
      <c r="F14" s="353" t="s">
        <v>1157</v>
      </c>
      <c r="G14" s="354" t="s">
        <v>864</v>
      </c>
      <c r="H14" s="353" t="s">
        <v>125</v>
      </c>
      <c r="I14" s="354" t="s">
        <v>63</v>
      </c>
      <c r="J14" s="355" t="s">
        <v>822</v>
      </c>
      <c r="K14" s="370">
        <v>972</v>
      </c>
      <c r="L14" s="357">
        <v>39234</v>
      </c>
      <c r="M14" s="371">
        <v>1900</v>
      </c>
      <c r="N14" s="372">
        <v>39234</v>
      </c>
      <c r="O14" s="370"/>
      <c r="P14" s="373"/>
      <c r="Q14" s="370">
        <v>4326</v>
      </c>
      <c r="R14" s="357">
        <v>39234</v>
      </c>
      <c r="S14" s="948">
        <v>7421</v>
      </c>
      <c r="T14" s="949">
        <v>39234</v>
      </c>
      <c r="U14" s="948">
        <v>3377</v>
      </c>
      <c r="V14" s="950">
        <v>39234</v>
      </c>
      <c r="W14" s="370"/>
      <c r="X14" s="353"/>
      <c r="Y14" s="370">
        <v>441</v>
      </c>
      <c r="Z14" s="357">
        <v>39234</v>
      </c>
      <c r="AA14" s="370"/>
      <c r="AB14" s="355"/>
      <c r="AC14" s="358">
        <f t="shared" si="0"/>
        <v>18437</v>
      </c>
      <c r="AD14" s="423" t="s">
        <v>937</v>
      </c>
      <c r="AE14" s="424" t="s">
        <v>1401</v>
      </c>
      <c r="AF14" s="425" t="s">
        <v>1402</v>
      </c>
      <c r="AG14" s="359"/>
      <c r="AH14" s="360"/>
      <c r="AI14" s="361"/>
      <c r="AJ14" s="362"/>
      <c r="AK14" s="363"/>
      <c r="AL14" s="364"/>
      <c r="AM14" s="363"/>
      <c r="AN14" s="365"/>
      <c r="AO14" s="363"/>
      <c r="AP14" s="365"/>
      <c r="AQ14" s="363"/>
      <c r="AR14" s="935"/>
      <c r="AS14" s="936"/>
      <c r="AT14" s="935"/>
      <c r="AU14" s="936"/>
      <c r="AV14" s="365"/>
      <c r="AW14" s="363"/>
      <c r="AX14" s="365"/>
      <c r="AY14" s="363"/>
      <c r="AZ14" s="365"/>
      <c r="BA14" s="366"/>
      <c r="BB14" s="367">
        <f t="shared" si="1"/>
        <v>0</v>
      </c>
      <c r="BC14" s="87"/>
      <c r="BD14" s="55"/>
      <c r="BE14" s="55"/>
      <c r="BF14" s="55"/>
      <c r="BG14" s="55"/>
      <c r="BH14" s="55"/>
      <c r="BI14" s="55"/>
      <c r="BJ14" s="55"/>
      <c r="BK14" s="55"/>
      <c r="BL14" s="55"/>
      <c r="BM14" s="55"/>
      <c r="BN14" s="55"/>
      <c r="BO14" s="55"/>
      <c r="BP14" s="55"/>
      <c r="BQ14" s="55"/>
      <c r="BR14" s="55"/>
      <c r="BS14" s="55"/>
      <c r="BT14" s="55"/>
      <c r="BU14" s="55"/>
      <c r="BV14" s="55"/>
      <c r="BW14" s="55"/>
      <c r="BX14" s="55"/>
      <c r="BY14" s="55"/>
    </row>
    <row r="15" spans="1:77" ht="146.25">
      <c r="A15" s="661" t="s">
        <v>1911</v>
      </c>
      <c r="B15" s="368" t="s">
        <v>1106</v>
      </c>
      <c r="C15" s="215" t="s">
        <v>1107</v>
      </c>
      <c r="D15" s="350" t="s">
        <v>788</v>
      </c>
      <c r="E15" s="354" t="s">
        <v>1099</v>
      </c>
      <c r="F15" s="353" t="s">
        <v>902</v>
      </c>
      <c r="G15" s="354" t="s">
        <v>1085</v>
      </c>
      <c r="H15" s="353" t="s">
        <v>982</v>
      </c>
      <c r="I15" s="354" t="s">
        <v>903</v>
      </c>
      <c r="J15" s="355" t="s">
        <v>1912</v>
      </c>
      <c r="K15" s="370"/>
      <c r="L15" s="357"/>
      <c r="M15" s="371">
        <v>83987</v>
      </c>
      <c r="N15" s="372">
        <v>40330</v>
      </c>
      <c r="O15" s="370"/>
      <c r="P15" s="373"/>
      <c r="Q15" s="370"/>
      <c r="R15" s="353"/>
      <c r="S15" s="948"/>
      <c r="T15" s="951"/>
      <c r="U15" s="948">
        <v>3079</v>
      </c>
      <c r="V15" s="950">
        <v>40330</v>
      </c>
      <c r="W15" s="370"/>
      <c r="X15" s="353"/>
      <c r="Y15" s="370"/>
      <c r="Z15" s="353"/>
      <c r="AA15" s="370"/>
      <c r="AB15" s="355"/>
      <c r="AC15" s="358">
        <f t="shared" si="0"/>
        <v>87066</v>
      </c>
      <c r="AD15" s="385" t="s">
        <v>478</v>
      </c>
      <c r="AE15" s="213">
        <v>40415</v>
      </c>
      <c r="AF15" s="214">
        <v>41876</v>
      </c>
      <c r="AG15" s="647" t="s">
        <v>1913</v>
      </c>
      <c r="AH15" s="640"/>
      <c r="AI15" s="641"/>
      <c r="AJ15" s="642"/>
      <c r="AK15" s="643"/>
      <c r="AL15" s="644"/>
      <c r="AM15" s="643"/>
      <c r="AN15" s="645"/>
      <c r="AO15" s="643"/>
      <c r="AP15" s="645"/>
      <c r="AQ15" s="643"/>
      <c r="AR15" s="993"/>
      <c r="AS15" s="994"/>
      <c r="AT15" s="993"/>
      <c r="AU15" s="994"/>
      <c r="AV15" s="645"/>
      <c r="AW15" s="643"/>
      <c r="AX15" s="645"/>
      <c r="AY15" s="643"/>
      <c r="AZ15" s="645"/>
      <c r="BA15" s="646"/>
      <c r="BB15" s="367">
        <f t="shared" si="1"/>
        <v>0</v>
      </c>
    </row>
    <row r="16" spans="1:77" s="47" customFormat="1" ht="56.25">
      <c r="A16" s="661" t="s">
        <v>1950</v>
      </c>
      <c r="B16" s="368" t="s">
        <v>166</v>
      </c>
      <c r="C16" s="215" t="s">
        <v>1110</v>
      </c>
      <c r="D16" s="350" t="s">
        <v>788</v>
      </c>
      <c r="E16" s="354" t="s">
        <v>167</v>
      </c>
      <c r="F16" s="353" t="s">
        <v>1034</v>
      </c>
      <c r="G16" s="354" t="s">
        <v>452</v>
      </c>
      <c r="H16" s="353" t="s">
        <v>262</v>
      </c>
      <c r="I16" s="354" t="s">
        <v>446</v>
      </c>
      <c r="J16" s="355" t="s">
        <v>888</v>
      </c>
      <c r="K16" s="370">
        <v>669</v>
      </c>
      <c r="L16" s="357">
        <v>39234</v>
      </c>
      <c r="M16" s="371">
        <v>1036</v>
      </c>
      <c r="N16" s="372">
        <v>39234</v>
      </c>
      <c r="O16" s="370"/>
      <c r="P16" s="373"/>
      <c r="Q16" s="370">
        <v>2974</v>
      </c>
      <c r="R16" s="357">
        <v>39234</v>
      </c>
      <c r="S16" s="948">
        <v>3027</v>
      </c>
      <c r="T16" s="949">
        <v>39234</v>
      </c>
      <c r="U16" s="948">
        <v>2576</v>
      </c>
      <c r="V16" s="950">
        <v>39234</v>
      </c>
      <c r="W16" s="370"/>
      <c r="X16" s="353"/>
      <c r="Y16" s="370"/>
      <c r="Z16" s="353"/>
      <c r="AA16" s="370"/>
      <c r="AB16" s="355"/>
      <c r="AC16" s="358">
        <f t="shared" si="0"/>
        <v>10282</v>
      </c>
      <c r="AD16" s="385" t="s">
        <v>937</v>
      </c>
      <c r="AE16" s="213">
        <v>39316</v>
      </c>
      <c r="AF16" s="214">
        <v>40777</v>
      </c>
      <c r="AG16" s="359"/>
      <c r="AH16" s="360"/>
      <c r="AI16" s="361"/>
      <c r="AJ16" s="362"/>
      <c r="AK16" s="363"/>
      <c r="AL16" s="364"/>
      <c r="AM16" s="363"/>
      <c r="AN16" s="365"/>
      <c r="AO16" s="363"/>
      <c r="AP16" s="365"/>
      <c r="AQ16" s="363"/>
      <c r="AR16" s="935"/>
      <c r="AS16" s="936"/>
      <c r="AT16" s="935"/>
      <c r="AU16" s="936"/>
      <c r="AV16" s="365"/>
      <c r="AW16" s="363"/>
      <c r="AX16" s="365"/>
      <c r="AY16" s="363"/>
      <c r="AZ16" s="365"/>
      <c r="BA16" s="366"/>
      <c r="BB16" s="367">
        <f t="shared" si="1"/>
        <v>0</v>
      </c>
      <c r="BC16" s="87"/>
      <c r="BD16" s="55"/>
      <c r="BE16" s="55"/>
      <c r="BF16" s="55"/>
      <c r="BG16" s="55"/>
      <c r="BH16" s="55"/>
      <c r="BI16" s="55"/>
      <c r="BJ16" s="55"/>
      <c r="BK16" s="55"/>
      <c r="BL16" s="55"/>
      <c r="BM16" s="55"/>
      <c r="BN16" s="55"/>
      <c r="BO16" s="55"/>
      <c r="BP16" s="55"/>
      <c r="BQ16" s="55"/>
      <c r="BR16" s="55"/>
      <c r="BS16" s="55"/>
      <c r="BT16" s="55"/>
      <c r="BU16" s="55"/>
      <c r="BV16" s="55"/>
      <c r="BW16" s="55"/>
      <c r="BX16" s="55"/>
      <c r="BY16" s="55"/>
    </row>
    <row r="17" spans="1:77" ht="56.25">
      <c r="A17" s="661" t="s">
        <v>1951</v>
      </c>
      <c r="B17" s="368" t="s">
        <v>972</v>
      </c>
      <c r="C17" s="215" t="s">
        <v>973</v>
      </c>
      <c r="D17" s="350" t="s">
        <v>788</v>
      </c>
      <c r="E17" s="354" t="s">
        <v>193</v>
      </c>
      <c r="F17" s="353" t="s">
        <v>1175</v>
      </c>
      <c r="G17" s="354" t="s">
        <v>1176</v>
      </c>
      <c r="H17" s="353" t="s">
        <v>142</v>
      </c>
      <c r="I17" s="354" t="s">
        <v>63</v>
      </c>
      <c r="J17" s="355" t="s">
        <v>776</v>
      </c>
      <c r="K17" s="370">
        <v>717</v>
      </c>
      <c r="L17" s="357">
        <v>39965</v>
      </c>
      <c r="M17" s="371">
        <v>1111</v>
      </c>
      <c r="N17" s="372">
        <v>39965</v>
      </c>
      <c r="O17" s="370">
        <v>7143</v>
      </c>
      <c r="P17" s="389">
        <v>39965</v>
      </c>
      <c r="Q17" s="370">
        <v>3190</v>
      </c>
      <c r="R17" s="357">
        <v>39965</v>
      </c>
      <c r="S17" s="948">
        <v>3247</v>
      </c>
      <c r="T17" s="949">
        <v>39965</v>
      </c>
      <c r="U17" s="948">
        <v>2763</v>
      </c>
      <c r="V17" s="950">
        <v>39965</v>
      </c>
      <c r="W17" s="370"/>
      <c r="X17" s="353"/>
      <c r="Y17" s="370"/>
      <c r="Z17" s="353"/>
      <c r="AA17" s="370"/>
      <c r="AB17" s="355"/>
      <c r="AC17" s="358">
        <f t="shared" si="0"/>
        <v>18171</v>
      </c>
      <c r="AD17" s="385" t="s">
        <v>937</v>
      </c>
      <c r="AE17" s="213">
        <v>40128</v>
      </c>
      <c r="AF17" s="214">
        <v>41589</v>
      </c>
      <c r="AG17" s="377"/>
      <c r="AH17" s="378"/>
      <c r="AI17" s="379"/>
      <c r="AJ17" s="380"/>
      <c r="AK17" s="381"/>
      <c r="AL17" s="382"/>
      <c r="AM17" s="381"/>
      <c r="AN17" s="383"/>
      <c r="AO17" s="381"/>
      <c r="AP17" s="383"/>
      <c r="AQ17" s="381"/>
      <c r="AR17" s="982"/>
      <c r="AS17" s="984"/>
      <c r="AT17" s="982"/>
      <c r="AU17" s="984"/>
      <c r="AV17" s="383"/>
      <c r="AW17" s="381"/>
      <c r="AX17" s="383"/>
      <c r="AY17" s="381"/>
      <c r="AZ17" s="383"/>
      <c r="BA17" s="384"/>
      <c r="BB17" s="367">
        <f t="shared" si="1"/>
        <v>0</v>
      </c>
    </row>
    <row r="18" spans="1:77" s="47" customFormat="1" ht="67.5">
      <c r="A18" s="661" t="s">
        <v>1951</v>
      </c>
      <c r="B18" s="368" t="s">
        <v>427</v>
      </c>
      <c r="C18" s="215" t="s">
        <v>245</v>
      </c>
      <c r="D18" s="350" t="s">
        <v>788</v>
      </c>
      <c r="E18" s="354" t="s">
        <v>655</v>
      </c>
      <c r="F18" s="353" t="s">
        <v>179</v>
      </c>
      <c r="G18" s="354" t="s">
        <v>1162</v>
      </c>
      <c r="H18" s="353" t="s">
        <v>1258</v>
      </c>
      <c r="I18" s="354" t="s">
        <v>581</v>
      </c>
      <c r="J18" s="355" t="s">
        <v>800</v>
      </c>
      <c r="K18" s="370">
        <v>458</v>
      </c>
      <c r="L18" s="357">
        <v>38504</v>
      </c>
      <c r="M18" s="371">
        <v>486</v>
      </c>
      <c r="N18" s="372">
        <v>38504</v>
      </c>
      <c r="O18" s="370">
        <v>5242</v>
      </c>
      <c r="P18" s="389">
        <v>38504</v>
      </c>
      <c r="Q18" s="370">
        <v>2026</v>
      </c>
      <c r="R18" s="357">
        <v>38504</v>
      </c>
      <c r="S18" s="948">
        <v>2100</v>
      </c>
      <c r="T18" s="949">
        <v>38504</v>
      </c>
      <c r="U18" s="948">
        <v>2458</v>
      </c>
      <c r="V18" s="950">
        <v>38504</v>
      </c>
      <c r="W18" s="370"/>
      <c r="X18" s="353"/>
      <c r="Y18" s="370"/>
      <c r="Z18" s="353"/>
      <c r="AA18" s="370"/>
      <c r="AB18" s="355"/>
      <c r="AC18" s="358">
        <f t="shared" si="0"/>
        <v>12770</v>
      </c>
      <c r="AD18" s="374" t="s">
        <v>44</v>
      </c>
      <c r="AE18" s="375" t="s">
        <v>45</v>
      </c>
      <c r="AF18" s="376" t="s">
        <v>46</v>
      </c>
      <c r="AG18" s="359"/>
      <c r="AH18" s="360"/>
      <c r="AI18" s="361"/>
      <c r="AJ18" s="362"/>
      <c r="AK18" s="363"/>
      <c r="AL18" s="364"/>
      <c r="AM18" s="363"/>
      <c r="AN18" s="365"/>
      <c r="AO18" s="363"/>
      <c r="AP18" s="365"/>
      <c r="AQ18" s="363"/>
      <c r="AR18" s="935"/>
      <c r="AS18" s="936"/>
      <c r="AT18" s="935"/>
      <c r="AU18" s="936"/>
      <c r="AV18" s="365"/>
      <c r="AW18" s="363"/>
      <c r="AX18" s="365"/>
      <c r="AY18" s="363"/>
      <c r="AZ18" s="365"/>
      <c r="BA18" s="366"/>
      <c r="BB18" s="367">
        <f t="shared" si="1"/>
        <v>0</v>
      </c>
      <c r="BC18" s="87"/>
      <c r="BD18" s="55"/>
      <c r="BE18" s="55"/>
      <c r="BF18" s="55"/>
      <c r="BG18" s="55"/>
      <c r="BH18" s="55"/>
      <c r="BI18" s="55"/>
      <c r="BJ18" s="55"/>
      <c r="BK18" s="55"/>
      <c r="BL18" s="55"/>
      <c r="BM18" s="55"/>
      <c r="BN18" s="55"/>
      <c r="BO18" s="55"/>
      <c r="BP18" s="55"/>
      <c r="BQ18" s="55"/>
      <c r="BR18" s="55"/>
      <c r="BS18" s="55"/>
      <c r="BT18" s="55"/>
      <c r="BU18" s="55"/>
      <c r="BV18" s="55"/>
      <c r="BW18" s="55"/>
      <c r="BX18" s="55"/>
      <c r="BY18" s="55"/>
    </row>
    <row r="19" spans="1:77" s="47" customFormat="1" ht="45">
      <c r="A19" s="661" t="s">
        <v>1951</v>
      </c>
      <c r="B19" s="368" t="s">
        <v>1050</v>
      </c>
      <c r="C19" s="215" t="s">
        <v>874</v>
      </c>
      <c r="D19" s="350" t="s">
        <v>788</v>
      </c>
      <c r="E19" s="354" t="s">
        <v>1161</v>
      </c>
      <c r="F19" s="353" t="s">
        <v>174</v>
      </c>
      <c r="G19" s="354" t="s">
        <v>257</v>
      </c>
      <c r="H19" s="353" t="s">
        <v>275</v>
      </c>
      <c r="I19" s="354" t="s">
        <v>100</v>
      </c>
      <c r="J19" s="355" t="s">
        <v>1049</v>
      </c>
      <c r="K19" s="370"/>
      <c r="L19" s="357"/>
      <c r="M19" s="371">
        <v>27630</v>
      </c>
      <c r="N19" s="372">
        <v>39234</v>
      </c>
      <c r="O19" s="370"/>
      <c r="P19" s="373"/>
      <c r="Q19" s="370"/>
      <c r="R19" s="353"/>
      <c r="S19" s="948"/>
      <c r="T19" s="951"/>
      <c r="U19" s="948"/>
      <c r="V19" s="952"/>
      <c r="W19" s="370"/>
      <c r="X19" s="353"/>
      <c r="Y19" s="370"/>
      <c r="Z19" s="353"/>
      <c r="AA19" s="370"/>
      <c r="AB19" s="355"/>
      <c r="AC19" s="358">
        <f t="shared" si="0"/>
        <v>27630</v>
      </c>
      <c r="AD19" s="385" t="s">
        <v>937</v>
      </c>
      <c r="AE19" s="213" t="s">
        <v>1400</v>
      </c>
      <c r="AF19" s="214" t="s">
        <v>1399</v>
      </c>
      <c r="AG19" s="359"/>
      <c r="AH19" s="360"/>
      <c r="AI19" s="361"/>
      <c r="AJ19" s="362"/>
      <c r="AK19" s="363"/>
      <c r="AL19" s="364"/>
      <c r="AM19" s="363"/>
      <c r="AN19" s="365"/>
      <c r="AO19" s="363"/>
      <c r="AP19" s="365"/>
      <c r="AQ19" s="363"/>
      <c r="AR19" s="935"/>
      <c r="AS19" s="936"/>
      <c r="AT19" s="935"/>
      <c r="AU19" s="936"/>
      <c r="AV19" s="365"/>
      <c r="AW19" s="363"/>
      <c r="AX19" s="365"/>
      <c r="AY19" s="363"/>
      <c r="AZ19" s="365"/>
      <c r="BA19" s="366"/>
      <c r="BB19" s="367">
        <f t="shared" si="1"/>
        <v>0</v>
      </c>
      <c r="BC19" s="87"/>
      <c r="BD19" s="55"/>
      <c r="BE19" s="55"/>
      <c r="BF19" s="55"/>
      <c r="BG19" s="55"/>
      <c r="BH19" s="55"/>
      <c r="BI19" s="55"/>
      <c r="BJ19" s="55"/>
      <c r="BK19" s="55"/>
      <c r="BL19" s="55"/>
      <c r="BM19" s="55"/>
      <c r="BN19" s="55"/>
      <c r="BO19" s="55"/>
      <c r="BP19" s="55"/>
      <c r="BQ19" s="55"/>
      <c r="BR19" s="55"/>
      <c r="BS19" s="55"/>
      <c r="BT19" s="55"/>
      <c r="BU19" s="55"/>
      <c r="BV19" s="55"/>
      <c r="BW19" s="55"/>
      <c r="BX19" s="55"/>
      <c r="BY19" s="55"/>
    </row>
    <row r="20" spans="1:77" s="47" customFormat="1" ht="67.5">
      <c r="A20" s="661" t="s">
        <v>1997</v>
      </c>
      <c r="B20" s="368" t="s">
        <v>175</v>
      </c>
      <c r="C20" s="215" t="s">
        <v>442</v>
      </c>
      <c r="D20" s="350" t="s">
        <v>788</v>
      </c>
      <c r="E20" s="354" t="s">
        <v>830</v>
      </c>
      <c r="F20" s="353" t="s">
        <v>576</v>
      </c>
      <c r="G20" s="354" t="s">
        <v>580</v>
      </c>
      <c r="H20" s="353" t="s">
        <v>481</v>
      </c>
      <c r="I20" s="354" t="s">
        <v>512</v>
      </c>
      <c r="J20" s="355" t="s">
        <v>441</v>
      </c>
      <c r="K20" s="370"/>
      <c r="L20" s="357"/>
      <c r="M20" s="371"/>
      <c r="N20" s="372"/>
      <c r="O20" s="370"/>
      <c r="P20" s="373"/>
      <c r="Q20" s="370"/>
      <c r="R20" s="353"/>
      <c r="S20" s="948">
        <v>911</v>
      </c>
      <c r="T20" s="949">
        <v>39142</v>
      </c>
      <c r="U20" s="948">
        <v>2376</v>
      </c>
      <c r="V20" s="950">
        <v>39142</v>
      </c>
      <c r="W20" s="370"/>
      <c r="X20" s="353"/>
      <c r="Y20" s="370"/>
      <c r="Z20" s="353"/>
      <c r="AA20" s="370"/>
      <c r="AB20" s="355"/>
      <c r="AC20" s="358">
        <f t="shared" si="0"/>
        <v>3287</v>
      </c>
      <c r="AD20" s="423" t="s">
        <v>465</v>
      </c>
      <c r="AE20" s="424">
        <v>39202</v>
      </c>
      <c r="AF20" s="425">
        <v>40663</v>
      </c>
      <c r="AG20" s="359"/>
      <c r="AH20" s="360"/>
      <c r="AI20" s="361"/>
      <c r="AJ20" s="362"/>
      <c r="AK20" s="363"/>
      <c r="AL20" s="364"/>
      <c r="AM20" s="363"/>
      <c r="AN20" s="365"/>
      <c r="AO20" s="363"/>
      <c r="AP20" s="365"/>
      <c r="AQ20" s="363"/>
      <c r="AR20" s="935"/>
      <c r="AS20" s="936"/>
      <c r="AT20" s="935"/>
      <c r="AU20" s="936"/>
      <c r="AV20" s="365"/>
      <c r="AW20" s="363"/>
      <c r="AX20" s="365"/>
      <c r="AY20" s="363"/>
      <c r="AZ20" s="365"/>
      <c r="BA20" s="366"/>
      <c r="BB20" s="367">
        <f t="shared" si="1"/>
        <v>0</v>
      </c>
      <c r="BC20" s="87"/>
      <c r="BD20" s="55"/>
      <c r="BE20" s="55"/>
      <c r="BF20" s="55"/>
      <c r="BG20" s="55"/>
      <c r="BH20" s="55"/>
      <c r="BI20" s="55"/>
      <c r="BJ20" s="55"/>
      <c r="BK20" s="55"/>
      <c r="BL20" s="55"/>
      <c r="BM20" s="55"/>
      <c r="BN20" s="55"/>
      <c r="BO20" s="55"/>
      <c r="BP20" s="55"/>
      <c r="BQ20" s="55"/>
      <c r="BR20" s="55"/>
      <c r="BS20" s="55"/>
      <c r="BT20" s="55"/>
      <c r="BU20" s="55"/>
      <c r="BV20" s="55"/>
      <c r="BW20" s="55"/>
      <c r="BX20" s="55"/>
      <c r="BY20" s="55"/>
    </row>
    <row r="21" spans="1:77" s="47" customFormat="1" ht="45">
      <c r="A21" s="661" t="s">
        <v>1997</v>
      </c>
      <c r="B21" s="368" t="s">
        <v>175</v>
      </c>
      <c r="C21" s="215" t="s">
        <v>1246</v>
      </c>
      <c r="D21" s="350" t="s">
        <v>9</v>
      </c>
      <c r="E21" s="354" t="s">
        <v>1242</v>
      </c>
      <c r="F21" s="353" t="s">
        <v>1063</v>
      </c>
      <c r="G21" s="354" t="s">
        <v>607</v>
      </c>
      <c r="H21" s="353" t="s">
        <v>1084</v>
      </c>
      <c r="I21" s="354" t="s">
        <v>496</v>
      </c>
      <c r="J21" s="355" t="s">
        <v>730</v>
      </c>
      <c r="K21" s="370"/>
      <c r="L21" s="357"/>
      <c r="M21" s="371"/>
      <c r="N21" s="372"/>
      <c r="O21" s="370"/>
      <c r="P21" s="373"/>
      <c r="Q21" s="370">
        <v>1300</v>
      </c>
      <c r="R21" s="357">
        <v>39052</v>
      </c>
      <c r="S21" s="948"/>
      <c r="T21" s="951"/>
      <c r="U21" s="948"/>
      <c r="V21" s="952"/>
      <c r="W21" s="370"/>
      <c r="X21" s="353"/>
      <c r="Y21" s="370">
        <v>1400</v>
      </c>
      <c r="Z21" s="357">
        <v>39052</v>
      </c>
      <c r="AA21" s="370"/>
      <c r="AB21" s="355"/>
      <c r="AC21" s="358">
        <f t="shared" si="0"/>
        <v>2700</v>
      </c>
      <c r="AD21" s="400" t="s">
        <v>611</v>
      </c>
      <c r="AE21" s="401" t="s">
        <v>58</v>
      </c>
      <c r="AF21" s="425">
        <v>40665</v>
      </c>
      <c r="AG21" s="359"/>
      <c r="AH21" s="360"/>
      <c r="AI21" s="361"/>
      <c r="AJ21" s="362"/>
      <c r="AK21" s="363"/>
      <c r="AL21" s="364"/>
      <c r="AM21" s="363"/>
      <c r="AN21" s="365"/>
      <c r="AO21" s="363"/>
      <c r="AP21" s="365"/>
      <c r="AQ21" s="363"/>
      <c r="AR21" s="935"/>
      <c r="AS21" s="936"/>
      <c r="AT21" s="935"/>
      <c r="AU21" s="936"/>
      <c r="AV21" s="365"/>
      <c r="AW21" s="363"/>
      <c r="AX21" s="365"/>
      <c r="AY21" s="363"/>
      <c r="AZ21" s="365"/>
      <c r="BA21" s="366"/>
      <c r="BB21" s="367">
        <f t="shared" si="1"/>
        <v>0</v>
      </c>
      <c r="BC21" s="87"/>
      <c r="BD21" s="55"/>
      <c r="BE21" s="55"/>
      <c r="BF21" s="55"/>
      <c r="BG21" s="55"/>
      <c r="BH21" s="55"/>
      <c r="BI21" s="55"/>
      <c r="BJ21" s="55"/>
      <c r="BK21" s="55"/>
      <c r="BL21" s="55"/>
      <c r="BM21" s="55"/>
      <c r="BN21" s="55"/>
      <c r="BO21" s="55"/>
      <c r="BP21" s="55"/>
      <c r="BQ21" s="55"/>
      <c r="BR21" s="55"/>
      <c r="BS21" s="55"/>
      <c r="BT21" s="55"/>
      <c r="BU21" s="55"/>
      <c r="BV21" s="55"/>
      <c r="BW21" s="55"/>
      <c r="BX21" s="55"/>
      <c r="BY21" s="55"/>
    </row>
    <row r="22" spans="1:77" s="47" customFormat="1" ht="146.25">
      <c r="A22" s="661" t="s">
        <v>1997</v>
      </c>
      <c r="B22" s="368" t="s">
        <v>175</v>
      </c>
      <c r="C22" s="215" t="s">
        <v>889</v>
      </c>
      <c r="D22" s="350" t="s">
        <v>233</v>
      </c>
      <c r="E22" s="354" t="s">
        <v>155</v>
      </c>
      <c r="F22" s="353" t="s">
        <v>643</v>
      </c>
      <c r="G22" s="354" t="s">
        <v>552</v>
      </c>
      <c r="H22" s="353" t="s">
        <v>256</v>
      </c>
      <c r="I22" s="354" t="s">
        <v>20</v>
      </c>
      <c r="J22" s="355" t="s">
        <v>1141</v>
      </c>
      <c r="K22" s="370"/>
      <c r="L22" s="357"/>
      <c r="M22" s="371"/>
      <c r="N22" s="372"/>
      <c r="O22" s="370"/>
      <c r="P22" s="373"/>
      <c r="Q22" s="370">
        <v>19746</v>
      </c>
      <c r="R22" s="357">
        <v>39326</v>
      </c>
      <c r="S22" s="948"/>
      <c r="T22" s="951"/>
      <c r="U22" s="948"/>
      <c r="V22" s="952"/>
      <c r="W22" s="370"/>
      <c r="X22" s="353"/>
      <c r="Y22" s="370">
        <v>18200</v>
      </c>
      <c r="Z22" s="357">
        <v>39326</v>
      </c>
      <c r="AA22" s="370"/>
      <c r="AB22" s="355"/>
      <c r="AC22" s="358">
        <f t="shared" si="0"/>
        <v>37946</v>
      </c>
      <c r="AD22" s="385" t="s">
        <v>465</v>
      </c>
      <c r="AE22" s="213">
        <v>39471</v>
      </c>
      <c r="AF22" s="214">
        <v>40932</v>
      </c>
      <c r="AG22" s="359"/>
      <c r="AH22" s="360"/>
      <c r="AI22" s="361"/>
      <c r="AJ22" s="362"/>
      <c r="AK22" s="363"/>
      <c r="AL22" s="364"/>
      <c r="AM22" s="363"/>
      <c r="AN22" s="365"/>
      <c r="AO22" s="363"/>
      <c r="AP22" s="365"/>
      <c r="AQ22" s="363"/>
      <c r="AR22" s="935"/>
      <c r="AS22" s="936"/>
      <c r="AT22" s="935"/>
      <c r="AU22" s="936"/>
      <c r="AV22" s="365"/>
      <c r="AW22" s="363"/>
      <c r="AX22" s="365"/>
      <c r="AY22" s="363"/>
      <c r="AZ22" s="365"/>
      <c r="BA22" s="366"/>
      <c r="BB22" s="367">
        <f t="shared" si="1"/>
        <v>0</v>
      </c>
      <c r="BC22" s="87"/>
      <c r="BD22" s="55"/>
      <c r="BE22" s="55"/>
      <c r="BF22" s="55"/>
      <c r="BG22" s="55"/>
      <c r="BH22" s="55"/>
      <c r="BI22" s="55"/>
      <c r="BJ22" s="55"/>
      <c r="BK22" s="55"/>
      <c r="BL22" s="55"/>
      <c r="BM22" s="55"/>
      <c r="BN22" s="55"/>
      <c r="BO22" s="55"/>
      <c r="BP22" s="55"/>
      <c r="BQ22" s="55"/>
      <c r="BR22" s="55"/>
      <c r="BS22" s="55"/>
      <c r="BT22" s="55"/>
      <c r="BU22" s="55"/>
      <c r="BV22" s="55"/>
      <c r="BW22" s="55"/>
      <c r="BX22" s="55"/>
      <c r="BY22" s="55"/>
    </row>
    <row r="23" spans="1:77" ht="45">
      <c r="A23" s="661" t="s">
        <v>2034</v>
      </c>
      <c r="B23" s="368" t="s">
        <v>175</v>
      </c>
      <c r="C23" s="215" t="s">
        <v>405</v>
      </c>
      <c r="D23" s="350" t="s">
        <v>788</v>
      </c>
      <c r="E23" s="354" t="s">
        <v>1057</v>
      </c>
      <c r="F23" s="353" t="s">
        <v>686</v>
      </c>
      <c r="G23" s="354" t="s">
        <v>687</v>
      </c>
      <c r="H23" s="353" t="s">
        <v>688</v>
      </c>
      <c r="I23" s="354" t="s">
        <v>536</v>
      </c>
      <c r="J23" s="355" t="s">
        <v>535</v>
      </c>
      <c r="K23" s="370"/>
      <c r="L23" s="357"/>
      <c r="M23" s="371"/>
      <c r="N23" s="372"/>
      <c r="O23" s="370"/>
      <c r="P23" s="373"/>
      <c r="Q23" s="370">
        <v>835</v>
      </c>
      <c r="R23" s="357">
        <v>39600</v>
      </c>
      <c r="S23" s="948"/>
      <c r="T23" s="951"/>
      <c r="U23" s="948"/>
      <c r="V23" s="952"/>
      <c r="W23" s="370"/>
      <c r="X23" s="353"/>
      <c r="Y23" s="370">
        <v>1015</v>
      </c>
      <c r="Z23" s="357">
        <v>39600</v>
      </c>
      <c r="AA23" s="370"/>
      <c r="AB23" s="355"/>
      <c r="AC23" s="358">
        <f t="shared" si="0"/>
        <v>1850</v>
      </c>
      <c r="AD23" s="400" t="s">
        <v>464</v>
      </c>
      <c r="AE23" s="401" t="s">
        <v>1142</v>
      </c>
      <c r="AF23" s="425">
        <v>41126</v>
      </c>
      <c r="AG23" s="377"/>
      <c r="AH23" s="378"/>
      <c r="AI23" s="379"/>
      <c r="AJ23" s="380"/>
      <c r="AK23" s="381"/>
      <c r="AL23" s="382"/>
      <c r="AM23" s="381"/>
      <c r="AN23" s="383"/>
      <c r="AO23" s="381"/>
      <c r="AP23" s="383"/>
      <c r="AQ23" s="381"/>
      <c r="AR23" s="982"/>
      <c r="AS23" s="984"/>
      <c r="AT23" s="982"/>
      <c r="AU23" s="984"/>
      <c r="AV23" s="383"/>
      <c r="AW23" s="381"/>
      <c r="AX23" s="383"/>
      <c r="AY23" s="381"/>
      <c r="AZ23" s="383"/>
      <c r="BA23" s="384"/>
      <c r="BB23" s="367">
        <f t="shared" si="1"/>
        <v>0</v>
      </c>
    </row>
    <row r="24" spans="1:77" s="47" customFormat="1" ht="33.75">
      <c r="A24" s="661" t="s">
        <v>2034</v>
      </c>
      <c r="B24" s="368" t="s">
        <v>175</v>
      </c>
      <c r="C24" s="215" t="s">
        <v>30</v>
      </c>
      <c r="D24" s="350" t="s">
        <v>788</v>
      </c>
      <c r="E24" s="354" t="s">
        <v>288</v>
      </c>
      <c r="F24" s="353" t="s">
        <v>1007</v>
      </c>
      <c r="G24" s="354" t="s">
        <v>1009</v>
      </c>
      <c r="H24" s="353" t="s">
        <v>1008</v>
      </c>
      <c r="I24" s="354" t="s">
        <v>581</v>
      </c>
      <c r="J24" s="355" t="s">
        <v>620</v>
      </c>
      <c r="K24" s="370"/>
      <c r="L24" s="357"/>
      <c r="M24" s="371"/>
      <c r="N24" s="372"/>
      <c r="O24" s="370"/>
      <c r="P24" s="373"/>
      <c r="Q24" s="370">
        <v>1533</v>
      </c>
      <c r="R24" s="357">
        <v>39142</v>
      </c>
      <c r="S24" s="948">
        <v>2508</v>
      </c>
      <c r="T24" s="949">
        <v>39142</v>
      </c>
      <c r="U24" s="948"/>
      <c r="V24" s="952"/>
      <c r="W24" s="370"/>
      <c r="X24" s="353"/>
      <c r="Y24" s="370">
        <v>473</v>
      </c>
      <c r="Z24" s="357">
        <v>39142</v>
      </c>
      <c r="AA24" s="370"/>
      <c r="AB24" s="355"/>
      <c r="AC24" s="358">
        <f t="shared" si="0"/>
        <v>4514</v>
      </c>
      <c r="AD24" s="385" t="s">
        <v>465</v>
      </c>
      <c r="AE24" s="213">
        <v>39225</v>
      </c>
      <c r="AF24" s="214">
        <v>40686</v>
      </c>
      <c r="AG24" s="359"/>
      <c r="AH24" s="360"/>
      <c r="AI24" s="361"/>
      <c r="AJ24" s="362"/>
      <c r="AK24" s="363"/>
      <c r="AL24" s="364"/>
      <c r="AM24" s="363"/>
      <c r="AN24" s="365"/>
      <c r="AO24" s="363"/>
      <c r="AP24" s="365"/>
      <c r="AQ24" s="363"/>
      <c r="AR24" s="935"/>
      <c r="AS24" s="936"/>
      <c r="AT24" s="935"/>
      <c r="AU24" s="936"/>
      <c r="AV24" s="365"/>
      <c r="AW24" s="363"/>
      <c r="AX24" s="365"/>
      <c r="AY24" s="363"/>
      <c r="AZ24" s="365"/>
      <c r="BA24" s="366"/>
      <c r="BB24" s="367">
        <f t="shared" si="1"/>
        <v>0</v>
      </c>
      <c r="BC24" s="87"/>
      <c r="BD24" s="55"/>
      <c r="BE24" s="55"/>
      <c r="BF24" s="55"/>
      <c r="BG24" s="55"/>
      <c r="BH24" s="55"/>
      <c r="BI24" s="55"/>
      <c r="BJ24" s="55"/>
      <c r="BK24" s="55"/>
      <c r="BL24" s="55"/>
      <c r="BM24" s="55"/>
      <c r="BN24" s="55"/>
      <c r="BO24" s="55"/>
      <c r="BP24" s="55"/>
      <c r="BQ24" s="55"/>
      <c r="BR24" s="55"/>
      <c r="BS24" s="55"/>
      <c r="BT24" s="55"/>
      <c r="BU24" s="55"/>
      <c r="BV24" s="55"/>
      <c r="BW24" s="55"/>
      <c r="BX24" s="55"/>
      <c r="BY24" s="55"/>
    </row>
    <row r="25" spans="1:77" s="47" customFormat="1" ht="56.25">
      <c r="A25" s="661" t="s">
        <v>2035</v>
      </c>
      <c r="B25" s="368" t="s">
        <v>175</v>
      </c>
      <c r="C25" s="215" t="s">
        <v>116</v>
      </c>
      <c r="D25" s="350" t="s">
        <v>788</v>
      </c>
      <c r="E25" s="354" t="s">
        <v>652</v>
      </c>
      <c r="F25" s="353" t="s">
        <v>492</v>
      </c>
      <c r="G25" s="354" t="s">
        <v>195</v>
      </c>
      <c r="H25" s="353" t="s">
        <v>194</v>
      </c>
      <c r="I25" s="354" t="s">
        <v>192</v>
      </c>
      <c r="J25" s="355" t="s">
        <v>752</v>
      </c>
      <c r="K25" s="370"/>
      <c r="L25" s="357"/>
      <c r="M25" s="371"/>
      <c r="N25" s="372"/>
      <c r="O25" s="370"/>
      <c r="P25" s="373"/>
      <c r="Q25" s="370">
        <v>650</v>
      </c>
      <c r="R25" s="357">
        <v>39052</v>
      </c>
      <c r="S25" s="948"/>
      <c r="T25" s="951"/>
      <c r="U25" s="948"/>
      <c r="V25" s="952"/>
      <c r="W25" s="370"/>
      <c r="X25" s="353"/>
      <c r="Y25" s="370">
        <v>862</v>
      </c>
      <c r="Z25" s="357">
        <v>39052</v>
      </c>
      <c r="AA25" s="370"/>
      <c r="AB25" s="357" t="s">
        <v>989</v>
      </c>
      <c r="AC25" s="358">
        <f t="shared" si="0"/>
        <v>1512</v>
      </c>
      <c r="AD25" s="374" t="s">
        <v>464</v>
      </c>
      <c r="AE25" s="375" t="s">
        <v>628</v>
      </c>
      <c r="AF25" s="214">
        <v>40631</v>
      </c>
      <c r="AG25" s="359"/>
      <c r="AH25" s="360"/>
      <c r="AI25" s="361"/>
      <c r="AJ25" s="362"/>
      <c r="AK25" s="363"/>
      <c r="AL25" s="364"/>
      <c r="AM25" s="363"/>
      <c r="AN25" s="365"/>
      <c r="AO25" s="363"/>
      <c r="AP25" s="365"/>
      <c r="AQ25" s="363"/>
      <c r="AR25" s="935"/>
      <c r="AS25" s="936"/>
      <c r="AT25" s="935"/>
      <c r="AU25" s="936"/>
      <c r="AV25" s="365"/>
      <c r="AW25" s="363"/>
      <c r="AX25" s="365"/>
      <c r="AY25" s="363"/>
      <c r="AZ25" s="365"/>
      <c r="BA25" s="366"/>
      <c r="BB25" s="367">
        <f t="shared" si="1"/>
        <v>0</v>
      </c>
      <c r="BC25" s="87"/>
      <c r="BD25" s="55"/>
      <c r="BE25" s="55"/>
      <c r="BF25" s="55"/>
      <c r="BG25" s="55"/>
      <c r="BH25" s="55"/>
      <c r="BI25" s="55"/>
      <c r="BJ25" s="55"/>
      <c r="BK25" s="55"/>
      <c r="BL25" s="55"/>
      <c r="BM25" s="55"/>
      <c r="BN25" s="55"/>
      <c r="BO25" s="55"/>
      <c r="BP25" s="55"/>
      <c r="BQ25" s="55"/>
      <c r="BR25" s="55"/>
      <c r="BS25" s="55"/>
      <c r="BT25" s="55"/>
      <c r="BU25" s="55"/>
      <c r="BV25" s="55"/>
      <c r="BW25" s="55"/>
      <c r="BX25" s="55"/>
      <c r="BY25" s="55"/>
    </row>
    <row r="26" spans="1:77" ht="56.25">
      <c r="A26" s="661" t="s">
        <v>2036</v>
      </c>
      <c r="B26" s="368" t="s">
        <v>292</v>
      </c>
      <c r="C26" s="215" t="s">
        <v>198</v>
      </c>
      <c r="D26" s="350" t="s">
        <v>788</v>
      </c>
      <c r="E26" s="354" t="s">
        <v>1292</v>
      </c>
      <c r="F26" s="353" t="s">
        <v>490</v>
      </c>
      <c r="G26" s="354" t="s">
        <v>1314</v>
      </c>
      <c r="H26" s="353" t="s">
        <v>1201</v>
      </c>
      <c r="I26" s="354" t="s">
        <v>1202</v>
      </c>
      <c r="J26" s="355" t="s">
        <v>1203</v>
      </c>
      <c r="K26" s="370">
        <v>1068</v>
      </c>
      <c r="L26" s="357">
        <v>40238</v>
      </c>
      <c r="M26" s="371">
        <v>3036</v>
      </c>
      <c r="N26" s="372">
        <v>40238</v>
      </c>
      <c r="O26" s="370"/>
      <c r="P26" s="373"/>
      <c r="Q26" s="370">
        <v>1485</v>
      </c>
      <c r="R26" s="357">
        <v>40238</v>
      </c>
      <c r="S26" s="948">
        <v>2465</v>
      </c>
      <c r="T26" s="949">
        <v>40238</v>
      </c>
      <c r="U26" s="948">
        <v>1355</v>
      </c>
      <c r="V26" s="950">
        <v>40238</v>
      </c>
      <c r="W26" s="370"/>
      <c r="X26" s="353"/>
      <c r="Y26" s="370"/>
      <c r="Z26" s="353"/>
      <c r="AA26" s="370"/>
      <c r="AB26" s="355"/>
      <c r="AC26" s="358">
        <f t="shared" si="0"/>
        <v>9409</v>
      </c>
      <c r="AD26" s="385" t="s">
        <v>937</v>
      </c>
      <c r="AE26" s="213">
        <v>40297</v>
      </c>
      <c r="AF26" s="214">
        <v>41758</v>
      </c>
      <c r="AG26" s="377"/>
      <c r="AH26" s="378"/>
      <c r="AI26" s="379"/>
      <c r="AJ26" s="380"/>
      <c r="AK26" s="381"/>
      <c r="AL26" s="382"/>
      <c r="AM26" s="381"/>
      <c r="AN26" s="383"/>
      <c r="AO26" s="381"/>
      <c r="AP26" s="383"/>
      <c r="AQ26" s="381"/>
      <c r="AR26" s="982"/>
      <c r="AS26" s="984"/>
      <c r="AT26" s="982"/>
      <c r="AU26" s="984"/>
      <c r="AV26" s="383"/>
      <c r="AW26" s="381"/>
      <c r="AX26" s="383"/>
      <c r="AY26" s="381"/>
      <c r="AZ26" s="383"/>
      <c r="BA26" s="384"/>
      <c r="BB26" s="367">
        <f t="shared" si="1"/>
        <v>0</v>
      </c>
    </row>
    <row r="27" spans="1:77" s="47" customFormat="1" ht="67.5">
      <c r="A27" s="725" t="s">
        <v>2037</v>
      </c>
      <c r="B27" s="368" t="s">
        <v>175</v>
      </c>
      <c r="C27" s="215" t="s">
        <v>827</v>
      </c>
      <c r="D27" s="350" t="s">
        <v>788</v>
      </c>
      <c r="E27" s="354" t="s">
        <v>139</v>
      </c>
      <c r="F27" s="353" t="s">
        <v>35</v>
      </c>
      <c r="G27" s="354" t="s">
        <v>978</v>
      </c>
      <c r="H27" s="353" t="s">
        <v>402</v>
      </c>
      <c r="I27" s="354" t="s">
        <v>536</v>
      </c>
      <c r="J27" s="355" t="s">
        <v>521</v>
      </c>
      <c r="K27" s="370"/>
      <c r="L27" s="357"/>
      <c r="M27" s="371"/>
      <c r="N27" s="372"/>
      <c r="O27" s="370"/>
      <c r="P27" s="373"/>
      <c r="Q27" s="370">
        <v>371</v>
      </c>
      <c r="R27" s="357">
        <v>38687</v>
      </c>
      <c r="S27" s="948"/>
      <c r="T27" s="951"/>
      <c r="U27" s="948"/>
      <c r="V27" s="952"/>
      <c r="W27" s="370"/>
      <c r="X27" s="353"/>
      <c r="Y27" s="370">
        <v>2578</v>
      </c>
      <c r="Z27" s="357">
        <v>38687</v>
      </c>
      <c r="AA27" s="370"/>
      <c r="AB27" s="355"/>
      <c r="AC27" s="358">
        <f t="shared" si="0"/>
        <v>2949</v>
      </c>
      <c r="AD27" s="385" t="s">
        <v>465</v>
      </c>
      <c r="AE27" s="213">
        <v>38847</v>
      </c>
      <c r="AF27" s="214">
        <v>40308</v>
      </c>
      <c r="AG27" s="359"/>
      <c r="AH27" s="360"/>
      <c r="AI27" s="361"/>
      <c r="AJ27" s="362"/>
      <c r="AK27" s="363"/>
      <c r="AL27" s="364"/>
      <c r="AM27" s="363"/>
      <c r="AN27" s="365"/>
      <c r="AO27" s="363"/>
      <c r="AP27" s="365"/>
      <c r="AQ27" s="363"/>
      <c r="AR27" s="935"/>
      <c r="AS27" s="936"/>
      <c r="AT27" s="935"/>
      <c r="AU27" s="936"/>
      <c r="AV27" s="365"/>
      <c r="AW27" s="363"/>
      <c r="AX27" s="365"/>
      <c r="AY27" s="363"/>
      <c r="AZ27" s="365"/>
      <c r="BA27" s="366"/>
      <c r="BB27" s="367">
        <f t="shared" si="1"/>
        <v>0</v>
      </c>
      <c r="BC27" s="87"/>
      <c r="BD27" s="55"/>
      <c r="BE27" s="55"/>
      <c r="BF27" s="55"/>
      <c r="BG27" s="55"/>
      <c r="BH27" s="55"/>
      <c r="BI27" s="55"/>
      <c r="BJ27" s="55"/>
      <c r="BK27" s="55"/>
      <c r="BL27" s="55"/>
      <c r="BM27" s="55"/>
      <c r="BN27" s="55"/>
      <c r="BO27" s="55"/>
      <c r="BP27" s="55"/>
      <c r="BQ27" s="55"/>
      <c r="BR27" s="55"/>
      <c r="BS27" s="55"/>
      <c r="BT27" s="55"/>
      <c r="BU27" s="55"/>
      <c r="BV27" s="55"/>
      <c r="BW27" s="55"/>
      <c r="BX27" s="55"/>
      <c r="BY27" s="55"/>
    </row>
    <row r="28" spans="1:77" ht="56.25">
      <c r="A28" s="661" t="s">
        <v>2047</v>
      </c>
      <c r="B28" s="368" t="s">
        <v>175</v>
      </c>
      <c r="C28" s="215" t="s">
        <v>1280</v>
      </c>
      <c r="D28" s="350" t="s">
        <v>788</v>
      </c>
      <c r="E28" s="354" t="s">
        <v>322</v>
      </c>
      <c r="F28" s="353" t="s">
        <v>104</v>
      </c>
      <c r="G28" s="354" t="s">
        <v>600</v>
      </c>
      <c r="H28" s="353" t="s">
        <v>114</v>
      </c>
      <c r="I28" s="354" t="s">
        <v>612</v>
      </c>
      <c r="J28" s="355" t="s">
        <v>278</v>
      </c>
      <c r="K28" s="370"/>
      <c r="L28" s="357"/>
      <c r="M28" s="371"/>
      <c r="N28" s="372"/>
      <c r="O28" s="370"/>
      <c r="P28" s="373"/>
      <c r="Q28" s="370">
        <v>1075</v>
      </c>
      <c r="R28" s="357">
        <v>39600</v>
      </c>
      <c r="S28" s="948"/>
      <c r="T28" s="951"/>
      <c r="U28" s="948"/>
      <c r="V28" s="952"/>
      <c r="W28" s="370"/>
      <c r="X28" s="353"/>
      <c r="Y28" s="370">
        <v>845</v>
      </c>
      <c r="Z28" s="357">
        <v>39600</v>
      </c>
      <c r="AA28" s="370"/>
      <c r="AB28" s="355"/>
      <c r="AC28" s="358">
        <f t="shared" si="0"/>
        <v>1920</v>
      </c>
      <c r="AD28" s="374" t="s">
        <v>464</v>
      </c>
      <c r="AE28" s="375" t="s">
        <v>291</v>
      </c>
      <c r="AF28" s="214">
        <v>41140</v>
      </c>
      <c r="AG28" s="377"/>
      <c r="AH28" s="378"/>
      <c r="AI28" s="379"/>
      <c r="AJ28" s="380"/>
      <c r="AK28" s="381"/>
      <c r="AL28" s="382"/>
      <c r="AM28" s="381"/>
      <c r="AN28" s="383"/>
      <c r="AO28" s="381"/>
      <c r="AP28" s="383"/>
      <c r="AQ28" s="381"/>
      <c r="AR28" s="982"/>
      <c r="AS28" s="984"/>
      <c r="AT28" s="982"/>
      <c r="AU28" s="984"/>
      <c r="AV28" s="383"/>
      <c r="AW28" s="381"/>
      <c r="AX28" s="383"/>
      <c r="AY28" s="381"/>
      <c r="AZ28" s="383"/>
      <c r="BA28" s="384"/>
      <c r="BB28" s="367">
        <f t="shared" si="1"/>
        <v>0</v>
      </c>
    </row>
    <row r="29" spans="1:77" ht="90">
      <c r="A29" s="725" t="s">
        <v>2305</v>
      </c>
      <c r="B29" s="368" t="s">
        <v>1294</v>
      </c>
      <c r="C29" s="215" t="s">
        <v>529</v>
      </c>
      <c r="D29" s="350" t="s">
        <v>788</v>
      </c>
      <c r="E29" s="354" t="s">
        <v>53</v>
      </c>
      <c r="F29" s="353" t="s">
        <v>825</v>
      </c>
      <c r="G29" s="354" t="s">
        <v>396</v>
      </c>
      <c r="H29" s="353" t="s">
        <v>567</v>
      </c>
      <c r="I29" s="354" t="s">
        <v>789</v>
      </c>
      <c r="J29" s="355" t="s">
        <v>790</v>
      </c>
      <c r="K29" s="370">
        <v>1453</v>
      </c>
      <c r="L29" s="357">
        <v>40057</v>
      </c>
      <c r="M29" s="371">
        <v>6006</v>
      </c>
      <c r="N29" s="372">
        <v>40057</v>
      </c>
      <c r="O29" s="370"/>
      <c r="P29" s="373"/>
      <c r="Q29" s="370">
        <v>6464</v>
      </c>
      <c r="R29" s="357">
        <v>40057</v>
      </c>
      <c r="S29" s="948">
        <v>8043</v>
      </c>
      <c r="T29" s="949">
        <v>40057</v>
      </c>
      <c r="U29" s="948">
        <v>7579</v>
      </c>
      <c r="V29" s="950">
        <v>40057</v>
      </c>
      <c r="W29" s="370"/>
      <c r="X29" s="353"/>
      <c r="Y29" s="370"/>
      <c r="Z29" s="353"/>
      <c r="AA29" s="370"/>
      <c r="AB29" s="355"/>
      <c r="AC29" s="358">
        <f t="shared" si="0"/>
        <v>29545</v>
      </c>
      <c r="AD29" s="374" t="s">
        <v>501</v>
      </c>
      <c r="AE29" s="375" t="s">
        <v>555</v>
      </c>
      <c r="AF29" s="376" t="s">
        <v>2194</v>
      </c>
      <c r="AG29" s="377"/>
      <c r="AH29" s="378"/>
      <c r="AI29" s="379"/>
      <c r="AJ29" s="380"/>
      <c r="AK29" s="381"/>
      <c r="AL29" s="382"/>
      <c r="AM29" s="381"/>
      <c r="AN29" s="383"/>
      <c r="AO29" s="381"/>
      <c r="AP29" s="383"/>
      <c r="AQ29" s="381"/>
      <c r="AR29" s="982"/>
      <c r="AS29" s="984"/>
      <c r="AT29" s="982"/>
      <c r="AU29" s="984"/>
      <c r="AV29" s="383"/>
      <c r="AW29" s="381"/>
      <c r="AX29" s="383"/>
      <c r="AY29" s="381"/>
      <c r="AZ29" s="383"/>
      <c r="BA29" s="384"/>
      <c r="BB29" s="367">
        <f t="shared" si="1"/>
        <v>0</v>
      </c>
    </row>
    <row r="30" spans="1:77" ht="78.75">
      <c r="A30" s="350" t="s">
        <v>7455</v>
      </c>
      <c r="B30" s="368" t="s">
        <v>34</v>
      </c>
      <c r="C30" s="215" t="s">
        <v>1113</v>
      </c>
      <c r="D30" s="350" t="s">
        <v>788</v>
      </c>
      <c r="E30" s="354" t="s">
        <v>1114</v>
      </c>
      <c r="F30" s="353" t="s">
        <v>901</v>
      </c>
      <c r="G30" s="354" t="s">
        <v>1039</v>
      </c>
      <c r="H30" s="353" t="s">
        <v>1297</v>
      </c>
      <c r="I30" s="354" t="s">
        <v>361</v>
      </c>
      <c r="J30" s="355" t="s">
        <v>279</v>
      </c>
      <c r="K30" s="370">
        <v>1143</v>
      </c>
      <c r="L30" s="357">
        <v>40330</v>
      </c>
      <c r="M30" s="371">
        <v>2294</v>
      </c>
      <c r="N30" s="372" t="s">
        <v>767</v>
      </c>
      <c r="O30" s="370">
        <v>6500</v>
      </c>
      <c r="P30" s="389">
        <v>40330</v>
      </c>
      <c r="Q30" s="370">
        <v>5087</v>
      </c>
      <c r="R30" s="357">
        <v>40330</v>
      </c>
      <c r="S30" s="948">
        <v>6329</v>
      </c>
      <c r="T30" s="949">
        <v>40330</v>
      </c>
      <c r="U30" s="948">
        <v>4407</v>
      </c>
      <c r="V30" s="950">
        <v>40330</v>
      </c>
      <c r="W30" s="370"/>
      <c r="X30" s="353"/>
      <c r="Y30" s="370"/>
      <c r="Z30" s="353"/>
      <c r="AA30" s="370"/>
      <c r="AB30" s="355"/>
      <c r="AC30" s="358">
        <f t="shared" si="0"/>
        <v>25760</v>
      </c>
      <c r="AD30" s="385" t="s">
        <v>478</v>
      </c>
      <c r="AE30" s="213">
        <v>40399</v>
      </c>
      <c r="AF30" s="214">
        <v>41860</v>
      </c>
      <c r="AG30" s="377"/>
      <c r="AH30" s="378"/>
      <c r="AI30" s="379"/>
      <c r="AJ30" s="380"/>
      <c r="AK30" s="381"/>
      <c r="AL30" s="382"/>
      <c r="AM30" s="381"/>
      <c r="AN30" s="383"/>
      <c r="AO30" s="381"/>
      <c r="AP30" s="383"/>
      <c r="AQ30" s="381"/>
      <c r="AR30" s="982"/>
      <c r="AS30" s="984"/>
      <c r="AT30" s="982"/>
      <c r="AU30" s="984"/>
      <c r="AV30" s="383"/>
      <c r="AW30" s="381"/>
      <c r="AX30" s="383"/>
      <c r="AY30" s="381"/>
      <c r="AZ30" s="383"/>
      <c r="BA30" s="384"/>
      <c r="BB30" s="367">
        <f t="shared" si="1"/>
        <v>0</v>
      </c>
    </row>
    <row r="31" spans="1:77" ht="67.5">
      <c r="A31" s="907" t="s">
        <v>2467</v>
      </c>
      <c r="B31" s="368" t="s">
        <v>850</v>
      </c>
      <c r="C31" s="215" t="s">
        <v>851</v>
      </c>
      <c r="D31" s="350" t="s">
        <v>788</v>
      </c>
      <c r="E31" s="354" t="s">
        <v>852</v>
      </c>
      <c r="F31" s="353" t="s">
        <v>1198</v>
      </c>
      <c r="G31" s="354" t="s">
        <v>1200</v>
      </c>
      <c r="H31" s="353" t="s">
        <v>1199</v>
      </c>
      <c r="I31" s="354" t="s">
        <v>947</v>
      </c>
      <c r="J31" s="355" t="s">
        <v>93</v>
      </c>
      <c r="K31" s="370">
        <v>1457</v>
      </c>
      <c r="L31" s="357">
        <v>40330</v>
      </c>
      <c r="M31" s="371">
        <v>4141</v>
      </c>
      <c r="N31" s="372">
        <v>40330</v>
      </c>
      <c r="O31" s="370"/>
      <c r="P31" s="373"/>
      <c r="Q31" s="370">
        <v>3192</v>
      </c>
      <c r="R31" s="357">
        <v>40330</v>
      </c>
      <c r="S31" s="948">
        <v>3287</v>
      </c>
      <c r="T31" s="949">
        <v>40330</v>
      </c>
      <c r="U31" s="948">
        <v>5454</v>
      </c>
      <c r="V31" s="950">
        <v>40330</v>
      </c>
      <c r="W31" s="370"/>
      <c r="X31" s="353"/>
      <c r="Y31" s="370"/>
      <c r="Z31" s="353"/>
      <c r="AA31" s="370"/>
      <c r="AB31" s="355"/>
      <c r="AC31" s="358">
        <f t="shared" si="0"/>
        <v>17531</v>
      </c>
      <c r="AD31" s="385" t="s">
        <v>478</v>
      </c>
      <c r="AE31" s="213">
        <v>40399</v>
      </c>
      <c r="AF31" s="214">
        <v>41860</v>
      </c>
      <c r="AG31" s="377"/>
      <c r="AH31" s="378"/>
      <c r="AI31" s="379"/>
      <c r="AJ31" s="380"/>
      <c r="AK31" s="381"/>
      <c r="AL31" s="382"/>
      <c r="AM31" s="381"/>
      <c r="AN31" s="383"/>
      <c r="AO31" s="381"/>
      <c r="AP31" s="383"/>
      <c r="AQ31" s="381"/>
      <c r="AR31" s="982"/>
      <c r="AS31" s="984"/>
      <c r="AT31" s="982"/>
      <c r="AU31" s="984"/>
      <c r="AV31" s="383"/>
      <c r="AW31" s="381"/>
      <c r="AX31" s="383"/>
      <c r="AY31" s="381"/>
      <c r="AZ31" s="383"/>
      <c r="BA31" s="384"/>
      <c r="BB31" s="367">
        <f t="shared" si="1"/>
        <v>0</v>
      </c>
    </row>
    <row r="32" spans="1:77" s="47" customFormat="1" ht="56.25">
      <c r="A32" s="4217" t="s">
        <v>2390</v>
      </c>
      <c r="B32" s="368" t="s">
        <v>175</v>
      </c>
      <c r="C32" s="215" t="s">
        <v>952</v>
      </c>
      <c r="D32" s="350" t="s">
        <v>788</v>
      </c>
      <c r="E32" s="354" t="s">
        <v>696</v>
      </c>
      <c r="F32" s="353" t="s">
        <v>724</v>
      </c>
      <c r="G32" s="354" t="s">
        <v>356</v>
      </c>
      <c r="H32" s="353" t="s">
        <v>948</v>
      </c>
      <c r="I32" s="354" t="s">
        <v>581</v>
      </c>
      <c r="J32" s="355" t="s">
        <v>949</v>
      </c>
      <c r="K32" s="370">
        <v>292</v>
      </c>
      <c r="L32" s="357">
        <v>38777</v>
      </c>
      <c r="M32" s="371">
        <v>0</v>
      </c>
      <c r="N32" s="389" t="s">
        <v>2256</v>
      </c>
      <c r="O32" s="370"/>
      <c r="P32" s="373"/>
      <c r="Q32" s="370">
        <v>1296</v>
      </c>
      <c r="R32" s="357">
        <v>38777</v>
      </c>
      <c r="S32" s="948">
        <v>1944</v>
      </c>
      <c r="T32" s="949">
        <v>38777</v>
      </c>
      <c r="U32" s="948">
        <v>1613</v>
      </c>
      <c r="V32" s="950">
        <v>38777</v>
      </c>
      <c r="W32" s="370"/>
      <c r="X32" s="353"/>
      <c r="Y32" s="370"/>
      <c r="Z32" s="353"/>
      <c r="AA32" s="370"/>
      <c r="AB32" s="355"/>
      <c r="AC32" s="358">
        <f t="shared" si="0"/>
        <v>5145</v>
      </c>
      <c r="AD32" s="374" t="s">
        <v>611</v>
      </c>
      <c r="AE32" s="375" t="s">
        <v>14</v>
      </c>
      <c r="AF32" s="402" t="s">
        <v>632</v>
      </c>
      <c r="AG32" s="359"/>
      <c r="AH32" s="360"/>
      <c r="AI32" s="361"/>
      <c r="AJ32" s="362"/>
      <c r="AK32" s="363"/>
      <c r="AL32" s="364"/>
      <c r="AM32" s="363"/>
      <c r="AN32" s="365"/>
      <c r="AO32" s="363"/>
      <c r="AP32" s="365"/>
      <c r="AQ32" s="363"/>
      <c r="AR32" s="935"/>
      <c r="AS32" s="936"/>
      <c r="AT32" s="935"/>
      <c r="AU32" s="936"/>
      <c r="AV32" s="365"/>
      <c r="AW32" s="363"/>
      <c r="AX32" s="365"/>
      <c r="AY32" s="363"/>
      <c r="AZ32" s="365"/>
      <c r="BA32" s="366"/>
      <c r="BB32" s="367">
        <f t="shared" si="1"/>
        <v>0</v>
      </c>
      <c r="BC32" s="87"/>
      <c r="BD32" s="55"/>
      <c r="BE32" s="55"/>
      <c r="BF32" s="55"/>
      <c r="BG32" s="55"/>
      <c r="BH32" s="55"/>
      <c r="BI32" s="55"/>
      <c r="BJ32" s="55"/>
      <c r="BK32" s="55"/>
      <c r="BL32" s="55"/>
      <c r="BM32" s="55"/>
      <c r="BN32" s="55"/>
      <c r="BO32" s="55"/>
      <c r="BP32" s="55"/>
      <c r="BQ32" s="55"/>
      <c r="BR32" s="55"/>
      <c r="BS32" s="55"/>
      <c r="BT32" s="55"/>
      <c r="BU32" s="55"/>
      <c r="BV32" s="55"/>
      <c r="BW32" s="55"/>
      <c r="BX32" s="55"/>
      <c r="BY32" s="55"/>
    </row>
    <row r="33" spans="1:77" s="47" customFormat="1" ht="45">
      <c r="A33" s="4217" t="s">
        <v>2391</v>
      </c>
      <c r="B33" s="368" t="s">
        <v>175</v>
      </c>
      <c r="C33" s="215" t="s">
        <v>1173</v>
      </c>
      <c r="D33" s="350" t="s">
        <v>788</v>
      </c>
      <c r="E33" s="354" t="s">
        <v>548</v>
      </c>
      <c r="F33" s="353" t="s">
        <v>791</v>
      </c>
      <c r="G33" s="354" t="s">
        <v>75</v>
      </c>
      <c r="H33" s="353" t="s">
        <v>395</v>
      </c>
      <c r="I33" s="354" t="s">
        <v>76</v>
      </c>
      <c r="J33" s="355" t="s">
        <v>324</v>
      </c>
      <c r="K33" s="370"/>
      <c r="L33" s="357"/>
      <c r="M33" s="371"/>
      <c r="N33" s="372"/>
      <c r="O33" s="370"/>
      <c r="P33" s="373"/>
      <c r="Q33" s="370"/>
      <c r="R33" s="353"/>
      <c r="S33" s="948">
        <v>4427</v>
      </c>
      <c r="T33" s="949">
        <v>38777</v>
      </c>
      <c r="U33" s="948">
        <v>3546</v>
      </c>
      <c r="V33" s="950">
        <v>38777</v>
      </c>
      <c r="W33" s="370"/>
      <c r="X33" s="353"/>
      <c r="Y33" s="370"/>
      <c r="Z33" s="353"/>
      <c r="AA33" s="370"/>
      <c r="AB33" s="355"/>
      <c r="AC33" s="358">
        <f t="shared" si="0"/>
        <v>7973</v>
      </c>
      <c r="AD33" s="374" t="s">
        <v>611</v>
      </c>
      <c r="AE33" s="375" t="s">
        <v>537</v>
      </c>
      <c r="AF33" s="402" t="s">
        <v>538</v>
      </c>
      <c r="AG33" s="359"/>
      <c r="AH33" s="360"/>
      <c r="AI33" s="361"/>
      <c r="AJ33" s="362"/>
      <c r="AK33" s="363"/>
      <c r="AL33" s="364"/>
      <c r="AM33" s="363"/>
      <c r="AN33" s="365"/>
      <c r="AO33" s="363"/>
      <c r="AP33" s="365"/>
      <c r="AQ33" s="363"/>
      <c r="AR33" s="935"/>
      <c r="AS33" s="936"/>
      <c r="AT33" s="935"/>
      <c r="AU33" s="936"/>
      <c r="AV33" s="365"/>
      <c r="AW33" s="363"/>
      <c r="AX33" s="365"/>
      <c r="AY33" s="363"/>
      <c r="AZ33" s="365"/>
      <c r="BA33" s="366"/>
      <c r="BB33" s="367">
        <f t="shared" si="1"/>
        <v>0</v>
      </c>
      <c r="BC33" s="87"/>
      <c r="BD33" s="55"/>
      <c r="BE33" s="55"/>
      <c r="BF33" s="55"/>
      <c r="BG33" s="55"/>
      <c r="BH33" s="55"/>
      <c r="BI33" s="55"/>
      <c r="BJ33" s="55"/>
      <c r="BK33" s="55"/>
      <c r="BL33" s="55"/>
      <c r="BM33" s="55"/>
      <c r="BN33" s="55"/>
      <c r="BO33" s="55"/>
      <c r="BP33" s="55"/>
      <c r="BQ33" s="55"/>
      <c r="BR33" s="55"/>
      <c r="BS33" s="55"/>
      <c r="BT33" s="55"/>
      <c r="BU33" s="55"/>
      <c r="BV33" s="55"/>
      <c r="BW33" s="55"/>
      <c r="BX33" s="55"/>
      <c r="BY33" s="55"/>
    </row>
    <row r="34" spans="1:77" ht="56.25">
      <c r="A34" s="350" t="s">
        <v>7456</v>
      </c>
      <c r="B34" s="368" t="s">
        <v>397</v>
      </c>
      <c r="C34" s="215" t="s">
        <v>321</v>
      </c>
      <c r="D34" s="350" t="s">
        <v>788</v>
      </c>
      <c r="E34" s="354" t="s">
        <v>1335</v>
      </c>
      <c r="F34" s="353" t="s">
        <v>646</v>
      </c>
      <c r="G34" s="354" t="s">
        <v>79</v>
      </c>
      <c r="H34" s="353" t="s">
        <v>646</v>
      </c>
      <c r="I34" s="354" t="s">
        <v>612</v>
      </c>
      <c r="J34" s="355" t="s">
        <v>1160</v>
      </c>
      <c r="K34" s="370">
        <v>299</v>
      </c>
      <c r="L34" s="357">
        <v>38596</v>
      </c>
      <c r="M34" s="371">
        <v>42131</v>
      </c>
      <c r="N34" s="372">
        <v>38596</v>
      </c>
      <c r="O34" s="370"/>
      <c r="P34" s="373"/>
      <c r="Q34" s="370">
        <v>1329</v>
      </c>
      <c r="R34" s="357">
        <v>38596</v>
      </c>
      <c r="S34" s="948">
        <v>9604</v>
      </c>
      <c r="T34" s="949">
        <v>38596</v>
      </c>
      <c r="U34" s="948">
        <v>15117</v>
      </c>
      <c r="V34" s="950">
        <v>38596</v>
      </c>
      <c r="W34" s="370"/>
      <c r="X34" s="353"/>
      <c r="Y34" s="370">
        <v>5000</v>
      </c>
      <c r="Z34" s="353" t="s">
        <v>932</v>
      </c>
      <c r="AA34" s="370"/>
      <c r="AB34" s="355"/>
      <c r="AC34" s="358">
        <f t="shared" si="0"/>
        <v>73480</v>
      </c>
      <c r="AD34" s="385" t="s">
        <v>1271</v>
      </c>
      <c r="AE34" s="213">
        <v>39227</v>
      </c>
      <c r="AF34" s="376" t="s">
        <v>1272</v>
      </c>
      <c r="AG34" s="377"/>
      <c r="AH34" s="378"/>
      <c r="AI34" s="379"/>
      <c r="AJ34" s="380"/>
      <c r="AK34" s="381"/>
      <c r="AL34" s="382"/>
      <c r="AM34" s="381"/>
      <c r="AN34" s="383"/>
      <c r="AO34" s="381"/>
      <c r="AP34" s="219"/>
      <c r="AQ34" s="381"/>
      <c r="AR34" s="982"/>
      <c r="AS34" s="984"/>
      <c r="AT34" s="982"/>
      <c r="AU34" s="984"/>
      <c r="AV34" s="383"/>
      <c r="AW34" s="381"/>
      <c r="AX34" s="383"/>
      <c r="AY34" s="381"/>
      <c r="AZ34" s="383"/>
      <c r="BA34" s="384"/>
      <c r="BB34" s="367">
        <f>AJ34+AL34+AN34+AR34+AT34+AV34+AX34+AZ34</f>
        <v>0</v>
      </c>
    </row>
    <row r="35" spans="1:77" ht="67.5">
      <c r="A35" s="907" t="s">
        <v>2393</v>
      </c>
      <c r="B35" s="368" t="s">
        <v>596</v>
      </c>
      <c r="C35" s="215" t="s">
        <v>597</v>
      </c>
      <c r="D35" s="350" t="s">
        <v>788</v>
      </c>
      <c r="E35" s="354" t="s">
        <v>393</v>
      </c>
      <c r="F35" s="353" t="s">
        <v>825</v>
      </c>
      <c r="G35" s="354" t="s">
        <v>1044</v>
      </c>
      <c r="H35" s="353" t="s">
        <v>598</v>
      </c>
      <c r="I35" s="354" t="s">
        <v>1178</v>
      </c>
      <c r="J35" s="355" t="s">
        <v>812</v>
      </c>
      <c r="K35" s="370"/>
      <c r="L35" s="357"/>
      <c r="M35" s="371">
        <v>44236</v>
      </c>
      <c r="N35" s="372">
        <v>40057</v>
      </c>
      <c r="O35" s="370"/>
      <c r="P35" s="373"/>
      <c r="Q35" s="370"/>
      <c r="R35" s="353"/>
      <c r="S35" s="948">
        <v>1462</v>
      </c>
      <c r="T35" s="949">
        <v>39965</v>
      </c>
      <c r="U35" s="948">
        <v>1308</v>
      </c>
      <c r="V35" s="950">
        <v>39965</v>
      </c>
      <c r="W35" s="370"/>
      <c r="X35" s="353"/>
      <c r="Y35" s="370"/>
      <c r="Z35" s="353"/>
      <c r="AA35" s="370"/>
      <c r="AB35" s="355"/>
      <c r="AC35" s="358">
        <f t="shared" si="0"/>
        <v>47006</v>
      </c>
      <c r="AD35" s="385" t="s">
        <v>937</v>
      </c>
      <c r="AE35" s="213">
        <v>40198</v>
      </c>
      <c r="AF35" s="214">
        <v>41659</v>
      </c>
      <c r="AG35" s="377"/>
      <c r="AH35" s="378"/>
      <c r="AI35" s="379"/>
      <c r="AJ35" s="380"/>
      <c r="AK35" s="381"/>
      <c r="AL35" s="382"/>
      <c r="AM35" s="381"/>
      <c r="AN35" s="383"/>
      <c r="AO35" s="381"/>
      <c r="AP35" s="383"/>
      <c r="AQ35" s="381"/>
      <c r="AR35" s="982"/>
      <c r="AS35" s="984"/>
      <c r="AT35" s="982"/>
      <c r="AU35" s="984"/>
      <c r="AV35" s="383"/>
      <c r="AW35" s="381"/>
      <c r="AX35" s="383"/>
      <c r="AY35" s="381"/>
      <c r="AZ35" s="383"/>
      <c r="BA35" s="384"/>
      <c r="BB35" s="367">
        <f t="shared" ref="BB35:BB48" si="2">AJ35+AL35+AN35+AP35+AR35+AT35+AV35+AX35+AZ35</f>
        <v>0</v>
      </c>
    </row>
    <row r="36" spans="1:77" ht="67.5">
      <c r="A36" s="907" t="s">
        <v>7444</v>
      </c>
      <c r="B36" s="368" t="s">
        <v>175</v>
      </c>
      <c r="C36" s="215" t="s">
        <v>843</v>
      </c>
      <c r="D36" s="350" t="s">
        <v>788</v>
      </c>
      <c r="E36" s="354" t="s">
        <v>844</v>
      </c>
      <c r="F36" s="353" t="s">
        <v>853</v>
      </c>
      <c r="G36" s="354" t="s">
        <v>835</v>
      </c>
      <c r="H36" s="353" t="s">
        <v>282</v>
      </c>
      <c r="I36" s="354" t="s">
        <v>834</v>
      </c>
      <c r="J36" s="355" t="s">
        <v>1088</v>
      </c>
      <c r="K36" s="370"/>
      <c r="L36" s="357"/>
      <c r="M36" s="371"/>
      <c r="N36" s="372"/>
      <c r="O36" s="370"/>
      <c r="P36" s="373"/>
      <c r="Q36" s="370">
        <v>372</v>
      </c>
      <c r="R36" s="357">
        <v>40148</v>
      </c>
      <c r="S36" s="948"/>
      <c r="T36" s="951"/>
      <c r="U36" s="948"/>
      <c r="V36" s="952"/>
      <c r="W36" s="370"/>
      <c r="X36" s="353"/>
      <c r="Y36" s="370">
        <v>256</v>
      </c>
      <c r="Z36" s="357">
        <v>40148</v>
      </c>
      <c r="AA36" s="370"/>
      <c r="AB36" s="355"/>
      <c r="AC36" s="358">
        <f t="shared" si="0"/>
        <v>628</v>
      </c>
      <c r="AD36" s="385" t="s">
        <v>465</v>
      </c>
      <c r="AE36" s="213">
        <v>40274</v>
      </c>
      <c r="AF36" s="214">
        <v>41735</v>
      </c>
      <c r="AG36" s="377"/>
      <c r="AH36" s="378"/>
      <c r="AI36" s="379"/>
      <c r="AJ36" s="380"/>
      <c r="AK36" s="381"/>
      <c r="AL36" s="382"/>
      <c r="AM36" s="381"/>
      <c r="AN36" s="383"/>
      <c r="AO36" s="381"/>
      <c r="AP36" s="383"/>
      <c r="AQ36" s="381"/>
      <c r="AR36" s="982"/>
      <c r="AS36" s="984"/>
      <c r="AT36" s="982"/>
      <c r="AU36" s="984"/>
      <c r="AV36" s="383"/>
      <c r="AW36" s="381"/>
      <c r="AX36" s="383"/>
      <c r="AY36" s="381"/>
      <c r="AZ36" s="383"/>
      <c r="BA36" s="384"/>
      <c r="BB36" s="367">
        <f t="shared" si="2"/>
        <v>0</v>
      </c>
    </row>
    <row r="37" spans="1:77" ht="33.75">
      <c r="A37" s="907" t="s">
        <v>7445</v>
      </c>
      <c r="B37" s="368" t="s">
        <v>175</v>
      </c>
      <c r="C37" s="215" t="s">
        <v>111</v>
      </c>
      <c r="D37" s="350" t="s">
        <v>9</v>
      </c>
      <c r="E37" s="354" t="s">
        <v>1183</v>
      </c>
      <c r="F37" s="353" t="s">
        <v>1184</v>
      </c>
      <c r="G37" s="354" t="s">
        <v>1185</v>
      </c>
      <c r="H37" s="353" t="s">
        <v>1186</v>
      </c>
      <c r="I37" s="354" t="s">
        <v>415</v>
      </c>
      <c r="J37" s="355" t="s">
        <v>457</v>
      </c>
      <c r="K37" s="370"/>
      <c r="L37" s="357"/>
      <c r="M37" s="371"/>
      <c r="N37" s="372"/>
      <c r="O37" s="370"/>
      <c r="P37" s="373"/>
      <c r="Q37" s="370">
        <v>1368</v>
      </c>
      <c r="R37" s="357">
        <v>39508</v>
      </c>
      <c r="S37" s="948"/>
      <c r="T37" s="951"/>
      <c r="U37" s="948"/>
      <c r="V37" s="952"/>
      <c r="W37" s="370"/>
      <c r="X37" s="353"/>
      <c r="Y37" s="370">
        <v>1079</v>
      </c>
      <c r="Z37" s="357">
        <v>39508</v>
      </c>
      <c r="AA37" s="370"/>
      <c r="AB37" s="355"/>
      <c r="AC37" s="358">
        <f t="shared" si="0"/>
        <v>2447</v>
      </c>
      <c r="AD37" s="385" t="s">
        <v>465</v>
      </c>
      <c r="AE37" s="213">
        <v>39619</v>
      </c>
      <c r="AF37" s="214">
        <v>41080</v>
      </c>
      <c r="AG37" s="377"/>
      <c r="AH37" s="378"/>
      <c r="AI37" s="379"/>
      <c r="AJ37" s="380"/>
      <c r="AK37" s="381"/>
      <c r="AL37" s="382"/>
      <c r="AM37" s="381"/>
      <c r="AN37" s="383"/>
      <c r="AO37" s="381"/>
      <c r="AP37" s="383"/>
      <c r="AQ37" s="381"/>
      <c r="AR37" s="982"/>
      <c r="AS37" s="984"/>
      <c r="AT37" s="982"/>
      <c r="AU37" s="984"/>
      <c r="AV37" s="383"/>
      <c r="AW37" s="381"/>
      <c r="AX37" s="383"/>
      <c r="AY37" s="381"/>
      <c r="AZ37" s="383"/>
      <c r="BA37" s="384"/>
      <c r="BB37" s="367">
        <f t="shared" si="2"/>
        <v>0</v>
      </c>
    </row>
    <row r="38" spans="1:77" ht="101.25">
      <c r="A38" s="395" t="s">
        <v>7446</v>
      </c>
      <c r="B38" s="368" t="s">
        <v>96</v>
      </c>
      <c r="C38" s="215" t="s">
        <v>55</v>
      </c>
      <c r="D38" s="350" t="s">
        <v>56</v>
      </c>
      <c r="E38" s="354" t="s">
        <v>283</v>
      </c>
      <c r="F38" s="353" t="s">
        <v>345</v>
      </c>
      <c r="G38" s="354" t="s">
        <v>314</v>
      </c>
      <c r="H38" s="353" t="s">
        <v>885</v>
      </c>
      <c r="I38" s="354" t="s">
        <v>1046</v>
      </c>
      <c r="J38" s="355" t="s">
        <v>259</v>
      </c>
      <c r="K38" s="370"/>
      <c r="L38" s="357"/>
      <c r="M38" s="371">
        <v>28300</v>
      </c>
      <c r="N38" s="372">
        <v>40603</v>
      </c>
      <c r="O38" s="370"/>
      <c r="P38" s="373"/>
      <c r="Q38" s="370"/>
      <c r="R38" s="357" t="s">
        <v>418</v>
      </c>
      <c r="S38" s="948"/>
      <c r="T38" s="951"/>
      <c r="U38" s="948"/>
      <c r="V38" s="952"/>
      <c r="W38" s="370"/>
      <c r="X38" s="353"/>
      <c r="Y38" s="417">
        <v>12307</v>
      </c>
      <c r="Z38" s="357">
        <v>40603</v>
      </c>
      <c r="AA38" s="370"/>
      <c r="AB38" s="355"/>
      <c r="AC38" s="358">
        <f t="shared" si="0"/>
        <v>40607</v>
      </c>
      <c r="AD38" s="374" t="s">
        <v>419</v>
      </c>
      <c r="AE38" s="375" t="s">
        <v>54</v>
      </c>
      <c r="AF38" s="376" t="s">
        <v>124</v>
      </c>
      <c r="AG38" s="377"/>
      <c r="AH38" s="378"/>
      <c r="AI38" s="379"/>
      <c r="AJ38" s="380"/>
      <c r="AK38" s="381"/>
      <c r="AL38" s="382"/>
      <c r="AM38" s="381"/>
      <c r="AN38" s="383"/>
      <c r="AO38" s="381"/>
      <c r="AP38" s="383"/>
      <c r="AQ38" s="381"/>
      <c r="AR38" s="982"/>
      <c r="AS38" s="984"/>
      <c r="AT38" s="982"/>
      <c r="AU38" s="984"/>
      <c r="AV38" s="383"/>
      <c r="AW38" s="381"/>
      <c r="AX38" s="383"/>
      <c r="AY38" s="381"/>
      <c r="AZ38" s="383"/>
      <c r="BA38" s="384"/>
      <c r="BB38" s="367">
        <f t="shared" si="2"/>
        <v>0</v>
      </c>
    </row>
    <row r="39" spans="1:77" ht="101.25">
      <c r="A39" s="395" t="s">
        <v>7447</v>
      </c>
      <c r="B39" s="368" t="s">
        <v>97</v>
      </c>
      <c r="C39" s="215" t="s">
        <v>55</v>
      </c>
      <c r="D39" s="350" t="s">
        <v>57</v>
      </c>
      <c r="E39" s="354" t="s">
        <v>283</v>
      </c>
      <c r="F39" s="353" t="s">
        <v>156</v>
      </c>
      <c r="G39" s="354" t="s">
        <v>314</v>
      </c>
      <c r="H39" s="353" t="s">
        <v>885</v>
      </c>
      <c r="I39" s="354" t="s">
        <v>1046</v>
      </c>
      <c r="J39" s="355" t="s">
        <v>260</v>
      </c>
      <c r="K39" s="370"/>
      <c r="L39" s="357"/>
      <c r="M39" s="371">
        <v>15722</v>
      </c>
      <c r="N39" s="372">
        <v>40603</v>
      </c>
      <c r="O39" s="370"/>
      <c r="P39" s="373"/>
      <c r="Q39" s="370"/>
      <c r="R39" s="357" t="s">
        <v>418</v>
      </c>
      <c r="S39" s="948"/>
      <c r="T39" s="951"/>
      <c r="U39" s="948"/>
      <c r="V39" s="952"/>
      <c r="W39" s="370"/>
      <c r="X39" s="353"/>
      <c r="Y39" s="417">
        <v>7004</v>
      </c>
      <c r="Z39" s="357">
        <v>40603</v>
      </c>
      <c r="AA39" s="370"/>
      <c r="AB39" s="355"/>
      <c r="AC39" s="358">
        <f t="shared" si="0"/>
        <v>22726</v>
      </c>
      <c r="AD39" s="374" t="s">
        <v>419</v>
      </c>
      <c r="AE39" s="375" t="s">
        <v>54</v>
      </c>
      <c r="AF39" s="376" t="s">
        <v>124</v>
      </c>
      <c r="AG39" s="377"/>
      <c r="AH39" s="378"/>
      <c r="AI39" s="379"/>
      <c r="AJ39" s="380"/>
      <c r="AK39" s="381"/>
      <c r="AL39" s="382"/>
      <c r="AM39" s="381"/>
      <c r="AN39" s="383"/>
      <c r="AO39" s="381"/>
      <c r="AP39" s="383"/>
      <c r="AQ39" s="381"/>
      <c r="AR39" s="982"/>
      <c r="AS39" s="984"/>
      <c r="AT39" s="982"/>
      <c r="AU39" s="984"/>
      <c r="AV39" s="383"/>
      <c r="AW39" s="381"/>
      <c r="AX39" s="383"/>
      <c r="AY39" s="381"/>
      <c r="AZ39" s="383"/>
      <c r="BA39" s="384"/>
      <c r="BB39" s="367">
        <f t="shared" si="2"/>
        <v>0</v>
      </c>
    </row>
    <row r="40" spans="1:77" s="47" customFormat="1" ht="67.5">
      <c r="A40" s="350" t="s">
        <v>2253</v>
      </c>
      <c r="B40" s="368" t="s">
        <v>999</v>
      </c>
      <c r="C40" s="215" t="s">
        <v>725</v>
      </c>
      <c r="D40" s="350" t="s">
        <v>1330</v>
      </c>
      <c r="E40" s="354" t="s">
        <v>384</v>
      </c>
      <c r="F40" s="353" t="s">
        <v>604</v>
      </c>
      <c r="G40" s="354" t="s">
        <v>1279</v>
      </c>
      <c r="H40" s="353" t="s">
        <v>1181</v>
      </c>
      <c r="I40" s="354" t="s">
        <v>829</v>
      </c>
      <c r="J40" s="355" t="s">
        <v>589</v>
      </c>
      <c r="K40" s="370"/>
      <c r="L40" s="357"/>
      <c r="M40" s="371">
        <v>8567</v>
      </c>
      <c r="N40" s="372">
        <v>38596</v>
      </c>
      <c r="O40" s="370"/>
      <c r="P40" s="373"/>
      <c r="Q40" s="370"/>
      <c r="R40" s="353"/>
      <c r="S40" s="948"/>
      <c r="T40" s="951"/>
      <c r="U40" s="948"/>
      <c r="V40" s="952"/>
      <c r="W40" s="370"/>
      <c r="X40" s="353"/>
      <c r="Y40" s="370"/>
      <c r="Z40" s="353"/>
      <c r="AA40" s="370"/>
      <c r="AB40" s="355"/>
      <c r="AC40" s="358">
        <f t="shared" ref="AC40:AC74" si="3">K40+M40+O40+Q40+S40+U40+W40+Y40+AA40</f>
        <v>8567</v>
      </c>
      <c r="AD40" s="386" t="s">
        <v>269</v>
      </c>
      <c r="AE40" s="387">
        <v>38373</v>
      </c>
      <c r="AF40" s="388">
        <v>39826</v>
      </c>
      <c r="AG40" s="359"/>
      <c r="AH40" s="360"/>
      <c r="AI40" s="361"/>
      <c r="AJ40" s="362"/>
      <c r="AK40" s="363"/>
      <c r="AL40" s="364"/>
      <c r="AM40" s="363"/>
      <c r="AN40" s="365"/>
      <c r="AO40" s="363"/>
      <c r="AP40" s="365"/>
      <c r="AQ40" s="363"/>
      <c r="AR40" s="935"/>
      <c r="AS40" s="936"/>
      <c r="AT40" s="935"/>
      <c r="AU40" s="936"/>
      <c r="AV40" s="365"/>
      <c r="AW40" s="363"/>
      <c r="AX40" s="365"/>
      <c r="AY40" s="363"/>
      <c r="AZ40" s="365"/>
      <c r="BA40" s="366"/>
      <c r="BB40" s="367">
        <f t="shared" si="2"/>
        <v>0</v>
      </c>
      <c r="BC40" s="87"/>
      <c r="BD40" s="55"/>
      <c r="BE40" s="55"/>
      <c r="BF40" s="55"/>
      <c r="BG40" s="55"/>
      <c r="BH40" s="55"/>
      <c r="BI40" s="55"/>
      <c r="BJ40" s="55"/>
      <c r="BK40" s="55"/>
      <c r="BL40" s="55"/>
      <c r="BM40" s="55"/>
      <c r="BN40" s="55"/>
      <c r="BO40" s="55"/>
      <c r="BP40" s="55"/>
      <c r="BQ40" s="55"/>
      <c r="BR40" s="55"/>
      <c r="BS40" s="55"/>
      <c r="BT40" s="55"/>
      <c r="BU40" s="55"/>
      <c r="BV40" s="55"/>
      <c r="BW40" s="55"/>
      <c r="BX40" s="55"/>
      <c r="BY40" s="55"/>
    </row>
    <row r="41" spans="1:77" s="47" customFormat="1" ht="56.25">
      <c r="A41" s="350" t="s">
        <v>2471</v>
      </c>
      <c r="B41" s="368" t="s">
        <v>1329</v>
      </c>
      <c r="C41" s="215" t="s">
        <v>205</v>
      </c>
      <c r="D41" s="350" t="s">
        <v>1330</v>
      </c>
      <c r="E41" s="354" t="s">
        <v>329</v>
      </c>
      <c r="F41" s="353" t="s">
        <v>727</v>
      </c>
      <c r="G41" s="354" t="s">
        <v>1047</v>
      </c>
      <c r="H41" s="353" t="s">
        <v>312</v>
      </c>
      <c r="I41" s="354" t="s">
        <v>684</v>
      </c>
      <c r="J41" s="355" t="s">
        <v>536</v>
      </c>
      <c r="K41" s="370"/>
      <c r="L41" s="357"/>
      <c r="M41" s="371">
        <v>2725</v>
      </c>
      <c r="N41" s="372">
        <v>39142</v>
      </c>
      <c r="O41" s="370"/>
      <c r="P41" s="373"/>
      <c r="Q41" s="370"/>
      <c r="R41" s="353"/>
      <c r="S41" s="948"/>
      <c r="T41" s="951"/>
      <c r="U41" s="948"/>
      <c r="V41" s="952"/>
      <c r="W41" s="370"/>
      <c r="X41" s="353"/>
      <c r="Y41" s="370"/>
      <c r="Z41" s="353"/>
      <c r="AA41" s="370"/>
      <c r="AB41" s="355"/>
      <c r="AC41" s="358">
        <f t="shared" si="3"/>
        <v>2725</v>
      </c>
      <c r="AD41" s="385" t="s">
        <v>733</v>
      </c>
      <c r="AE41" s="375" t="s">
        <v>437</v>
      </c>
      <c r="AF41" s="376" t="s">
        <v>438</v>
      </c>
      <c r="AG41" s="359"/>
      <c r="AH41" s="360"/>
      <c r="AI41" s="361"/>
      <c r="AJ41" s="362"/>
      <c r="AK41" s="363"/>
      <c r="AL41" s="364"/>
      <c r="AM41" s="363"/>
      <c r="AN41" s="365"/>
      <c r="AO41" s="363"/>
      <c r="AP41" s="365"/>
      <c r="AQ41" s="363"/>
      <c r="AR41" s="935"/>
      <c r="AS41" s="936"/>
      <c r="AT41" s="935"/>
      <c r="AU41" s="936"/>
      <c r="AV41" s="365"/>
      <c r="AW41" s="363"/>
      <c r="AX41" s="365"/>
      <c r="AY41" s="363"/>
      <c r="AZ41" s="365"/>
      <c r="BA41" s="366"/>
      <c r="BB41" s="367">
        <f t="shared" si="2"/>
        <v>0</v>
      </c>
      <c r="BC41" s="87"/>
      <c r="BD41" s="55"/>
      <c r="BE41" s="55"/>
      <c r="BF41" s="55"/>
      <c r="BG41" s="55"/>
      <c r="BH41" s="55"/>
      <c r="BI41" s="55"/>
      <c r="BJ41" s="55"/>
      <c r="BK41" s="55"/>
      <c r="BL41" s="55"/>
      <c r="BM41" s="55"/>
      <c r="BN41" s="55"/>
      <c r="BO41" s="55"/>
      <c r="BP41" s="55"/>
      <c r="BQ41" s="55"/>
      <c r="BR41" s="55"/>
      <c r="BS41" s="55"/>
      <c r="BT41" s="55"/>
      <c r="BU41" s="55"/>
      <c r="BV41" s="55"/>
      <c r="BW41" s="55"/>
      <c r="BX41" s="55"/>
      <c r="BY41" s="55"/>
    </row>
    <row r="42" spans="1:77" ht="146.25">
      <c r="A42" s="661" t="s">
        <v>2548</v>
      </c>
      <c r="B42" s="368" t="s">
        <v>175</v>
      </c>
      <c r="C42" s="446" t="s">
        <v>363</v>
      </c>
      <c r="D42" s="447" t="s">
        <v>788</v>
      </c>
      <c r="E42" s="354" t="s">
        <v>996</v>
      </c>
      <c r="F42" s="353" t="s">
        <v>806</v>
      </c>
      <c r="G42" s="354" t="s">
        <v>808</v>
      </c>
      <c r="H42" s="353" t="s">
        <v>807</v>
      </c>
      <c r="I42" s="354" t="s">
        <v>74</v>
      </c>
      <c r="J42" s="355" t="s">
        <v>569</v>
      </c>
      <c r="K42" s="430">
        <v>811</v>
      </c>
      <c r="L42" s="431">
        <v>40330</v>
      </c>
      <c r="M42" s="432"/>
      <c r="N42" s="448"/>
      <c r="O42" s="430"/>
      <c r="P42" s="435"/>
      <c r="Q42" s="430">
        <v>1773</v>
      </c>
      <c r="R42" s="431">
        <v>40330</v>
      </c>
      <c r="S42" s="964"/>
      <c r="T42" s="1109"/>
      <c r="U42" s="964"/>
      <c r="V42" s="967"/>
      <c r="W42" s="430"/>
      <c r="X42" s="434"/>
      <c r="Y42" s="430">
        <v>568</v>
      </c>
      <c r="Z42" s="431">
        <v>40330</v>
      </c>
      <c r="AA42" s="430"/>
      <c r="AB42" s="436"/>
      <c r="AC42" s="358">
        <f t="shared" si="3"/>
        <v>3152</v>
      </c>
      <c r="AD42" s="449" t="s">
        <v>465</v>
      </c>
      <c r="AE42" s="437">
        <v>40434</v>
      </c>
      <c r="AF42" s="438">
        <v>41895</v>
      </c>
      <c r="AG42" s="377"/>
      <c r="AH42" s="378"/>
      <c r="AI42" s="379"/>
      <c r="AJ42" s="380"/>
      <c r="AK42" s="381"/>
      <c r="AL42" s="382"/>
      <c r="AM42" s="381"/>
      <c r="AN42" s="383"/>
      <c r="AO42" s="381"/>
      <c r="AP42" s="383"/>
      <c r="AQ42" s="381"/>
      <c r="AR42" s="982"/>
      <c r="AS42" s="984"/>
      <c r="AT42" s="982"/>
      <c r="AU42" s="984"/>
      <c r="AV42" s="383"/>
      <c r="AW42" s="381"/>
      <c r="AX42" s="383"/>
      <c r="AY42" s="381"/>
      <c r="AZ42" s="383"/>
      <c r="BA42" s="384"/>
      <c r="BB42" s="367">
        <f t="shared" si="2"/>
        <v>0</v>
      </c>
    </row>
    <row r="43" spans="1:77" ht="45">
      <c r="A43" s="661" t="s">
        <v>2614</v>
      </c>
      <c r="B43" s="368" t="s">
        <v>2048</v>
      </c>
      <c r="C43" s="215" t="s">
        <v>1068</v>
      </c>
      <c r="D43" s="350" t="s">
        <v>788</v>
      </c>
      <c r="E43" s="354" t="s">
        <v>1069</v>
      </c>
      <c r="F43" s="353" t="s">
        <v>1070</v>
      </c>
      <c r="G43" s="354" t="s">
        <v>1072</v>
      </c>
      <c r="H43" s="353" t="s">
        <v>1071</v>
      </c>
      <c r="I43" s="354" t="s">
        <v>984</v>
      </c>
      <c r="J43" s="355" t="s">
        <v>985</v>
      </c>
      <c r="K43" s="370">
        <v>381</v>
      </c>
      <c r="L43" s="357">
        <v>40330</v>
      </c>
      <c r="M43" s="371">
        <v>1083</v>
      </c>
      <c r="N43" s="372">
        <v>40330</v>
      </c>
      <c r="O43" s="370"/>
      <c r="P43" s="373"/>
      <c r="Q43" s="370">
        <v>1696</v>
      </c>
      <c r="R43" s="357">
        <v>40330</v>
      </c>
      <c r="S43" s="948">
        <v>1910</v>
      </c>
      <c r="T43" s="949">
        <v>40330</v>
      </c>
      <c r="U43" s="948">
        <v>1904</v>
      </c>
      <c r="V43" s="950">
        <v>40330</v>
      </c>
      <c r="W43" s="370"/>
      <c r="X43" s="353"/>
      <c r="Y43" s="370"/>
      <c r="Z43" s="353"/>
      <c r="AA43" s="370"/>
      <c r="AB43" s="355"/>
      <c r="AC43" s="358">
        <f t="shared" si="3"/>
        <v>6974</v>
      </c>
      <c r="AD43" s="385" t="s">
        <v>478</v>
      </c>
      <c r="AE43" s="213">
        <v>40466</v>
      </c>
      <c r="AF43" s="214">
        <v>41927</v>
      </c>
      <c r="AG43" s="377"/>
      <c r="AH43" s="378"/>
      <c r="AI43" s="379"/>
      <c r="AJ43" s="380"/>
      <c r="AK43" s="381"/>
      <c r="AL43" s="382"/>
      <c r="AM43" s="381"/>
      <c r="AN43" s="383"/>
      <c r="AO43" s="381"/>
      <c r="AP43" s="383"/>
      <c r="AQ43" s="381"/>
      <c r="AR43" s="982"/>
      <c r="AS43" s="984"/>
      <c r="AT43" s="982"/>
      <c r="AU43" s="984"/>
      <c r="AV43" s="383"/>
      <c r="AW43" s="381"/>
      <c r="AX43" s="383"/>
      <c r="AY43" s="381"/>
      <c r="AZ43" s="383"/>
      <c r="BA43" s="384"/>
      <c r="BB43" s="367">
        <f t="shared" si="2"/>
        <v>0</v>
      </c>
    </row>
    <row r="44" spans="1:77" s="47" customFormat="1" ht="90">
      <c r="A44" s="395" t="s">
        <v>7457</v>
      </c>
      <c r="B44" s="368" t="s">
        <v>1172</v>
      </c>
      <c r="C44" s="215" t="s">
        <v>105</v>
      </c>
      <c r="D44" s="350" t="s">
        <v>788</v>
      </c>
      <c r="E44" s="354" t="s">
        <v>302</v>
      </c>
      <c r="F44" s="353" t="s">
        <v>184</v>
      </c>
      <c r="G44" s="354" t="s">
        <v>203</v>
      </c>
      <c r="H44" s="353" t="s">
        <v>274</v>
      </c>
      <c r="I44" s="354" t="s">
        <v>1159</v>
      </c>
      <c r="J44" s="355" t="s">
        <v>59</v>
      </c>
      <c r="K44" s="396"/>
      <c r="L44" s="399" t="s">
        <v>2173</v>
      </c>
      <c r="M44" s="371">
        <v>1010</v>
      </c>
      <c r="N44" s="372">
        <v>38869</v>
      </c>
      <c r="O44" s="370"/>
      <c r="P44" s="373"/>
      <c r="Q44" s="396"/>
      <c r="R44" s="399" t="s">
        <v>2174</v>
      </c>
      <c r="S44" s="396"/>
      <c r="T44" s="399" t="s">
        <v>2175</v>
      </c>
      <c r="U44" s="396"/>
      <c r="V44" s="399" t="s">
        <v>2172</v>
      </c>
      <c r="W44" s="370"/>
      <c r="X44" s="353"/>
      <c r="Y44" s="370"/>
      <c r="Z44" s="353"/>
      <c r="AA44" s="370"/>
      <c r="AB44" s="355"/>
      <c r="AC44" s="358">
        <f t="shared" si="3"/>
        <v>1010</v>
      </c>
      <c r="AD44" s="400" t="s">
        <v>587</v>
      </c>
      <c r="AE44" s="424" t="s">
        <v>2187</v>
      </c>
      <c r="AF44" s="402" t="s">
        <v>1296</v>
      </c>
      <c r="AG44" s="359" t="s">
        <v>2171</v>
      </c>
      <c r="AH44" s="360">
        <v>39938</v>
      </c>
      <c r="AI44" s="361">
        <v>513631</v>
      </c>
      <c r="AJ44" s="414"/>
      <c r="AK44" s="412" t="s">
        <v>2170</v>
      </c>
      <c r="AL44" s="364"/>
      <c r="AM44" s="363"/>
      <c r="AN44" s="365"/>
      <c r="AO44" s="363"/>
      <c r="AP44" s="411"/>
      <c r="AQ44" s="412" t="s">
        <v>2167</v>
      </c>
      <c r="AR44" s="411"/>
      <c r="AS44" s="412" t="s">
        <v>2169</v>
      </c>
      <c r="AT44" s="411"/>
      <c r="AU44" s="412" t="s">
        <v>2168</v>
      </c>
      <c r="AV44" s="365"/>
      <c r="AW44" s="363"/>
      <c r="AX44" s="365"/>
      <c r="AY44" s="363"/>
      <c r="AZ44" s="365"/>
      <c r="BA44" s="366"/>
      <c r="BB44" s="367">
        <f t="shared" si="2"/>
        <v>0</v>
      </c>
      <c r="BC44" s="87"/>
      <c r="BD44" s="55"/>
      <c r="BE44" s="55"/>
      <c r="BF44" s="55"/>
      <c r="BG44" s="55"/>
      <c r="BH44" s="55"/>
      <c r="BI44" s="55"/>
      <c r="BJ44" s="55"/>
      <c r="BK44" s="55"/>
      <c r="BL44" s="55"/>
      <c r="BM44" s="55"/>
      <c r="BN44" s="55"/>
      <c r="BO44" s="55"/>
      <c r="BP44" s="55"/>
      <c r="BQ44" s="55"/>
      <c r="BR44" s="55"/>
      <c r="BS44" s="55"/>
      <c r="BT44" s="55"/>
      <c r="BU44" s="55"/>
      <c r="BV44" s="55"/>
      <c r="BW44" s="55"/>
      <c r="BX44" s="55"/>
      <c r="BY44" s="55"/>
    </row>
    <row r="45" spans="1:77" ht="56.25">
      <c r="A45" s="661" t="s">
        <v>3027</v>
      </c>
      <c r="B45" s="368" t="s">
        <v>703</v>
      </c>
      <c r="C45" s="215" t="s">
        <v>704</v>
      </c>
      <c r="D45" s="350" t="s">
        <v>788</v>
      </c>
      <c r="E45" s="354" t="s">
        <v>705</v>
      </c>
      <c r="F45" s="353" t="s">
        <v>706</v>
      </c>
      <c r="G45" s="354" t="s">
        <v>883</v>
      </c>
      <c r="H45" s="353" t="s">
        <v>882</v>
      </c>
      <c r="I45" s="354" t="s">
        <v>361</v>
      </c>
      <c r="J45" s="355" t="s">
        <v>388</v>
      </c>
      <c r="K45" s="370">
        <v>747</v>
      </c>
      <c r="L45" s="357">
        <v>40422</v>
      </c>
      <c r="M45" s="371">
        <v>1158</v>
      </c>
      <c r="N45" s="372">
        <v>40422</v>
      </c>
      <c r="O45" s="370"/>
      <c r="P45" s="373"/>
      <c r="Q45" s="370">
        <v>3325</v>
      </c>
      <c r="R45" s="357">
        <v>40422</v>
      </c>
      <c r="S45" s="948">
        <v>5209</v>
      </c>
      <c r="T45" s="949">
        <v>40422</v>
      </c>
      <c r="U45" s="948">
        <v>3834</v>
      </c>
      <c r="V45" s="950">
        <v>40422</v>
      </c>
      <c r="W45" s="370"/>
      <c r="X45" s="353"/>
      <c r="Y45" s="370"/>
      <c r="Z45" s="353"/>
      <c r="AA45" s="370"/>
      <c r="AB45" s="355"/>
      <c r="AC45" s="358">
        <f t="shared" si="3"/>
        <v>14273</v>
      </c>
      <c r="AD45" s="385" t="s">
        <v>478</v>
      </c>
      <c r="AE45" s="213">
        <v>40518</v>
      </c>
      <c r="AF45" s="214">
        <v>41979</v>
      </c>
      <c r="AG45" s="377"/>
      <c r="AH45" s="378"/>
      <c r="AI45" s="379"/>
      <c r="AJ45" s="380"/>
      <c r="AK45" s="381"/>
      <c r="AL45" s="382"/>
      <c r="AM45" s="381"/>
      <c r="AN45" s="383"/>
      <c r="AO45" s="381"/>
      <c r="AP45" s="383"/>
      <c r="AQ45" s="381"/>
      <c r="AR45" s="982"/>
      <c r="AS45" s="984"/>
      <c r="AT45" s="982"/>
      <c r="AU45" s="984"/>
      <c r="AV45" s="383"/>
      <c r="AW45" s="381"/>
      <c r="AX45" s="383"/>
      <c r="AY45" s="381"/>
      <c r="AZ45" s="383"/>
      <c r="BA45" s="384"/>
      <c r="BB45" s="367">
        <f t="shared" si="2"/>
        <v>0</v>
      </c>
    </row>
    <row r="46" spans="1:77" ht="112.5">
      <c r="A46" s="350" t="s">
        <v>7458</v>
      </c>
      <c r="B46" s="368" t="s">
        <v>968</v>
      </c>
      <c r="C46" s="450" t="s">
        <v>744</v>
      </c>
      <c r="D46" s="451" t="s">
        <v>788</v>
      </c>
      <c r="E46" s="452" t="s">
        <v>39</v>
      </c>
      <c r="F46" s="453" t="s">
        <v>40</v>
      </c>
      <c r="G46" s="354" t="s">
        <v>637</v>
      </c>
      <c r="H46" s="453" t="s">
        <v>2408</v>
      </c>
      <c r="I46" s="452" t="s">
        <v>627</v>
      </c>
      <c r="J46" s="353" t="s">
        <v>672</v>
      </c>
      <c r="K46" s="370">
        <v>2357</v>
      </c>
      <c r="L46" s="357">
        <v>40422</v>
      </c>
      <c r="M46" s="371">
        <v>39426</v>
      </c>
      <c r="N46" s="372">
        <v>40422</v>
      </c>
      <c r="O46" s="370"/>
      <c r="P46" s="373"/>
      <c r="Q46" s="370"/>
      <c r="R46" s="353" t="s">
        <v>1337</v>
      </c>
      <c r="S46" s="948"/>
      <c r="T46" s="951" t="s">
        <v>1338</v>
      </c>
      <c r="U46" s="948">
        <v>2668</v>
      </c>
      <c r="V46" s="950">
        <v>40422</v>
      </c>
      <c r="W46" s="370"/>
      <c r="X46" s="353"/>
      <c r="Y46" s="370"/>
      <c r="Z46" s="353"/>
      <c r="AA46" s="370"/>
      <c r="AB46" s="355"/>
      <c r="AC46" s="358">
        <f t="shared" si="3"/>
        <v>44451</v>
      </c>
      <c r="AD46" s="454" t="s">
        <v>526</v>
      </c>
      <c r="AE46" s="455">
        <v>40578</v>
      </c>
      <c r="AF46" s="456">
        <v>42620</v>
      </c>
      <c r="AG46" s="377"/>
      <c r="AH46" s="378"/>
      <c r="AI46" s="379"/>
      <c r="AJ46" s="380"/>
      <c r="AK46" s="381"/>
      <c r="AL46" s="382"/>
      <c r="AM46" s="381"/>
      <c r="AN46" s="383"/>
      <c r="AO46" s="381"/>
      <c r="AP46" s="383"/>
      <c r="AQ46" s="381"/>
      <c r="AR46" s="982"/>
      <c r="AS46" s="984"/>
      <c r="AT46" s="982"/>
      <c r="AU46" s="984"/>
      <c r="AV46" s="383"/>
      <c r="AW46" s="381"/>
      <c r="AX46" s="383"/>
      <c r="AY46" s="381"/>
      <c r="AZ46" s="383"/>
      <c r="BA46" s="384"/>
      <c r="BB46" s="367">
        <f t="shared" si="2"/>
        <v>0</v>
      </c>
    </row>
    <row r="47" spans="1:77" ht="90">
      <c r="A47" s="661" t="s">
        <v>7459</v>
      </c>
      <c r="B47" s="368" t="s">
        <v>2303</v>
      </c>
      <c r="C47" s="215" t="s">
        <v>2633</v>
      </c>
      <c r="D47" s="350" t="s">
        <v>788</v>
      </c>
      <c r="E47" s="354" t="s">
        <v>824</v>
      </c>
      <c r="F47" s="353" t="s">
        <v>433</v>
      </c>
      <c r="G47" s="354" t="s">
        <v>1251</v>
      </c>
      <c r="H47" s="353" t="s">
        <v>71</v>
      </c>
      <c r="I47" s="354" t="s">
        <v>471</v>
      </c>
      <c r="J47" s="355" t="s">
        <v>472</v>
      </c>
      <c r="K47" s="370"/>
      <c r="L47" s="357"/>
      <c r="M47" s="371"/>
      <c r="N47" s="372"/>
      <c r="O47" s="419">
        <f>75230+5850</f>
        <v>81080</v>
      </c>
      <c r="P47" s="444" t="s">
        <v>2128</v>
      </c>
      <c r="Q47" s="370">
        <v>5857</v>
      </c>
      <c r="R47" s="357">
        <v>39600</v>
      </c>
      <c r="S47" s="948"/>
      <c r="T47" s="951"/>
      <c r="U47" s="948"/>
      <c r="V47" s="952"/>
      <c r="W47" s="370"/>
      <c r="X47" s="353"/>
      <c r="Y47" s="370">
        <v>8856</v>
      </c>
      <c r="Z47" s="357">
        <v>39600</v>
      </c>
      <c r="AA47" s="419"/>
      <c r="AB47" s="444"/>
      <c r="AC47" s="358">
        <f t="shared" si="3"/>
        <v>95793</v>
      </c>
      <c r="AD47" s="374" t="s">
        <v>464</v>
      </c>
      <c r="AE47" s="375" t="s">
        <v>1411</v>
      </c>
      <c r="AF47" s="376" t="s">
        <v>1412</v>
      </c>
      <c r="AG47" s="377"/>
      <c r="AH47" s="378"/>
      <c r="AI47" s="379"/>
      <c r="AJ47" s="380"/>
      <c r="AK47" s="381"/>
      <c r="AL47" s="382"/>
      <c r="AM47" s="381"/>
      <c r="AN47" s="383"/>
      <c r="AO47" s="381"/>
      <c r="AP47" s="383"/>
      <c r="AQ47" s="381"/>
      <c r="AR47" s="982"/>
      <c r="AS47" s="984"/>
      <c r="AT47" s="982"/>
      <c r="AU47" s="984"/>
      <c r="AV47" s="383"/>
      <c r="AW47" s="381"/>
      <c r="AX47" s="383"/>
      <c r="AY47" s="381"/>
      <c r="AZ47" s="383"/>
      <c r="BA47" s="384"/>
      <c r="BB47" s="367">
        <f t="shared" si="2"/>
        <v>0</v>
      </c>
    </row>
    <row r="48" spans="1:77" ht="168.75">
      <c r="A48" s="661" t="s">
        <v>7460</v>
      </c>
      <c r="B48" s="368" t="s">
        <v>2049</v>
      </c>
      <c r="C48" s="215" t="s">
        <v>975</v>
      </c>
      <c r="D48" s="350" t="s">
        <v>788</v>
      </c>
      <c r="E48" s="354" t="s">
        <v>170</v>
      </c>
      <c r="F48" s="353"/>
      <c r="G48" s="354" t="s">
        <v>976</v>
      </c>
      <c r="H48" s="1212" t="s">
        <v>956</v>
      </c>
      <c r="I48" s="354" t="s">
        <v>335</v>
      </c>
      <c r="J48" s="355" t="s">
        <v>226</v>
      </c>
      <c r="K48" s="370">
        <v>1150</v>
      </c>
      <c r="L48" s="357">
        <v>40422</v>
      </c>
      <c r="M48" s="371"/>
      <c r="N48" s="372"/>
      <c r="O48" s="370"/>
      <c r="P48" s="373"/>
      <c r="Q48" s="370">
        <v>6291</v>
      </c>
      <c r="R48" s="357">
        <v>40422</v>
      </c>
      <c r="S48" s="948">
        <v>8686</v>
      </c>
      <c r="T48" s="949">
        <v>40422</v>
      </c>
      <c r="U48" s="948">
        <v>9828</v>
      </c>
      <c r="V48" s="950">
        <v>40422</v>
      </c>
      <c r="W48" s="370"/>
      <c r="X48" s="353"/>
      <c r="Y48" s="370">
        <v>11238</v>
      </c>
      <c r="Z48" s="357">
        <v>40422</v>
      </c>
      <c r="AA48" s="370"/>
      <c r="AB48" s="355"/>
      <c r="AC48" s="358">
        <f t="shared" si="3"/>
        <v>37193</v>
      </c>
      <c r="AD48" s="385" t="s">
        <v>465</v>
      </c>
      <c r="AE48" s="213">
        <v>40585</v>
      </c>
      <c r="AF48" s="214">
        <v>42046</v>
      </c>
      <c r="AG48" s="377"/>
      <c r="AH48" s="378"/>
      <c r="AI48" s="379"/>
      <c r="AJ48" s="380"/>
      <c r="AK48" s="381"/>
      <c r="AL48" s="382"/>
      <c r="AM48" s="381"/>
      <c r="AN48" s="383"/>
      <c r="AO48" s="381"/>
      <c r="AP48" s="383"/>
      <c r="AQ48" s="381"/>
      <c r="AR48" s="982"/>
      <c r="AS48" s="984"/>
      <c r="AT48" s="982"/>
      <c r="AU48" s="984"/>
      <c r="AV48" s="383"/>
      <c r="AW48" s="381"/>
      <c r="AX48" s="383"/>
      <c r="AY48" s="381"/>
      <c r="AZ48" s="383"/>
      <c r="BA48" s="384"/>
      <c r="BB48" s="367">
        <f t="shared" si="2"/>
        <v>0</v>
      </c>
    </row>
    <row r="49" spans="1:77" s="146" customFormat="1" ht="67.5">
      <c r="A49" s="4218" t="s">
        <v>7448</v>
      </c>
      <c r="B49" s="699" t="s">
        <v>175</v>
      </c>
      <c r="C49" s="1305" t="s">
        <v>3254</v>
      </c>
      <c r="D49" s="1306" t="s">
        <v>788</v>
      </c>
      <c r="E49" s="701" t="s">
        <v>3255</v>
      </c>
      <c r="F49" s="702" t="s">
        <v>3256</v>
      </c>
      <c r="G49" s="701" t="s">
        <v>3258</v>
      </c>
      <c r="H49" s="702" t="s">
        <v>3257</v>
      </c>
      <c r="I49" s="701" t="s">
        <v>939</v>
      </c>
      <c r="J49" s="703" t="s">
        <v>3259</v>
      </c>
      <c r="K49" s="1307">
        <v>640</v>
      </c>
      <c r="L49" s="1308">
        <v>40422</v>
      </c>
      <c r="M49" s="1309"/>
      <c r="N49" s="1310"/>
      <c r="O49" s="1307"/>
      <c r="P49" s="1311"/>
      <c r="Q49" s="1307"/>
      <c r="R49" s="1312"/>
      <c r="S49" s="974">
        <v>0</v>
      </c>
      <c r="T49" s="1313">
        <v>40422</v>
      </c>
      <c r="U49" s="974">
        <v>0</v>
      </c>
      <c r="V49" s="1231">
        <v>40422</v>
      </c>
      <c r="W49" s="1307"/>
      <c r="X49" s="1312"/>
      <c r="Y49" s="1307">
        <v>1320</v>
      </c>
      <c r="Z49" s="1308">
        <v>40422</v>
      </c>
      <c r="AA49" s="1307"/>
      <c r="AB49" s="1314"/>
      <c r="AC49" s="358">
        <f t="shared" si="3"/>
        <v>1960</v>
      </c>
      <c r="AD49" s="1232" t="s">
        <v>465</v>
      </c>
      <c r="AE49" s="1315">
        <v>40522</v>
      </c>
      <c r="AF49" s="1316">
        <v>41983</v>
      </c>
      <c r="AG49" s="1317"/>
      <c r="AH49" s="1318"/>
      <c r="AI49" s="1319"/>
      <c r="AJ49" s="1320"/>
      <c r="AK49" s="1321"/>
      <c r="AL49" s="1322"/>
      <c r="AM49" s="1321"/>
      <c r="AN49" s="1323"/>
      <c r="AO49" s="1321"/>
      <c r="AP49" s="1323"/>
      <c r="AQ49" s="1321"/>
      <c r="AR49" s="982"/>
      <c r="AS49" s="984"/>
      <c r="AT49" s="982"/>
      <c r="AU49" s="984"/>
      <c r="AV49" s="1323"/>
      <c r="AW49" s="1321"/>
      <c r="AX49" s="1323"/>
      <c r="AY49" s="1321"/>
      <c r="AZ49" s="1323"/>
      <c r="BA49" s="1324"/>
      <c r="BB49" s="1325"/>
      <c r="BC49" s="87"/>
      <c r="BD49" s="55"/>
      <c r="BE49" s="55"/>
      <c r="BF49" s="55"/>
      <c r="BG49" s="55"/>
      <c r="BH49" s="55"/>
      <c r="BI49" s="55"/>
      <c r="BJ49" s="55"/>
      <c r="BK49" s="55"/>
      <c r="BL49" s="55"/>
      <c r="BM49" s="55"/>
      <c r="BN49" s="55"/>
      <c r="BO49" s="55"/>
      <c r="BP49" s="55"/>
      <c r="BQ49" s="55"/>
      <c r="BR49" s="55"/>
      <c r="BS49" s="55"/>
      <c r="BT49" s="55"/>
      <c r="BU49" s="55"/>
      <c r="BV49" s="55"/>
      <c r="BW49" s="55"/>
      <c r="BX49" s="55"/>
      <c r="BY49" s="55"/>
    </row>
    <row r="50" spans="1:77" s="47" customFormat="1" ht="123.75">
      <c r="A50" s="395" t="s">
        <v>7449</v>
      </c>
      <c r="B50" s="368" t="s">
        <v>175</v>
      </c>
      <c r="C50" s="215" t="s">
        <v>3408</v>
      </c>
      <c r="D50" s="350" t="s">
        <v>788</v>
      </c>
      <c r="E50" s="354" t="s">
        <v>561</v>
      </c>
      <c r="F50" s="353" t="s">
        <v>1241</v>
      </c>
      <c r="G50" s="354" t="s">
        <v>1148</v>
      </c>
      <c r="H50" s="353" t="s">
        <v>370</v>
      </c>
      <c r="I50" s="354" t="s">
        <v>866</v>
      </c>
      <c r="J50" s="355" t="s">
        <v>1060</v>
      </c>
      <c r="K50" s="370"/>
      <c r="L50" s="357"/>
      <c r="M50" s="371"/>
      <c r="N50" s="372"/>
      <c r="O50" s="370"/>
      <c r="P50" s="373"/>
      <c r="Q50" s="370"/>
      <c r="R50" s="353"/>
      <c r="S50" s="948"/>
      <c r="T50" s="951"/>
      <c r="U50" s="948"/>
      <c r="V50" s="952"/>
      <c r="W50" s="370"/>
      <c r="X50" s="353"/>
      <c r="Y50" s="370"/>
      <c r="Z50" s="353"/>
      <c r="AA50" s="417">
        <v>2740</v>
      </c>
      <c r="AB50" s="353" t="s">
        <v>768</v>
      </c>
      <c r="AC50" s="358">
        <f t="shared" si="3"/>
        <v>2740</v>
      </c>
      <c r="AD50" s="385" t="s">
        <v>3409</v>
      </c>
      <c r="AE50" s="213" t="s">
        <v>2189</v>
      </c>
      <c r="AF50" s="214" t="s">
        <v>2188</v>
      </c>
      <c r="AG50" s="359"/>
      <c r="AH50" s="360"/>
      <c r="AI50" s="361"/>
      <c r="AJ50" s="362"/>
      <c r="AK50" s="363"/>
      <c r="AL50" s="364"/>
      <c r="AM50" s="363"/>
      <c r="AN50" s="365"/>
      <c r="AO50" s="363"/>
      <c r="AP50" s="365"/>
      <c r="AQ50" s="363"/>
      <c r="AR50" s="935"/>
      <c r="AS50" s="936"/>
      <c r="AT50" s="935"/>
      <c r="AU50" s="936"/>
      <c r="AV50" s="365"/>
      <c r="AW50" s="363"/>
      <c r="AX50" s="365"/>
      <c r="AY50" s="363"/>
      <c r="AZ50" s="365"/>
      <c r="BA50" s="366"/>
      <c r="BB50" s="367">
        <f t="shared" ref="BB50:BB74" si="4">AJ50+AL50+AN50+AP50+AR50+AT50+AV50+AX50+AZ50</f>
        <v>0</v>
      </c>
      <c r="BC50" s="87"/>
      <c r="BD50" s="55"/>
      <c r="BE50" s="55"/>
      <c r="BF50" s="55"/>
      <c r="BG50" s="55"/>
      <c r="BH50" s="55"/>
      <c r="BI50" s="55"/>
      <c r="BJ50" s="55"/>
      <c r="BK50" s="55"/>
      <c r="BL50" s="55"/>
      <c r="BM50" s="55"/>
      <c r="BN50" s="55"/>
      <c r="BO50" s="55"/>
      <c r="BP50" s="55"/>
      <c r="BQ50" s="55"/>
      <c r="BR50" s="55"/>
      <c r="BS50" s="55"/>
      <c r="BT50" s="55"/>
      <c r="BU50" s="55"/>
      <c r="BV50" s="55"/>
      <c r="BW50" s="55"/>
      <c r="BX50" s="55"/>
      <c r="BY50" s="55"/>
    </row>
    <row r="51" spans="1:77" s="47" customFormat="1" ht="101.25">
      <c r="A51" s="661" t="s">
        <v>7461</v>
      </c>
      <c r="B51" s="510" t="s">
        <v>1055</v>
      </c>
      <c r="C51" s="215" t="s">
        <v>2126</v>
      </c>
      <c r="D51" s="350" t="s">
        <v>788</v>
      </c>
      <c r="E51" s="354" t="s">
        <v>815</v>
      </c>
      <c r="F51" s="353" t="s">
        <v>1003</v>
      </c>
      <c r="G51" s="354" t="s">
        <v>934</v>
      </c>
      <c r="H51" s="353" t="s">
        <v>491</v>
      </c>
      <c r="I51" s="354" t="s">
        <v>581</v>
      </c>
      <c r="J51" s="355" t="s">
        <v>888</v>
      </c>
      <c r="K51" s="370">
        <v>669</v>
      </c>
      <c r="L51" s="357">
        <v>39234</v>
      </c>
      <c r="M51" s="392"/>
      <c r="N51" s="393" t="s">
        <v>2234</v>
      </c>
      <c r="O51" s="370"/>
      <c r="P51" s="373"/>
      <c r="Q51" s="370">
        <v>2974</v>
      </c>
      <c r="R51" s="357">
        <v>39234</v>
      </c>
      <c r="S51" s="948">
        <v>4633</v>
      </c>
      <c r="T51" s="949">
        <v>39234</v>
      </c>
      <c r="U51" s="948">
        <v>7314</v>
      </c>
      <c r="V51" s="950">
        <v>39234</v>
      </c>
      <c r="W51" s="370"/>
      <c r="X51" s="353"/>
      <c r="Y51" s="370"/>
      <c r="Z51" s="353"/>
      <c r="AA51" s="370"/>
      <c r="AB51" s="355"/>
      <c r="AC51" s="358">
        <f t="shared" si="3"/>
        <v>15590</v>
      </c>
      <c r="AD51" s="423" t="s">
        <v>937</v>
      </c>
      <c r="AE51" s="424" t="s">
        <v>2829</v>
      </c>
      <c r="AF51" s="425" t="s">
        <v>2828</v>
      </c>
      <c r="AG51" s="359" t="s">
        <v>2236</v>
      </c>
      <c r="AH51" s="360" t="s">
        <v>699</v>
      </c>
      <c r="AI51" s="361" t="s">
        <v>700</v>
      </c>
      <c r="AJ51" s="362"/>
      <c r="AK51" s="363"/>
      <c r="AL51" s="416"/>
      <c r="AM51" s="404" t="s">
        <v>2235</v>
      </c>
      <c r="AN51" s="365"/>
      <c r="AO51" s="363"/>
      <c r="AP51" s="365"/>
      <c r="AQ51" s="363"/>
      <c r="AR51" s="935"/>
      <c r="AS51" s="936"/>
      <c r="AT51" s="935"/>
      <c r="AU51" s="936"/>
      <c r="AV51" s="365"/>
      <c r="AW51" s="363"/>
      <c r="AX51" s="365"/>
      <c r="AY51" s="363"/>
      <c r="AZ51" s="365"/>
      <c r="BA51" s="366"/>
      <c r="BB51" s="367">
        <f t="shared" si="4"/>
        <v>0</v>
      </c>
      <c r="BC51" s="87"/>
      <c r="BD51" s="55"/>
      <c r="BE51" s="55"/>
      <c r="BF51" s="55"/>
      <c r="BG51" s="55"/>
      <c r="BH51" s="55"/>
      <c r="BI51" s="55"/>
      <c r="BJ51" s="55"/>
      <c r="BK51" s="55"/>
      <c r="BL51" s="55"/>
      <c r="BM51" s="55"/>
      <c r="BN51" s="55"/>
      <c r="BO51" s="55"/>
      <c r="BP51" s="55"/>
      <c r="BQ51" s="55"/>
      <c r="BR51" s="55"/>
      <c r="BS51" s="55"/>
      <c r="BT51" s="55"/>
      <c r="BU51" s="55"/>
      <c r="BV51" s="55"/>
      <c r="BW51" s="55"/>
      <c r="BX51" s="55"/>
      <c r="BY51" s="55"/>
    </row>
    <row r="52" spans="1:77" ht="180">
      <c r="A52" s="661" t="s">
        <v>7462</v>
      </c>
      <c r="B52" s="368" t="s">
        <v>175</v>
      </c>
      <c r="C52" s="215" t="s">
        <v>875</v>
      </c>
      <c r="D52" s="350" t="s">
        <v>788</v>
      </c>
      <c r="E52" s="354" t="s">
        <v>876</v>
      </c>
      <c r="F52" s="353" t="s">
        <v>877</v>
      </c>
      <c r="G52" s="354" t="s">
        <v>879</v>
      </c>
      <c r="H52" s="353" t="s">
        <v>878</v>
      </c>
      <c r="I52" s="354" t="s">
        <v>891</v>
      </c>
      <c r="J52" s="355" t="s">
        <v>805</v>
      </c>
      <c r="K52" s="370">
        <v>2215</v>
      </c>
      <c r="L52" s="357">
        <v>40238</v>
      </c>
      <c r="M52" s="371"/>
      <c r="N52" s="372"/>
      <c r="O52" s="370"/>
      <c r="P52" s="373"/>
      <c r="Q52" s="370">
        <v>2421</v>
      </c>
      <c r="R52" s="357">
        <v>40238</v>
      </c>
      <c r="S52" s="948">
        <v>3323</v>
      </c>
      <c r="T52" s="949">
        <v>40238</v>
      </c>
      <c r="U52" s="948">
        <v>3636</v>
      </c>
      <c r="V52" s="963">
        <v>40238</v>
      </c>
      <c r="W52" s="370"/>
      <c r="X52" s="353"/>
      <c r="Y52" s="370">
        <v>2294</v>
      </c>
      <c r="Z52" s="357">
        <v>40238</v>
      </c>
      <c r="AA52" s="370"/>
      <c r="AB52" s="355"/>
      <c r="AC52" s="358">
        <f t="shared" si="3"/>
        <v>13889</v>
      </c>
      <c r="AD52" s="385" t="s">
        <v>465</v>
      </c>
      <c r="AE52" s="213">
        <v>40380</v>
      </c>
      <c r="AF52" s="214" t="s">
        <v>2397</v>
      </c>
      <c r="AG52" s="377"/>
      <c r="AH52" s="378"/>
      <c r="AI52" s="379"/>
      <c r="AJ52" s="380"/>
      <c r="AK52" s="381"/>
      <c r="AL52" s="382"/>
      <c r="AM52" s="381"/>
      <c r="AN52" s="383"/>
      <c r="AO52" s="381"/>
      <c r="AP52" s="383"/>
      <c r="AQ52" s="381"/>
      <c r="AR52" s="982"/>
      <c r="AS52" s="984"/>
      <c r="AT52" s="982"/>
      <c r="AU52" s="984"/>
      <c r="AV52" s="383"/>
      <c r="AW52" s="381"/>
      <c r="AX52" s="383"/>
      <c r="AY52" s="381"/>
      <c r="AZ52" s="383"/>
      <c r="BA52" s="384"/>
      <c r="BB52" s="367">
        <f t="shared" si="4"/>
        <v>0</v>
      </c>
    </row>
    <row r="53" spans="1:77" ht="182.25" customHeight="1">
      <c r="A53" s="459" t="s">
        <v>7463</v>
      </c>
      <c r="B53" s="368" t="s">
        <v>3645</v>
      </c>
      <c r="C53" s="215" t="s">
        <v>3646</v>
      </c>
      <c r="D53" s="350" t="s">
        <v>788</v>
      </c>
      <c r="E53" s="354" t="s">
        <v>171</v>
      </c>
      <c r="F53" s="352" t="s">
        <v>1211</v>
      </c>
      <c r="G53" s="351" t="s">
        <v>1043</v>
      </c>
      <c r="H53" s="353" t="s">
        <v>38</v>
      </c>
      <c r="I53" s="354" t="s">
        <v>1301</v>
      </c>
      <c r="J53" s="355" t="s">
        <v>1138</v>
      </c>
      <c r="K53" s="370">
        <v>0</v>
      </c>
      <c r="L53" s="357">
        <v>40057</v>
      </c>
      <c r="M53" s="371">
        <v>217808</v>
      </c>
      <c r="N53" s="372">
        <v>40603</v>
      </c>
      <c r="O53" s="370"/>
      <c r="P53" s="373"/>
      <c r="Q53" s="370">
        <v>0</v>
      </c>
      <c r="R53" s="357">
        <v>40057</v>
      </c>
      <c r="S53" s="948">
        <v>0</v>
      </c>
      <c r="T53" s="949">
        <v>40057</v>
      </c>
      <c r="U53" s="948">
        <v>0</v>
      </c>
      <c r="V53" s="950">
        <v>40057</v>
      </c>
      <c r="W53" s="370"/>
      <c r="X53" s="353"/>
      <c r="Y53" s="370"/>
      <c r="Z53" s="353"/>
      <c r="AA53" s="370"/>
      <c r="AB53" s="355"/>
      <c r="AC53" s="358">
        <f t="shared" si="3"/>
        <v>217808</v>
      </c>
      <c r="AD53" s="385" t="s">
        <v>1135</v>
      </c>
      <c r="AE53" s="213" t="s">
        <v>1418</v>
      </c>
      <c r="AF53" s="214" t="s">
        <v>1417</v>
      </c>
      <c r="AG53" s="377"/>
      <c r="AH53" s="378"/>
      <c r="AI53" s="379"/>
      <c r="AJ53" s="380"/>
      <c r="AK53" s="381"/>
      <c r="AL53" s="382"/>
      <c r="AM53" s="381"/>
      <c r="AN53" s="383"/>
      <c r="AO53" s="381"/>
      <c r="AP53" s="383"/>
      <c r="AQ53" s="381"/>
      <c r="AR53" s="982"/>
      <c r="AS53" s="984"/>
      <c r="AT53" s="982"/>
      <c r="AU53" s="984"/>
      <c r="AV53" s="383"/>
      <c r="AW53" s="381"/>
      <c r="AX53" s="383"/>
      <c r="AY53" s="381"/>
      <c r="AZ53" s="383"/>
      <c r="BA53" s="384"/>
      <c r="BB53" s="367">
        <f t="shared" si="4"/>
        <v>0</v>
      </c>
    </row>
    <row r="54" spans="1:77" ht="67.5">
      <c r="A54" s="395" t="s">
        <v>7464</v>
      </c>
      <c r="B54" s="368" t="s">
        <v>188</v>
      </c>
      <c r="C54" s="215" t="s">
        <v>1000</v>
      </c>
      <c r="D54" s="350" t="s">
        <v>788</v>
      </c>
      <c r="E54" s="354" t="s">
        <v>189</v>
      </c>
      <c r="F54" s="353" t="s">
        <v>255</v>
      </c>
      <c r="G54" s="354" t="s">
        <v>793</v>
      </c>
      <c r="H54" s="353" t="s">
        <v>954</v>
      </c>
      <c r="I54" s="354" t="s">
        <v>862</v>
      </c>
      <c r="J54" s="355" t="s">
        <v>1204</v>
      </c>
      <c r="K54" s="370">
        <v>47131</v>
      </c>
      <c r="L54" s="357" t="s">
        <v>98</v>
      </c>
      <c r="M54" s="371">
        <v>2271071</v>
      </c>
      <c r="N54" s="372">
        <v>39417</v>
      </c>
      <c r="O54" s="370"/>
      <c r="P54" s="373"/>
      <c r="Q54" s="370">
        <v>43620</v>
      </c>
      <c r="R54" s="357">
        <v>39417</v>
      </c>
      <c r="S54" s="948">
        <v>18832</v>
      </c>
      <c r="T54" s="949">
        <v>39417</v>
      </c>
      <c r="U54" s="948">
        <v>143661</v>
      </c>
      <c r="V54" s="950">
        <v>39417</v>
      </c>
      <c r="W54" s="370"/>
      <c r="X54" s="353"/>
      <c r="Y54" s="370"/>
      <c r="Z54" s="353"/>
      <c r="AA54" s="370"/>
      <c r="AB54" s="355"/>
      <c r="AC54" s="358">
        <f t="shared" si="3"/>
        <v>2524315</v>
      </c>
      <c r="AD54" s="385" t="s">
        <v>1170</v>
      </c>
      <c r="AE54" s="375" t="s">
        <v>43</v>
      </c>
      <c r="AF54" s="376" t="s">
        <v>42</v>
      </c>
      <c r="AG54" s="377"/>
      <c r="AH54" s="378"/>
      <c r="AI54" s="379"/>
      <c r="AJ54" s="380"/>
      <c r="AK54" s="381"/>
      <c r="AL54" s="382"/>
      <c r="AM54" s="381"/>
      <c r="AN54" s="383"/>
      <c r="AO54" s="381"/>
      <c r="AP54" s="383"/>
      <c r="AQ54" s="381"/>
      <c r="AR54" s="982"/>
      <c r="AS54" s="984"/>
      <c r="AT54" s="982"/>
      <c r="AU54" s="984"/>
      <c r="AV54" s="383"/>
      <c r="AW54" s="381"/>
      <c r="AX54" s="383"/>
      <c r="AY54" s="381"/>
      <c r="AZ54" s="383"/>
      <c r="BA54" s="384"/>
      <c r="BB54" s="367">
        <f t="shared" si="4"/>
        <v>0</v>
      </c>
    </row>
    <row r="55" spans="1:77" ht="90">
      <c r="A55" s="907" t="s">
        <v>7465</v>
      </c>
      <c r="B55" s="368" t="s">
        <v>1187</v>
      </c>
      <c r="C55" s="215" t="s">
        <v>3722</v>
      </c>
      <c r="D55" s="350" t="s">
        <v>788</v>
      </c>
      <c r="E55" s="354" t="s">
        <v>1188</v>
      </c>
      <c r="F55" s="353" t="s">
        <v>1193</v>
      </c>
      <c r="G55" s="354" t="s">
        <v>1194</v>
      </c>
      <c r="H55" s="353" t="s">
        <v>915</v>
      </c>
      <c r="I55" s="354" t="s">
        <v>2066</v>
      </c>
      <c r="J55" s="355" t="s">
        <v>742</v>
      </c>
      <c r="K55" s="370">
        <v>212</v>
      </c>
      <c r="L55" s="357">
        <v>40330</v>
      </c>
      <c r="M55" s="371">
        <v>20197</v>
      </c>
      <c r="N55" s="372" t="s">
        <v>743</v>
      </c>
      <c r="O55" s="370"/>
      <c r="P55" s="373"/>
      <c r="Q55" s="370">
        <v>209</v>
      </c>
      <c r="R55" s="357">
        <v>40330</v>
      </c>
      <c r="S55" s="948"/>
      <c r="T55" s="951"/>
      <c r="U55" s="948"/>
      <c r="V55" s="952"/>
      <c r="W55" s="370"/>
      <c r="X55" s="353"/>
      <c r="Y55" s="370"/>
      <c r="Z55" s="353"/>
      <c r="AA55" s="370"/>
      <c r="AB55" s="355"/>
      <c r="AC55" s="358">
        <f t="shared" si="3"/>
        <v>20618</v>
      </c>
      <c r="AD55" s="385" t="s">
        <v>3720</v>
      </c>
      <c r="AE55" s="213" t="s">
        <v>2096</v>
      </c>
      <c r="AF55" s="214">
        <v>42627</v>
      </c>
      <c r="AG55" s="377"/>
      <c r="AH55" s="378"/>
      <c r="AI55" s="379"/>
      <c r="AJ55" s="380"/>
      <c r="AK55" s="381"/>
      <c r="AL55" s="382"/>
      <c r="AM55" s="381"/>
      <c r="AN55" s="383"/>
      <c r="AO55" s="381"/>
      <c r="AP55" s="383"/>
      <c r="AQ55" s="381"/>
      <c r="AR55" s="982"/>
      <c r="AS55" s="984"/>
      <c r="AT55" s="982"/>
      <c r="AU55" s="984"/>
      <c r="AV55" s="383"/>
      <c r="AW55" s="381"/>
      <c r="AX55" s="383"/>
      <c r="AY55" s="381"/>
      <c r="AZ55" s="383"/>
      <c r="BA55" s="384"/>
      <c r="BB55" s="367">
        <f t="shared" si="4"/>
        <v>0</v>
      </c>
    </row>
    <row r="56" spans="1:77" ht="78.75">
      <c r="A56" s="395" t="s">
        <v>7466</v>
      </c>
      <c r="B56" s="368" t="s">
        <v>3354</v>
      </c>
      <c r="C56" s="1889" t="s">
        <v>2632</v>
      </c>
      <c r="D56" s="350" t="s">
        <v>9</v>
      </c>
      <c r="E56" s="1890" t="s">
        <v>714</v>
      </c>
      <c r="F56" s="1720" t="s">
        <v>78</v>
      </c>
      <c r="G56" s="1890" t="s">
        <v>330</v>
      </c>
      <c r="H56" s="1720" t="s">
        <v>489</v>
      </c>
      <c r="I56" s="1890" t="s">
        <v>916</v>
      </c>
      <c r="J56" s="1721" t="s">
        <v>316</v>
      </c>
      <c r="K56" s="1891">
        <v>4012</v>
      </c>
      <c r="L56" s="1892">
        <v>39508</v>
      </c>
      <c r="M56" s="1893"/>
      <c r="N56" s="1894"/>
      <c r="O56" s="1895">
        <v>10770</v>
      </c>
      <c r="P56" s="1896" t="s">
        <v>1764</v>
      </c>
      <c r="Q56" s="1891">
        <v>13666</v>
      </c>
      <c r="R56" s="1892">
        <v>39508</v>
      </c>
      <c r="S56" s="1897">
        <v>29046</v>
      </c>
      <c r="T56" s="1898">
        <v>39508</v>
      </c>
      <c r="U56" s="1897">
        <v>44667</v>
      </c>
      <c r="V56" s="1899">
        <v>39508</v>
      </c>
      <c r="W56" s="1891"/>
      <c r="X56" s="1720"/>
      <c r="Y56" s="1891">
        <v>7896</v>
      </c>
      <c r="Z56" s="1892">
        <v>39508</v>
      </c>
      <c r="AA56" s="1895">
        <v>1891</v>
      </c>
      <c r="AB56" s="1900" t="s">
        <v>2127</v>
      </c>
      <c r="AC56" s="358">
        <f t="shared" si="3"/>
        <v>111948</v>
      </c>
      <c r="AD56" s="1901" t="s">
        <v>707</v>
      </c>
      <c r="AE56" s="1902" t="s">
        <v>2190</v>
      </c>
      <c r="AF56" s="1903" t="s">
        <v>2191</v>
      </c>
      <c r="AG56" s="1904"/>
      <c r="AH56" s="1905"/>
      <c r="AI56" s="1906"/>
      <c r="AJ56" s="1907"/>
      <c r="AK56" s="1908"/>
      <c r="AL56" s="1909"/>
      <c r="AM56" s="1908"/>
      <c r="AN56" s="1910"/>
      <c r="AO56" s="1908"/>
      <c r="AP56" s="1910"/>
      <c r="AQ56" s="1908"/>
      <c r="AR56" s="1911"/>
      <c r="AS56" s="1912"/>
      <c r="AT56" s="1911"/>
      <c r="AU56" s="1912"/>
      <c r="AV56" s="1910"/>
      <c r="AW56" s="1908"/>
      <c r="AX56" s="1910"/>
      <c r="AY56" s="1908"/>
      <c r="AZ56" s="1910"/>
      <c r="BA56" s="1913"/>
      <c r="BB56" s="367">
        <f t="shared" si="4"/>
        <v>0</v>
      </c>
    </row>
    <row r="57" spans="1:77" s="47" customFormat="1" ht="67.5">
      <c r="A57" s="1609" t="s">
        <v>7467</v>
      </c>
      <c r="B57" s="1885">
        <v>102</v>
      </c>
      <c r="C57" s="700" t="s">
        <v>362</v>
      </c>
      <c r="D57" s="698" t="s">
        <v>788</v>
      </c>
      <c r="E57" s="701" t="s">
        <v>1261</v>
      </c>
      <c r="F57" s="702" t="s">
        <v>849</v>
      </c>
      <c r="G57" s="701" t="s">
        <v>863</v>
      </c>
      <c r="H57" s="702" t="s">
        <v>3514</v>
      </c>
      <c r="I57" s="701" t="s">
        <v>536</v>
      </c>
      <c r="J57" s="703" t="s">
        <v>846</v>
      </c>
      <c r="K57" s="704">
        <v>238</v>
      </c>
      <c r="L57" s="705">
        <v>37956</v>
      </c>
      <c r="M57" s="706">
        <v>1024</v>
      </c>
      <c r="N57" s="707">
        <v>37956</v>
      </c>
      <c r="O57" s="704"/>
      <c r="P57" s="708"/>
      <c r="Q57" s="704"/>
      <c r="R57" s="702"/>
      <c r="S57" s="960">
        <v>2355</v>
      </c>
      <c r="T57" s="961">
        <v>37956</v>
      </c>
      <c r="U57" s="960">
        <v>3250</v>
      </c>
      <c r="V57" s="962">
        <v>37956</v>
      </c>
      <c r="W57" s="704"/>
      <c r="X57" s="702"/>
      <c r="Y57" s="704"/>
      <c r="Z57" s="702"/>
      <c r="AA57" s="704"/>
      <c r="AB57" s="703"/>
      <c r="AC57" s="536">
        <f t="shared" si="3"/>
        <v>6867</v>
      </c>
      <c r="AD57" s="1886" t="s">
        <v>1165</v>
      </c>
      <c r="AE57" s="1887" t="s">
        <v>2254</v>
      </c>
      <c r="AF57" s="1888" t="s">
        <v>84</v>
      </c>
      <c r="AG57" s="712"/>
      <c r="AH57" s="713"/>
      <c r="AI57" s="714"/>
      <c r="AJ57" s="715"/>
      <c r="AK57" s="716"/>
      <c r="AL57" s="717"/>
      <c r="AM57" s="716"/>
      <c r="AN57" s="719"/>
      <c r="AO57" s="716"/>
      <c r="AP57" s="719"/>
      <c r="AQ57" s="716"/>
      <c r="AR57" s="990"/>
      <c r="AS57" s="991"/>
      <c r="AT57" s="990"/>
      <c r="AU57" s="991"/>
      <c r="AV57" s="719"/>
      <c r="AW57" s="716"/>
      <c r="AX57" s="719"/>
      <c r="AY57" s="716"/>
      <c r="AZ57" s="719"/>
      <c r="BA57" s="720"/>
      <c r="BB57" s="721">
        <f t="shared" si="4"/>
        <v>0</v>
      </c>
      <c r="BC57" s="87"/>
      <c r="BD57" s="55"/>
      <c r="BE57" s="55"/>
      <c r="BF57" s="55"/>
      <c r="BG57" s="55"/>
      <c r="BH57" s="55"/>
      <c r="BI57" s="55"/>
      <c r="BJ57" s="55"/>
      <c r="BK57" s="55"/>
      <c r="BL57" s="55"/>
      <c r="BM57" s="55"/>
      <c r="BN57" s="55"/>
      <c r="BO57" s="55"/>
      <c r="BP57" s="55"/>
      <c r="BQ57" s="55"/>
      <c r="BR57" s="55"/>
      <c r="BS57" s="55"/>
    </row>
    <row r="58" spans="1:77" s="47" customFormat="1" ht="78.75">
      <c r="A58" s="4217" t="s">
        <v>4044</v>
      </c>
      <c r="B58" s="368" t="s">
        <v>754</v>
      </c>
      <c r="C58" s="215" t="s">
        <v>106</v>
      </c>
      <c r="D58" s="350" t="s">
        <v>788</v>
      </c>
      <c r="E58" s="354" t="s">
        <v>755</v>
      </c>
      <c r="F58" s="353" t="s">
        <v>264</v>
      </c>
      <c r="G58" s="354" t="s">
        <v>881</v>
      </c>
      <c r="H58" s="353" t="s">
        <v>128</v>
      </c>
      <c r="I58" s="354" t="s">
        <v>250</v>
      </c>
      <c r="J58" s="355" t="s">
        <v>190</v>
      </c>
      <c r="K58" s="370">
        <v>641</v>
      </c>
      <c r="L58" s="357">
        <v>38777</v>
      </c>
      <c r="M58" s="371">
        <v>993</v>
      </c>
      <c r="N58" s="372">
        <v>38777</v>
      </c>
      <c r="O58" s="370"/>
      <c r="P58" s="373"/>
      <c r="Q58" s="370">
        <v>2850</v>
      </c>
      <c r="R58" s="357">
        <v>38777</v>
      </c>
      <c r="S58" s="948">
        <v>4439</v>
      </c>
      <c r="T58" s="949">
        <v>38777</v>
      </c>
      <c r="U58" s="948">
        <v>7008</v>
      </c>
      <c r="V58" s="950">
        <v>38777</v>
      </c>
      <c r="W58" s="370"/>
      <c r="X58" s="353"/>
      <c r="Y58" s="370"/>
      <c r="Z58" s="353"/>
      <c r="AA58" s="370"/>
      <c r="AB58" s="355"/>
      <c r="AC58" s="358">
        <f t="shared" si="3"/>
        <v>15931</v>
      </c>
      <c r="AD58" s="374" t="s">
        <v>227</v>
      </c>
      <c r="AE58" s="375" t="s">
        <v>228</v>
      </c>
      <c r="AF58" s="376" t="s">
        <v>85</v>
      </c>
      <c r="AG58" s="359"/>
      <c r="AH58" s="360"/>
      <c r="AI58" s="361"/>
      <c r="AJ58" s="362"/>
      <c r="AK58" s="363"/>
      <c r="AL58" s="364"/>
      <c r="AM58" s="363"/>
      <c r="AN58" s="365"/>
      <c r="AO58" s="363"/>
      <c r="AP58" s="365"/>
      <c r="AQ58" s="363"/>
      <c r="AR58" s="935"/>
      <c r="AS58" s="936"/>
      <c r="AT58" s="935"/>
      <c r="AU58" s="936"/>
      <c r="AV58" s="365"/>
      <c r="AW58" s="363"/>
      <c r="AX58" s="365"/>
      <c r="AY58" s="363"/>
      <c r="AZ58" s="365"/>
      <c r="BA58" s="366"/>
      <c r="BB58" s="367">
        <f t="shared" si="4"/>
        <v>0</v>
      </c>
      <c r="BC58" s="87"/>
      <c r="BD58" s="55"/>
      <c r="BE58" s="55"/>
      <c r="BF58" s="55"/>
      <c r="BG58" s="55"/>
      <c r="BH58" s="55"/>
      <c r="BI58" s="55"/>
      <c r="BJ58" s="55"/>
      <c r="BK58" s="55"/>
      <c r="BL58" s="55"/>
      <c r="BM58" s="55"/>
      <c r="BN58" s="55"/>
      <c r="BO58" s="55"/>
      <c r="BP58" s="55"/>
      <c r="BQ58" s="55"/>
      <c r="BR58" s="55"/>
      <c r="BS58" s="55"/>
    </row>
    <row r="59" spans="1:77" ht="56.25">
      <c r="A59" s="661" t="s">
        <v>7468</v>
      </c>
      <c r="B59" s="368" t="s">
        <v>3355</v>
      </c>
      <c r="C59" s="215" t="s">
        <v>2631</v>
      </c>
      <c r="D59" s="350" t="s">
        <v>9</v>
      </c>
      <c r="E59" s="354" t="s">
        <v>1313</v>
      </c>
      <c r="F59" s="353" t="s">
        <v>920</v>
      </c>
      <c r="G59" s="354" t="s">
        <v>92</v>
      </c>
      <c r="H59" s="353" t="s">
        <v>1312</v>
      </c>
      <c r="I59" s="354" t="s">
        <v>1014</v>
      </c>
      <c r="J59" s="355" t="s">
        <v>80</v>
      </c>
      <c r="K59" s="370"/>
      <c r="L59" s="357"/>
      <c r="M59" s="371"/>
      <c r="N59" s="372"/>
      <c r="O59" s="419">
        <v>1792</v>
      </c>
      <c r="P59" s="420" t="s">
        <v>1764</v>
      </c>
      <c r="Q59" s="370">
        <v>1350</v>
      </c>
      <c r="R59" s="357">
        <v>39417</v>
      </c>
      <c r="S59" s="948"/>
      <c r="T59" s="951"/>
      <c r="U59" s="948"/>
      <c r="V59" s="952"/>
      <c r="W59" s="370"/>
      <c r="X59" s="353"/>
      <c r="Y59" s="370"/>
      <c r="Z59" s="353"/>
      <c r="AA59" s="419">
        <v>7170</v>
      </c>
      <c r="AB59" s="483" t="s">
        <v>2210</v>
      </c>
      <c r="AC59" s="358">
        <f t="shared" si="3"/>
        <v>10312</v>
      </c>
      <c r="AD59" s="385" t="s">
        <v>465</v>
      </c>
      <c r="AE59" s="213" t="s">
        <v>2212</v>
      </c>
      <c r="AF59" s="214" t="s">
        <v>2211</v>
      </c>
      <c r="AG59" s="377"/>
      <c r="AH59" s="378"/>
      <c r="AI59" s="379"/>
      <c r="AJ59" s="380"/>
      <c r="AK59" s="381"/>
      <c r="AL59" s="382"/>
      <c r="AM59" s="381"/>
      <c r="AN59" s="383"/>
      <c r="AO59" s="381"/>
      <c r="AP59" s="383"/>
      <c r="AQ59" s="381"/>
      <c r="AR59" s="982"/>
      <c r="AS59" s="984"/>
      <c r="AT59" s="982"/>
      <c r="AU59" s="984"/>
      <c r="AV59" s="383"/>
      <c r="AW59" s="381"/>
      <c r="AX59" s="383"/>
      <c r="AY59" s="381"/>
      <c r="AZ59" s="383"/>
      <c r="BA59" s="384"/>
      <c r="BB59" s="367">
        <f t="shared" si="4"/>
        <v>0</v>
      </c>
    </row>
    <row r="60" spans="1:77" ht="67.5">
      <c r="A60" s="661" t="s">
        <v>7469</v>
      </c>
      <c r="B60" s="368" t="s">
        <v>3351</v>
      </c>
      <c r="C60" s="215" t="s">
        <v>2638</v>
      </c>
      <c r="D60" s="447" t="s">
        <v>788</v>
      </c>
      <c r="E60" s="863" t="s">
        <v>2373</v>
      </c>
      <c r="F60" s="864" t="s">
        <v>2374</v>
      </c>
      <c r="G60" s="863" t="s">
        <v>2376</v>
      </c>
      <c r="H60" s="864" t="s">
        <v>2375</v>
      </c>
      <c r="I60" s="863" t="s">
        <v>2377</v>
      </c>
      <c r="J60" s="355" t="s">
        <v>2378</v>
      </c>
      <c r="K60" s="855"/>
      <c r="L60" s="856"/>
      <c r="M60" s="857"/>
      <c r="N60" s="858"/>
      <c r="O60" s="1069">
        <v>1680</v>
      </c>
      <c r="P60" s="1070" t="s">
        <v>2620</v>
      </c>
      <c r="Q60" s="855">
        <v>2664</v>
      </c>
      <c r="R60" s="890">
        <v>40330</v>
      </c>
      <c r="S60" s="1027"/>
      <c r="T60" s="1046"/>
      <c r="U60" s="1027"/>
      <c r="V60" s="1047"/>
      <c r="W60" s="855"/>
      <c r="X60" s="856"/>
      <c r="Y60" s="855">
        <v>3362</v>
      </c>
      <c r="Z60" s="890">
        <v>40330</v>
      </c>
      <c r="AA60" s="1069">
        <v>40</v>
      </c>
      <c r="AB60" s="1070" t="s">
        <v>2621</v>
      </c>
      <c r="AC60" s="358">
        <f t="shared" si="3"/>
        <v>7746</v>
      </c>
      <c r="AD60" s="865" t="s">
        <v>663</v>
      </c>
      <c r="AE60" s="424" t="s">
        <v>2622</v>
      </c>
      <c r="AF60" s="866" t="s">
        <v>2623</v>
      </c>
      <c r="AG60" s="377"/>
      <c r="AH60" s="378"/>
      <c r="AI60" s="868"/>
      <c r="AJ60" s="860"/>
      <c r="AK60" s="861"/>
      <c r="AL60" s="382"/>
      <c r="AM60" s="861"/>
      <c r="AN60" s="862"/>
      <c r="AO60" s="861"/>
      <c r="AP60" s="862"/>
      <c r="AQ60" s="861"/>
      <c r="AR60" s="998"/>
      <c r="AS60" s="999"/>
      <c r="AT60" s="998"/>
      <c r="AU60" s="999"/>
      <c r="AV60" s="862"/>
      <c r="AW60" s="861"/>
      <c r="AX60" s="862"/>
      <c r="AY60" s="861"/>
      <c r="AZ60" s="862"/>
      <c r="BA60" s="384"/>
      <c r="BB60" s="721">
        <f t="shared" si="4"/>
        <v>0</v>
      </c>
    </row>
    <row r="61" spans="1:77" s="47" customFormat="1" ht="101.25">
      <c r="A61" s="395" t="s">
        <v>7470</v>
      </c>
      <c r="B61" s="368" t="s">
        <v>1903</v>
      </c>
      <c r="C61" s="215" t="s">
        <v>2184</v>
      </c>
      <c r="D61" s="350" t="s">
        <v>788</v>
      </c>
      <c r="E61" s="354" t="s">
        <v>182</v>
      </c>
      <c r="F61" s="353" t="s">
        <v>126</v>
      </c>
      <c r="G61" s="354" t="s">
        <v>899</v>
      </c>
      <c r="H61" s="353" t="s">
        <v>929</v>
      </c>
      <c r="I61" s="354" t="s">
        <v>360</v>
      </c>
      <c r="J61" s="355" t="s">
        <v>1149</v>
      </c>
      <c r="K61" s="370">
        <v>18234</v>
      </c>
      <c r="L61" s="357">
        <v>38412</v>
      </c>
      <c r="M61" s="371">
        <v>50995</v>
      </c>
      <c r="N61" s="372">
        <v>38412</v>
      </c>
      <c r="O61" s="370"/>
      <c r="P61" s="373"/>
      <c r="Q61" s="370">
        <v>81120</v>
      </c>
      <c r="R61" s="357">
        <v>38412</v>
      </c>
      <c r="S61" s="948">
        <v>150085</v>
      </c>
      <c r="T61" s="949">
        <v>38412</v>
      </c>
      <c r="U61" s="948">
        <v>113401</v>
      </c>
      <c r="V61" s="950">
        <v>38412</v>
      </c>
      <c r="W61" s="370"/>
      <c r="X61" s="353"/>
      <c r="Y61" s="370">
        <v>19045</v>
      </c>
      <c r="Z61" s="357">
        <v>38412</v>
      </c>
      <c r="AA61" s="370"/>
      <c r="AB61" s="355"/>
      <c r="AC61" s="358">
        <f t="shared" si="3"/>
        <v>432880</v>
      </c>
      <c r="AD61" s="374" t="s">
        <v>775</v>
      </c>
      <c r="AE61" s="401" t="s">
        <v>1090</v>
      </c>
      <c r="AF61" s="402" t="s">
        <v>199</v>
      </c>
      <c r="AG61" s="359"/>
      <c r="AH61" s="360"/>
      <c r="AI61" s="361"/>
      <c r="AJ61" s="362"/>
      <c r="AK61" s="363"/>
      <c r="AL61" s="364"/>
      <c r="AM61" s="363"/>
      <c r="AN61" s="365"/>
      <c r="AO61" s="363"/>
      <c r="AP61" s="365"/>
      <c r="AQ61" s="363"/>
      <c r="AR61" s="935"/>
      <c r="AS61" s="936"/>
      <c r="AT61" s="935"/>
      <c r="AU61" s="936"/>
      <c r="AV61" s="365"/>
      <c r="AW61" s="363"/>
      <c r="AX61" s="365"/>
      <c r="AY61" s="363"/>
      <c r="AZ61" s="365"/>
      <c r="BA61" s="366"/>
      <c r="BB61" s="367">
        <f t="shared" si="4"/>
        <v>0</v>
      </c>
      <c r="BC61" s="87"/>
      <c r="BD61" s="55"/>
      <c r="BE61" s="55"/>
      <c r="BF61" s="55"/>
      <c r="BG61" s="55"/>
      <c r="BH61" s="55"/>
      <c r="BI61" s="55"/>
      <c r="BJ61" s="55"/>
      <c r="BK61" s="55"/>
      <c r="BL61" s="55"/>
      <c r="BM61" s="55"/>
      <c r="BN61" s="55"/>
      <c r="BO61" s="55"/>
      <c r="BP61" s="55"/>
      <c r="BQ61" s="55"/>
      <c r="BR61" s="55"/>
      <c r="BS61" s="55"/>
    </row>
    <row r="62" spans="1:77" ht="90">
      <c r="A62" s="442" t="s">
        <v>7471</v>
      </c>
      <c r="B62" s="368" t="s">
        <v>175</v>
      </c>
      <c r="C62" s="215" t="s">
        <v>5427</v>
      </c>
      <c r="D62" s="350" t="s">
        <v>788</v>
      </c>
      <c r="E62" s="354" t="s">
        <v>373</v>
      </c>
      <c r="F62" s="353" t="s">
        <v>1179</v>
      </c>
      <c r="G62" s="354" t="s">
        <v>1327</v>
      </c>
      <c r="H62" s="353" t="s">
        <v>1180</v>
      </c>
      <c r="I62" s="354" t="s">
        <v>63</v>
      </c>
      <c r="J62" s="355" t="s">
        <v>1073</v>
      </c>
      <c r="K62" s="370">
        <v>323</v>
      </c>
      <c r="L62" s="357">
        <v>39783</v>
      </c>
      <c r="M62" s="371"/>
      <c r="N62" s="372"/>
      <c r="O62" s="405"/>
      <c r="P62" s="443" t="s">
        <v>1760</v>
      </c>
      <c r="Q62" s="370">
        <v>1438</v>
      </c>
      <c r="R62" s="357">
        <v>39783</v>
      </c>
      <c r="S62" s="948">
        <v>2386</v>
      </c>
      <c r="T62" s="949">
        <v>39783</v>
      </c>
      <c r="U62" s="948">
        <v>2023</v>
      </c>
      <c r="V62" s="950">
        <v>39783</v>
      </c>
      <c r="W62" s="370"/>
      <c r="X62" s="353"/>
      <c r="Y62" s="370"/>
      <c r="Z62" s="357"/>
      <c r="AA62" s="370"/>
      <c r="AB62" s="355"/>
      <c r="AC62" s="358">
        <f t="shared" si="3"/>
        <v>6170</v>
      </c>
      <c r="AD62" s="374" t="s">
        <v>1426</v>
      </c>
      <c r="AE62" s="401" t="s">
        <v>5274</v>
      </c>
      <c r="AF62" s="402" t="s">
        <v>5275</v>
      </c>
      <c r="AG62" s="759" t="s">
        <v>3275</v>
      </c>
      <c r="AH62" s="378">
        <v>41442</v>
      </c>
      <c r="AI62" s="379">
        <v>1097720</v>
      </c>
      <c r="AJ62" s="380"/>
      <c r="AK62" s="381"/>
      <c r="AL62" s="382"/>
      <c r="AM62" s="381"/>
      <c r="AN62" s="441"/>
      <c r="AO62" s="443" t="s">
        <v>1761</v>
      </c>
      <c r="AP62" s="383"/>
      <c r="AQ62" s="381"/>
      <c r="AR62" s="982"/>
      <c r="AS62" s="984"/>
      <c r="AT62" s="982"/>
      <c r="AU62" s="984"/>
      <c r="AV62" s="383"/>
      <c r="AW62" s="381"/>
      <c r="AX62" s="383"/>
      <c r="AY62" s="381"/>
      <c r="AZ62" s="383"/>
      <c r="BA62" s="384"/>
      <c r="BB62" s="367">
        <f t="shared" si="4"/>
        <v>0</v>
      </c>
    </row>
    <row r="63" spans="1:77" ht="67.5">
      <c r="A63" s="661" t="s">
        <v>7472</v>
      </c>
      <c r="B63" s="368" t="s">
        <v>3347</v>
      </c>
      <c r="C63" s="215" t="s">
        <v>2634</v>
      </c>
      <c r="D63" s="350" t="s">
        <v>9</v>
      </c>
      <c r="E63" s="354" t="s">
        <v>118</v>
      </c>
      <c r="F63" s="353" t="s">
        <v>119</v>
      </c>
      <c r="G63" s="354" t="s">
        <v>120</v>
      </c>
      <c r="H63" s="353" t="s">
        <v>1015</v>
      </c>
      <c r="I63" s="354" t="s">
        <v>759</v>
      </c>
      <c r="J63" s="355" t="s">
        <v>760</v>
      </c>
      <c r="K63" s="370"/>
      <c r="L63" s="357"/>
      <c r="M63" s="371"/>
      <c r="N63" s="372"/>
      <c r="O63" s="419">
        <v>1719</v>
      </c>
      <c r="P63" s="420" t="s">
        <v>2291</v>
      </c>
      <c r="Q63" s="370">
        <v>722</v>
      </c>
      <c r="R63" s="357">
        <v>40148</v>
      </c>
      <c r="S63" s="370"/>
      <c r="T63" s="2727"/>
      <c r="U63" s="370"/>
      <c r="V63" s="373"/>
      <c r="W63" s="370"/>
      <c r="X63" s="353"/>
      <c r="Y63" s="370"/>
      <c r="Z63" s="353"/>
      <c r="AA63" s="419">
        <v>6874</v>
      </c>
      <c r="AB63" s="1071" t="s">
        <v>2300</v>
      </c>
      <c r="AC63" s="358">
        <f t="shared" si="3"/>
        <v>9315</v>
      </c>
      <c r="AD63" s="423" t="s">
        <v>465</v>
      </c>
      <c r="AE63" s="424" t="s">
        <v>5282</v>
      </c>
      <c r="AF63" s="425" t="s">
        <v>5283</v>
      </c>
      <c r="AG63" s="377"/>
      <c r="AH63" s="378"/>
      <c r="AI63" s="379"/>
      <c r="AJ63" s="380"/>
      <c r="AK63" s="381"/>
      <c r="AL63" s="382"/>
      <c r="AM63" s="381"/>
      <c r="AN63" s="383"/>
      <c r="AO63" s="381"/>
      <c r="AP63" s="383"/>
      <c r="AQ63" s="381"/>
      <c r="AR63" s="982"/>
      <c r="AS63" s="984"/>
      <c r="AT63" s="982"/>
      <c r="AU63" s="984"/>
      <c r="AV63" s="383"/>
      <c r="AW63" s="381"/>
      <c r="AX63" s="383"/>
      <c r="AY63" s="381"/>
      <c r="AZ63" s="383"/>
      <c r="BA63" s="384"/>
      <c r="BB63" s="367">
        <f t="shared" si="4"/>
        <v>0</v>
      </c>
    </row>
    <row r="64" spans="1:77" ht="56.25">
      <c r="A64" s="907" t="s">
        <v>7450</v>
      </c>
      <c r="B64" s="368" t="s">
        <v>3348</v>
      </c>
      <c r="C64" s="215" t="s">
        <v>5946</v>
      </c>
      <c r="D64" s="350" t="s">
        <v>788</v>
      </c>
      <c r="E64" s="354" t="s">
        <v>705</v>
      </c>
      <c r="F64" s="353" t="s">
        <v>769</v>
      </c>
      <c r="G64" s="354" t="s">
        <v>770</v>
      </c>
      <c r="H64" s="353" t="s">
        <v>771</v>
      </c>
      <c r="I64" s="354" t="s">
        <v>361</v>
      </c>
      <c r="J64" s="355" t="s">
        <v>388</v>
      </c>
      <c r="K64" s="370">
        <v>747</v>
      </c>
      <c r="L64" s="357">
        <v>40422</v>
      </c>
      <c r="M64" s="371">
        <v>1158</v>
      </c>
      <c r="N64" s="372">
        <v>40422</v>
      </c>
      <c r="O64" s="419">
        <v>1923</v>
      </c>
      <c r="P64" s="420" t="s">
        <v>2616</v>
      </c>
      <c r="Q64" s="370">
        <v>3325</v>
      </c>
      <c r="R64" s="357">
        <v>40422</v>
      </c>
      <c r="S64" s="948">
        <v>5209</v>
      </c>
      <c r="T64" s="949">
        <v>40422</v>
      </c>
      <c r="U64" s="948">
        <v>3834</v>
      </c>
      <c r="V64" s="950">
        <v>40422</v>
      </c>
      <c r="W64" s="370"/>
      <c r="X64" s="353"/>
      <c r="Y64" s="370"/>
      <c r="Z64" s="353"/>
      <c r="AA64" s="419">
        <v>292</v>
      </c>
      <c r="AB64" s="483" t="s">
        <v>2615</v>
      </c>
      <c r="AC64" s="358">
        <f t="shared" si="3"/>
        <v>16488</v>
      </c>
      <c r="AD64" s="385" t="s">
        <v>478</v>
      </c>
      <c r="AE64" s="213" t="s">
        <v>5287</v>
      </c>
      <c r="AF64" s="214" t="s">
        <v>5286</v>
      </c>
      <c r="AG64" s="377"/>
      <c r="AH64" s="378"/>
      <c r="AI64" s="379"/>
      <c r="AJ64" s="380"/>
      <c r="AK64" s="381"/>
      <c r="AL64" s="382"/>
      <c r="AM64" s="381"/>
      <c r="AN64" s="383"/>
      <c r="AO64" s="381"/>
      <c r="AP64" s="383"/>
      <c r="AQ64" s="381"/>
      <c r="AR64" s="982"/>
      <c r="AS64" s="984"/>
      <c r="AT64" s="982"/>
      <c r="AU64" s="984"/>
      <c r="AV64" s="383"/>
      <c r="AW64" s="381"/>
      <c r="AX64" s="383"/>
      <c r="AY64" s="381"/>
      <c r="AZ64" s="383"/>
      <c r="BA64" s="384"/>
      <c r="BB64" s="367">
        <f t="shared" si="4"/>
        <v>0</v>
      </c>
    </row>
    <row r="65" spans="1:60" ht="101.25">
      <c r="A65" s="661" t="s">
        <v>7473</v>
      </c>
      <c r="B65" s="368" t="s">
        <v>175</v>
      </c>
      <c r="C65" s="215" t="s">
        <v>3024</v>
      </c>
      <c r="D65" s="350" t="s">
        <v>298</v>
      </c>
      <c r="E65" s="354" t="s">
        <v>443</v>
      </c>
      <c r="F65" s="353" t="s">
        <v>559</v>
      </c>
      <c r="G65" s="354" t="s">
        <v>1164</v>
      </c>
      <c r="H65" s="353" t="s">
        <v>997</v>
      </c>
      <c r="I65" s="354" t="s">
        <v>998</v>
      </c>
      <c r="J65" s="355" t="s">
        <v>799</v>
      </c>
      <c r="K65" s="370">
        <v>11454</v>
      </c>
      <c r="L65" s="357">
        <v>40330</v>
      </c>
      <c r="M65" s="371"/>
      <c r="N65" s="372"/>
      <c r="O65" s="370"/>
      <c r="P65" s="373"/>
      <c r="Q65" s="370">
        <v>39017</v>
      </c>
      <c r="R65" s="357">
        <v>40330</v>
      </c>
      <c r="S65" s="948">
        <v>82928</v>
      </c>
      <c r="T65" s="949">
        <v>40330</v>
      </c>
      <c r="U65" s="948">
        <v>127528</v>
      </c>
      <c r="V65" s="963">
        <v>40330</v>
      </c>
      <c r="W65" s="370"/>
      <c r="X65" s="353"/>
      <c r="Y65" s="370">
        <v>22560</v>
      </c>
      <c r="Z65" s="357">
        <v>40330</v>
      </c>
      <c r="AA65" s="370"/>
      <c r="AB65" s="355"/>
      <c r="AC65" s="358">
        <f t="shared" si="3"/>
        <v>283487</v>
      </c>
      <c r="AD65" s="374" t="s">
        <v>3025</v>
      </c>
      <c r="AE65" s="375" t="s">
        <v>5284</v>
      </c>
      <c r="AF65" s="402" t="s">
        <v>5285</v>
      </c>
      <c r="AG65" s="377"/>
      <c r="AH65" s="378"/>
      <c r="AI65" s="379"/>
      <c r="AJ65" s="380"/>
      <c r="AK65" s="381"/>
      <c r="AL65" s="382"/>
      <c r="AM65" s="381"/>
      <c r="AN65" s="383"/>
      <c r="AO65" s="381"/>
      <c r="AP65" s="383"/>
      <c r="AQ65" s="381"/>
      <c r="AR65" s="982"/>
      <c r="AS65" s="984"/>
      <c r="AT65" s="982"/>
      <c r="AU65" s="984"/>
      <c r="AV65" s="383"/>
      <c r="AW65" s="381"/>
      <c r="AX65" s="383"/>
      <c r="AY65" s="381"/>
      <c r="AZ65" s="383"/>
      <c r="BA65" s="384"/>
      <c r="BB65" s="367">
        <f t="shared" si="4"/>
        <v>0</v>
      </c>
    </row>
    <row r="66" spans="1:60" s="47" customFormat="1" ht="157.5">
      <c r="A66" s="661" t="s">
        <v>7439</v>
      </c>
      <c r="B66" s="368" t="s">
        <v>4344</v>
      </c>
      <c r="C66" s="215" t="s">
        <v>6704</v>
      </c>
      <c r="D66" s="350" t="s">
        <v>788</v>
      </c>
      <c r="E66" s="3267" t="s">
        <v>3894</v>
      </c>
      <c r="F66" s="390" t="s">
        <v>513</v>
      </c>
      <c r="G66" s="3270" t="s">
        <v>859</v>
      </c>
      <c r="H66" s="3271" t="s">
        <v>136</v>
      </c>
      <c r="I66" s="351" t="s">
        <v>4266</v>
      </c>
      <c r="J66" s="369" t="s">
        <v>333</v>
      </c>
      <c r="K66" s="2107"/>
      <c r="L66" s="2137" t="s">
        <v>1774</v>
      </c>
      <c r="M66" s="371">
        <v>44415</v>
      </c>
      <c r="N66" s="372" t="s">
        <v>334</v>
      </c>
      <c r="O66" s="419">
        <v>37694</v>
      </c>
      <c r="P66" s="420" t="s">
        <v>2123</v>
      </c>
      <c r="Q66" s="2107"/>
      <c r="R66" s="1746" t="s">
        <v>4341</v>
      </c>
      <c r="S66" s="948"/>
      <c r="T66" s="951" t="s">
        <v>633</v>
      </c>
      <c r="U66" s="948"/>
      <c r="V66" s="1106" t="s">
        <v>633</v>
      </c>
      <c r="W66" s="370"/>
      <c r="X66" s="353"/>
      <c r="Y66" s="370"/>
      <c r="Z66" s="353"/>
      <c r="AA66" s="419">
        <v>5880</v>
      </c>
      <c r="AB66" s="483" t="s">
        <v>2124</v>
      </c>
      <c r="AC66" s="358">
        <f t="shared" si="3"/>
        <v>87989</v>
      </c>
      <c r="AD66" s="1731" t="s">
        <v>3746</v>
      </c>
      <c r="AE66" s="1732" t="s">
        <v>2149</v>
      </c>
      <c r="AF66" s="1733" t="s">
        <v>4924</v>
      </c>
      <c r="AG66" s="359"/>
      <c r="AH66" s="360"/>
      <c r="AI66" s="361"/>
      <c r="AJ66" s="362"/>
      <c r="AK66" s="363"/>
      <c r="AL66" s="364"/>
      <c r="AM66" s="363"/>
      <c r="AN66" s="365"/>
      <c r="AO66" s="363"/>
      <c r="AP66" s="365"/>
      <c r="AQ66" s="363"/>
      <c r="AR66" s="935"/>
      <c r="AS66" s="936"/>
      <c r="AT66" s="935"/>
      <c r="AU66" s="936"/>
      <c r="AV66" s="365"/>
      <c r="AW66" s="363"/>
      <c r="AX66" s="365"/>
      <c r="AY66" s="363"/>
      <c r="AZ66" s="365"/>
      <c r="BA66" s="366"/>
      <c r="BB66" s="367">
        <f t="shared" si="4"/>
        <v>0</v>
      </c>
      <c r="BC66" s="256"/>
    </row>
    <row r="67" spans="1:60" ht="180">
      <c r="A67" s="661" t="s">
        <v>7440</v>
      </c>
      <c r="B67" s="368" t="s">
        <v>4345</v>
      </c>
      <c r="C67" s="215" t="s">
        <v>6703</v>
      </c>
      <c r="D67" s="350" t="s">
        <v>788</v>
      </c>
      <c r="E67" s="3267" t="s">
        <v>475</v>
      </c>
      <c r="F67" s="352" t="s">
        <v>150</v>
      </c>
      <c r="G67" s="3270" t="s">
        <v>892</v>
      </c>
      <c r="H67" s="3271" t="s">
        <v>893</v>
      </c>
      <c r="I67" s="351" t="s">
        <v>4265</v>
      </c>
      <c r="J67" s="369" t="s">
        <v>325</v>
      </c>
      <c r="K67" s="370"/>
      <c r="L67" s="3304" t="s">
        <v>1774</v>
      </c>
      <c r="M67" s="371">
        <v>37930</v>
      </c>
      <c r="N67" s="372" t="s">
        <v>326</v>
      </c>
      <c r="O67" s="419">
        <v>32309</v>
      </c>
      <c r="P67" s="420" t="s">
        <v>2121</v>
      </c>
      <c r="Q67" s="2107"/>
      <c r="R67" s="1746" t="s">
        <v>4342</v>
      </c>
      <c r="S67" s="948"/>
      <c r="T67" s="951" t="s">
        <v>633</v>
      </c>
      <c r="U67" s="948"/>
      <c r="V67" s="1106" t="s">
        <v>633</v>
      </c>
      <c r="W67" s="370"/>
      <c r="X67" s="353"/>
      <c r="Y67" s="370"/>
      <c r="Z67" s="353"/>
      <c r="AA67" s="419">
        <v>5040</v>
      </c>
      <c r="AB67" s="420" t="s">
        <v>2122</v>
      </c>
      <c r="AC67" s="358">
        <f t="shared" si="3"/>
        <v>75279</v>
      </c>
      <c r="AD67" s="1731" t="s">
        <v>3744</v>
      </c>
      <c r="AE67" s="1732" t="s">
        <v>3745</v>
      </c>
      <c r="AF67" s="1733" t="s">
        <v>5269</v>
      </c>
      <c r="AG67" s="377"/>
      <c r="AH67" s="378"/>
      <c r="AI67" s="379"/>
      <c r="AJ67" s="380"/>
      <c r="AK67" s="381"/>
      <c r="AL67" s="382"/>
      <c r="AM67" s="381"/>
      <c r="AN67" s="383"/>
      <c r="AO67" s="381"/>
      <c r="AP67" s="383"/>
      <c r="AQ67" s="381"/>
      <c r="AR67" s="982"/>
      <c r="AS67" s="984"/>
      <c r="AT67" s="982"/>
      <c r="AU67" s="984"/>
      <c r="AV67" s="383"/>
      <c r="AW67" s="381"/>
      <c r="AX67" s="383"/>
      <c r="AY67" s="381"/>
      <c r="AZ67" s="383"/>
      <c r="BA67" s="384"/>
      <c r="BB67" s="367">
        <f t="shared" si="4"/>
        <v>0</v>
      </c>
      <c r="BC67" s="230"/>
    </row>
    <row r="68" spans="1:60" s="47" customFormat="1" ht="90">
      <c r="A68" s="4215" t="s">
        <v>7438</v>
      </c>
      <c r="B68" s="2766" t="s">
        <v>5952</v>
      </c>
      <c r="C68" s="2767" t="s">
        <v>294</v>
      </c>
      <c r="D68" s="2768" t="s">
        <v>788</v>
      </c>
      <c r="E68" s="2769" t="s">
        <v>519</v>
      </c>
      <c r="F68" s="2770" t="s">
        <v>161</v>
      </c>
      <c r="G68" s="2769" t="s">
        <v>504</v>
      </c>
      <c r="H68" s="2770" t="s">
        <v>6358</v>
      </c>
      <c r="I68" s="2769" t="s">
        <v>479</v>
      </c>
      <c r="J68" s="2771" t="s">
        <v>392</v>
      </c>
      <c r="K68" s="2772">
        <v>956</v>
      </c>
      <c r="L68" s="2773">
        <v>38961</v>
      </c>
      <c r="M68" s="2774">
        <v>2717</v>
      </c>
      <c r="N68" s="2775">
        <v>38961</v>
      </c>
      <c r="O68" s="2772"/>
      <c r="P68" s="2787"/>
      <c r="Q68" s="2772">
        <v>1329</v>
      </c>
      <c r="R68" s="2773">
        <v>38961</v>
      </c>
      <c r="S68" s="2776">
        <v>1803</v>
      </c>
      <c r="T68" s="2777">
        <v>38961</v>
      </c>
      <c r="U68" s="2776">
        <v>1213</v>
      </c>
      <c r="V68" s="2778">
        <v>38961</v>
      </c>
      <c r="W68" s="2772"/>
      <c r="X68" s="2770"/>
      <c r="Y68" s="2772"/>
      <c r="Z68" s="2770"/>
      <c r="AA68" s="2772">
        <v>1010</v>
      </c>
      <c r="AB68" s="2773" t="s">
        <v>594</v>
      </c>
      <c r="AC68" s="2779">
        <f t="shared" si="3"/>
        <v>9028</v>
      </c>
      <c r="AD68" s="2788" t="s">
        <v>3026</v>
      </c>
      <c r="AE68" s="2789" t="s">
        <v>3215</v>
      </c>
      <c r="AF68" s="2790" t="s">
        <v>3216</v>
      </c>
      <c r="AG68" s="2791" t="s">
        <v>5954</v>
      </c>
      <c r="AH68" s="2792"/>
      <c r="AI68" s="2793"/>
      <c r="AJ68" s="2794"/>
      <c r="AK68" s="2780"/>
      <c r="AL68" s="2795"/>
      <c r="AM68" s="2780"/>
      <c r="AN68" s="2781"/>
      <c r="AO68" s="2780"/>
      <c r="AP68" s="2796"/>
      <c r="AQ68" s="2780"/>
      <c r="AR68" s="2782"/>
      <c r="AS68" s="2783"/>
      <c r="AT68" s="2782"/>
      <c r="AU68" s="2783"/>
      <c r="AV68" s="2781"/>
      <c r="AW68" s="2780"/>
      <c r="AX68" s="2781"/>
      <c r="AY68" s="2780"/>
      <c r="AZ68" s="2781"/>
      <c r="BA68" s="2780"/>
      <c r="BB68" s="2784">
        <f t="shared" si="4"/>
        <v>0</v>
      </c>
      <c r="BC68" s="256"/>
      <c r="BE68" s="81"/>
    </row>
    <row r="69" spans="1:60" ht="112.5">
      <c r="A69" s="395" t="s">
        <v>7436</v>
      </c>
      <c r="B69" s="368" t="s">
        <v>3640</v>
      </c>
      <c r="C69" s="215" t="s">
        <v>3636</v>
      </c>
      <c r="D69" s="350" t="s">
        <v>3639</v>
      </c>
      <c r="E69" s="354" t="s">
        <v>171</v>
      </c>
      <c r="F69" s="353" t="s">
        <v>1042</v>
      </c>
      <c r="G69" s="354" t="s">
        <v>1132</v>
      </c>
      <c r="H69" s="353" t="s">
        <v>1040</v>
      </c>
      <c r="I69" s="354" t="s">
        <v>426</v>
      </c>
      <c r="J69" s="355" t="s">
        <v>1137</v>
      </c>
      <c r="K69" s="370">
        <v>11123</v>
      </c>
      <c r="L69" s="357">
        <v>40603</v>
      </c>
      <c r="M69" s="371">
        <v>79660</v>
      </c>
      <c r="N69" s="372">
        <v>40603</v>
      </c>
      <c r="O69" s="370"/>
      <c r="P69" s="373"/>
      <c r="Q69" s="370">
        <v>0</v>
      </c>
      <c r="R69" s="357">
        <v>40603</v>
      </c>
      <c r="S69" s="948">
        <v>185083</v>
      </c>
      <c r="T69" s="949">
        <v>40603</v>
      </c>
      <c r="U69" s="948">
        <v>153181</v>
      </c>
      <c r="V69" s="950">
        <v>40603</v>
      </c>
      <c r="W69" s="370"/>
      <c r="X69" s="353"/>
      <c r="Y69" s="370"/>
      <c r="Z69" s="353"/>
      <c r="AA69" s="370"/>
      <c r="AB69" s="355"/>
      <c r="AC69" s="358">
        <f t="shared" si="3"/>
        <v>429047</v>
      </c>
      <c r="AD69" s="385" t="s">
        <v>1133</v>
      </c>
      <c r="AE69" s="213" t="s">
        <v>5280</v>
      </c>
      <c r="AF69" s="425" t="s">
        <v>5281</v>
      </c>
      <c r="AG69" s="377"/>
      <c r="AH69" s="378"/>
      <c r="AI69" s="379"/>
      <c r="AJ69" s="380"/>
      <c r="AK69" s="381"/>
      <c r="AL69" s="382"/>
      <c r="AM69" s="381"/>
      <c r="AN69" s="383"/>
      <c r="AO69" s="381"/>
      <c r="AP69" s="383"/>
      <c r="AQ69" s="381"/>
      <c r="AR69" s="982"/>
      <c r="AS69" s="984"/>
      <c r="AT69" s="982"/>
      <c r="AU69" s="984"/>
      <c r="AV69" s="383"/>
      <c r="AW69" s="381"/>
      <c r="AX69" s="383"/>
      <c r="AY69" s="381"/>
      <c r="AZ69" s="383"/>
      <c r="BA69" s="384"/>
      <c r="BB69" s="367">
        <f t="shared" si="4"/>
        <v>0</v>
      </c>
      <c r="BC69" s="230"/>
    </row>
    <row r="70" spans="1:60" ht="112.5">
      <c r="A70" s="395" t="s">
        <v>7437</v>
      </c>
      <c r="B70" s="368" t="s">
        <v>3638</v>
      </c>
      <c r="C70" s="215" t="s">
        <v>3636</v>
      </c>
      <c r="D70" s="350" t="s">
        <v>3637</v>
      </c>
      <c r="E70" s="354" t="s">
        <v>171</v>
      </c>
      <c r="F70" s="353" t="s">
        <v>1042</v>
      </c>
      <c r="G70" s="354" t="s">
        <v>1132</v>
      </c>
      <c r="H70" s="353" t="s">
        <v>1041</v>
      </c>
      <c r="I70" s="354" t="s">
        <v>426</v>
      </c>
      <c r="J70" s="355" t="s">
        <v>1136</v>
      </c>
      <c r="K70" s="370">
        <v>20955</v>
      </c>
      <c r="L70" s="357">
        <v>40603</v>
      </c>
      <c r="M70" s="371">
        <v>59548</v>
      </c>
      <c r="N70" s="372">
        <v>40603</v>
      </c>
      <c r="O70" s="370"/>
      <c r="P70" s="373"/>
      <c r="Q70" s="370">
        <v>42487</v>
      </c>
      <c r="R70" s="357">
        <v>40603</v>
      </c>
      <c r="S70" s="948">
        <v>163432</v>
      </c>
      <c r="T70" s="949">
        <v>40603</v>
      </c>
      <c r="U70" s="948">
        <v>233794</v>
      </c>
      <c r="V70" s="950">
        <v>40603</v>
      </c>
      <c r="W70" s="370"/>
      <c r="X70" s="353"/>
      <c r="Y70" s="370"/>
      <c r="Z70" s="353"/>
      <c r="AA70" s="370"/>
      <c r="AB70" s="355"/>
      <c r="AC70" s="358">
        <f t="shared" si="3"/>
        <v>520216</v>
      </c>
      <c r="AD70" s="385" t="s">
        <v>1134</v>
      </c>
      <c r="AE70" s="213" t="s">
        <v>5280</v>
      </c>
      <c r="AF70" s="425" t="s">
        <v>5281</v>
      </c>
      <c r="AG70" s="377"/>
      <c r="AH70" s="378"/>
      <c r="AI70" s="379"/>
      <c r="AJ70" s="380"/>
      <c r="AK70" s="381"/>
      <c r="AL70" s="382"/>
      <c r="AM70" s="381"/>
      <c r="AN70" s="383"/>
      <c r="AO70" s="381"/>
      <c r="AP70" s="383"/>
      <c r="AQ70" s="381"/>
      <c r="AR70" s="982"/>
      <c r="AS70" s="984"/>
      <c r="AT70" s="982"/>
      <c r="AU70" s="984"/>
      <c r="AV70" s="383"/>
      <c r="AW70" s="381"/>
      <c r="AX70" s="383"/>
      <c r="AY70" s="381"/>
      <c r="AZ70" s="383"/>
      <c r="BA70" s="384"/>
      <c r="BB70" s="367">
        <f t="shared" si="4"/>
        <v>0</v>
      </c>
      <c r="BC70" s="230"/>
    </row>
    <row r="71" spans="1:60" ht="78.75">
      <c r="A71" s="418" t="s">
        <v>8933</v>
      </c>
      <c r="B71" s="368" t="s">
        <v>8932</v>
      </c>
      <c r="C71" s="215" t="s">
        <v>6942</v>
      </c>
      <c r="D71" s="350" t="s">
        <v>788</v>
      </c>
      <c r="E71" s="354" t="s">
        <v>6943</v>
      </c>
      <c r="F71" s="363" t="s">
        <v>6628</v>
      </c>
      <c r="G71" s="354" t="s">
        <v>651</v>
      </c>
      <c r="H71" s="353" t="s">
        <v>101</v>
      </c>
      <c r="I71" s="354" t="s">
        <v>6944</v>
      </c>
      <c r="J71" s="355" t="s">
        <v>6945</v>
      </c>
      <c r="K71" s="370"/>
      <c r="L71" s="426" t="s">
        <v>7574</v>
      </c>
      <c r="M71" s="419"/>
      <c r="N71" s="389" t="s">
        <v>7573</v>
      </c>
      <c r="O71" s="419"/>
      <c r="P71" s="420"/>
      <c r="Q71" s="419"/>
      <c r="R71" s="426" t="s">
        <v>6960</v>
      </c>
      <c r="S71" s="1000"/>
      <c r="T71" s="1108" t="s">
        <v>6961</v>
      </c>
      <c r="U71" s="1000"/>
      <c r="V71" s="1108" t="s">
        <v>6962</v>
      </c>
      <c r="W71" s="370"/>
      <c r="X71" s="353"/>
      <c r="Y71" s="370"/>
      <c r="Z71" s="353"/>
      <c r="AA71" s="370"/>
      <c r="AB71" s="355"/>
      <c r="AC71" s="358">
        <f>K71+M71+O71+Q71+S71+U71+W71+Y71+AA71</f>
        <v>0</v>
      </c>
      <c r="AD71" s="385" t="s">
        <v>937</v>
      </c>
      <c r="AE71" s="213" t="s">
        <v>6947</v>
      </c>
      <c r="AF71" s="214" t="s">
        <v>6946</v>
      </c>
      <c r="AG71" s="377"/>
      <c r="AH71" s="378"/>
      <c r="AI71" s="379"/>
      <c r="AJ71" s="380"/>
      <c r="AK71" s="381"/>
      <c r="AL71" s="382"/>
      <c r="AM71" s="381"/>
      <c r="AN71" s="383"/>
      <c r="AO71" s="381"/>
      <c r="AP71" s="383"/>
      <c r="AQ71" s="381"/>
      <c r="AR71" s="982"/>
      <c r="AS71" s="984"/>
      <c r="AT71" s="982"/>
      <c r="AU71" s="984"/>
      <c r="AV71" s="383"/>
      <c r="AW71" s="381"/>
      <c r="AX71" s="383"/>
      <c r="AY71" s="381"/>
      <c r="AZ71" s="383"/>
      <c r="BA71" s="384"/>
      <c r="BB71" s="367">
        <f>AJ71+AL71+AN71+AP71+AR71+AT71+AV71+AX71+AZ71</f>
        <v>0</v>
      </c>
      <c r="BC71" s="230"/>
    </row>
    <row r="72" spans="1:60" s="47" customFormat="1" ht="78.75">
      <c r="A72" s="418" t="s">
        <v>7777</v>
      </c>
      <c r="B72" s="368" t="s">
        <v>3353</v>
      </c>
      <c r="C72" s="762" t="s">
        <v>5419</v>
      </c>
      <c r="D72" s="350" t="s">
        <v>838</v>
      </c>
      <c r="E72" s="354" t="s">
        <v>268</v>
      </c>
      <c r="F72" s="353" t="s">
        <v>202</v>
      </c>
      <c r="G72" s="354" t="s">
        <v>430</v>
      </c>
      <c r="H72" s="353" t="s">
        <v>6355</v>
      </c>
      <c r="I72" s="354" t="s">
        <v>323</v>
      </c>
      <c r="J72" s="355" t="s">
        <v>483</v>
      </c>
      <c r="K72" s="370">
        <v>347</v>
      </c>
      <c r="L72" s="357">
        <v>38687</v>
      </c>
      <c r="M72" s="371">
        <v>984</v>
      </c>
      <c r="N72" s="372">
        <v>38687</v>
      </c>
      <c r="O72" s="419">
        <v>1086</v>
      </c>
      <c r="P72" s="420" t="s">
        <v>2153</v>
      </c>
      <c r="Q72" s="370">
        <v>1541</v>
      </c>
      <c r="R72" s="357">
        <v>38687</v>
      </c>
      <c r="S72" s="948">
        <v>2075</v>
      </c>
      <c r="T72" s="949">
        <v>38687</v>
      </c>
      <c r="U72" s="948">
        <v>1330</v>
      </c>
      <c r="V72" s="950">
        <v>38687</v>
      </c>
      <c r="W72" s="370"/>
      <c r="X72" s="353"/>
      <c r="Y72" s="370"/>
      <c r="Z72" s="353"/>
      <c r="AA72" s="419">
        <v>139</v>
      </c>
      <c r="AB72" s="483" t="s">
        <v>2639</v>
      </c>
      <c r="AC72" s="358">
        <f t="shared" si="3"/>
        <v>7502</v>
      </c>
      <c r="AD72" s="374" t="s">
        <v>451</v>
      </c>
      <c r="AE72" s="375" t="s">
        <v>7774</v>
      </c>
      <c r="AF72" s="402" t="s">
        <v>7775</v>
      </c>
      <c r="AG72" s="359"/>
      <c r="AH72" s="360"/>
      <c r="AI72" s="361"/>
      <c r="AJ72" s="362"/>
      <c r="AK72" s="363"/>
      <c r="AL72" s="364"/>
      <c r="AM72" s="363"/>
      <c r="AN72" s="365"/>
      <c r="AO72" s="363"/>
      <c r="AP72" s="365"/>
      <c r="AQ72" s="363"/>
      <c r="AR72" s="935"/>
      <c r="AS72" s="936"/>
      <c r="AT72" s="935"/>
      <c r="AU72" s="936"/>
      <c r="AV72" s="365"/>
      <c r="AW72" s="363"/>
      <c r="AX72" s="365"/>
      <c r="AY72" s="363"/>
      <c r="AZ72" s="365"/>
      <c r="BA72" s="366"/>
      <c r="BB72" s="367">
        <f t="shared" si="4"/>
        <v>0</v>
      </c>
      <c r="BC72" s="256"/>
    </row>
    <row r="73" spans="1:60" s="47" customFormat="1" ht="101.25">
      <c r="A73" s="418" t="s">
        <v>7937</v>
      </c>
      <c r="B73" s="368" t="s">
        <v>3341</v>
      </c>
      <c r="C73" s="215" t="s">
        <v>7883</v>
      </c>
      <c r="D73" s="350" t="s">
        <v>838</v>
      </c>
      <c r="E73" s="354" t="s">
        <v>429</v>
      </c>
      <c r="F73" s="353" t="s">
        <v>29</v>
      </c>
      <c r="G73" s="354" t="s">
        <v>826</v>
      </c>
      <c r="H73" s="353" t="s">
        <v>6356</v>
      </c>
      <c r="I73" s="354" t="s">
        <v>536</v>
      </c>
      <c r="J73" s="355" t="s">
        <v>483</v>
      </c>
      <c r="K73" s="370">
        <v>635</v>
      </c>
      <c r="L73" s="357">
        <v>38687</v>
      </c>
      <c r="M73" s="371">
        <v>984</v>
      </c>
      <c r="N73" s="372">
        <v>38687</v>
      </c>
      <c r="O73" s="419">
        <v>1923</v>
      </c>
      <c r="P73" s="420" t="s">
        <v>2619</v>
      </c>
      <c r="Q73" s="370">
        <v>2824</v>
      </c>
      <c r="R73" s="357">
        <v>38687</v>
      </c>
      <c r="S73" s="948">
        <v>4001</v>
      </c>
      <c r="T73" s="949">
        <v>38687</v>
      </c>
      <c r="U73" s="948">
        <v>3136</v>
      </c>
      <c r="V73" s="950">
        <v>38687</v>
      </c>
      <c r="W73" s="370"/>
      <c r="X73" s="353"/>
      <c r="Y73" s="370"/>
      <c r="Z73" s="353"/>
      <c r="AA73" s="419">
        <v>292</v>
      </c>
      <c r="AB73" s="483" t="s">
        <v>2640</v>
      </c>
      <c r="AC73" s="358">
        <f t="shared" si="3"/>
        <v>13795</v>
      </c>
      <c r="AD73" s="374" t="s">
        <v>1083</v>
      </c>
      <c r="AE73" s="375" t="s">
        <v>5420</v>
      </c>
      <c r="AF73" s="402" t="s">
        <v>5421</v>
      </c>
      <c r="AG73" s="359"/>
      <c r="AH73" s="360"/>
      <c r="AI73" s="361"/>
      <c r="AJ73" s="362"/>
      <c r="AK73" s="363"/>
      <c r="AL73" s="364"/>
      <c r="AM73" s="363"/>
      <c r="AN73" s="365"/>
      <c r="AO73" s="363"/>
      <c r="AP73" s="365"/>
      <c r="AQ73" s="363"/>
      <c r="AR73" s="935"/>
      <c r="AS73" s="936"/>
      <c r="AT73" s="935"/>
      <c r="AU73" s="936"/>
      <c r="AV73" s="365"/>
      <c r="AW73" s="363"/>
      <c r="AX73" s="365"/>
      <c r="AY73" s="363"/>
      <c r="AZ73" s="365"/>
      <c r="BA73" s="366"/>
      <c r="BB73" s="367">
        <f t="shared" si="4"/>
        <v>0</v>
      </c>
      <c r="BC73" s="256"/>
    </row>
    <row r="74" spans="1:60" s="47" customFormat="1" ht="101.25">
      <c r="A74" s="391" t="s">
        <v>8304</v>
      </c>
      <c r="B74" s="368" t="s">
        <v>777</v>
      </c>
      <c r="C74" s="215" t="s">
        <v>8305</v>
      </c>
      <c r="D74" s="350" t="s">
        <v>788</v>
      </c>
      <c r="E74" s="354" t="s">
        <v>1033</v>
      </c>
      <c r="F74" s="353" t="s">
        <v>935</v>
      </c>
      <c r="G74" s="354" t="s">
        <v>1123</v>
      </c>
      <c r="H74" s="353" t="s">
        <v>6367</v>
      </c>
      <c r="I74" s="354" t="s">
        <v>411</v>
      </c>
      <c r="J74" s="355" t="s">
        <v>1291</v>
      </c>
      <c r="K74" s="370">
        <v>6685</v>
      </c>
      <c r="L74" s="357">
        <v>39234</v>
      </c>
      <c r="M74" s="371">
        <v>18997</v>
      </c>
      <c r="N74" s="372">
        <v>39234</v>
      </c>
      <c r="O74" s="419">
        <v>15753</v>
      </c>
      <c r="P74" s="420" t="s">
        <v>1342</v>
      </c>
      <c r="Q74" s="370"/>
      <c r="R74" s="426" t="s">
        <v>1131</v>
      </c>
      <c r="S74" s="948">
        <v>36670</v>
      </c>
      <c r="T74" s="949">
        <v>39234</v>
      </c>
      <c r="U74" s="948">
        <v>25204</v>
      </c>
      <c r="V74" s="950">
        <v>39234</v>
      </c>
      <c r="W74" s="370"/>
      <c r="X74" s="353"/>
      <c r="Y74" s="370"/>
      <c r="Z74" s="353"/>
      <c r="AA74" s="370"/>
      <c r="AB74" s="355"/>
      <c r="AC74" s="358">
        <f t="shared" si="3"/>
        <v>103309</v>
      </c>
      <c r="AD74" s="400" t="s">
        <v>1343</v>
      </c>
      <c r="AE74" s="401" t="s">
        <v>3675</v>
      </c>
      <c r="AF74" s="402" t="s">
        <v>1344</v>
      </c>
      <c r="AG74" s="359"/>
      <c r="AH74" s="360"/>
      <c r="AI74" s="361"/>
      <c r="AJ74" s="362"/>
      <c r="AK74" s="363"/>
      <c r="AL74" s="364"/>
      <c r="AM74" s="363"/>
      <c r="AN74" s="365"/>
      <c r="AO74" s="363"/>
      <c r="AP74" s="365"/>
      <c r="AQ74" s="363"/>
      <c r="AR74" s="935"/>
      <c r="AS74" s="936"/>
      <c r="AT74" s="935"/>
      <c r="AU74" s="936"/>
      <c r="AV74" s="365"/>
      <c r="AW74" s="363"/>
      <c r="AX74" s="365"/>
      <c r="AY74" s="363"/>
      <c r="AZ74" s="365"/>
      <c r="BA74" s="366"/>
      <c r="BB74" s="367">
        <f t="shared" si="4"/>
        <v>0</v>
      </c>
      <c r="BC74" s="256"/>
      <c r="BD74" s="55"/>
      <c r="BE74" s="55"/>
      <c r="BF74" s="55"/>
      <c r="BG74" s="55"/>
      <c r="BH74" s="55"/>
    </row>
    <row r="75" spans="1:60" s="47" customFormat="1" ht="90">
      <c r="A75" s="4381" t="s">
        <v>8322</v>
      </c>
      <c r="B75" s="4382" t="s">
        <v>8826</v>
      </c>
      <c r="C75" s="4383" t="s">
        <v>3890</v>
      </c>
      <c r="D75" s="4384" t="s">
        <v>788</v>
      </c>
      <c r="E75" s="4322" t="s">
        <v>243</v>
      </c>
      <c r="F75" s="4323" t="s">
        <v>667</v>
      </c>
      <c r="G75" s="4322" t="s">
        <v>1273</v>
      </c>
      <c r="H75" s="4323" t="s">
        <v>6357</v>
      </c>
      <c r="I75" s="4322" t="s">
        <v>1100</v>
      </c>
      <c r="J75" s="4385" t="s">
        <v>117</v>
      </c>
      <c r="K75" s="4386"/>
      <c r="L75" s="4387" t="s">
        <v>2269</v>
      </c>
      <c r="M75" s="4388">
        <v>28660</v>
      </c>
      <c r="N75" s="4389">
        <v>38869</v>
      </c>
      <c r="O75" s="4386">
        <v>5186</v>
      </c>
      <c r="P75" s="4390">
        <v>38869</v>
      </c>
      <c r="Q75" s="4386"/>
      <c r="R75" s="4323" t="s">
        <v>2269</v>
      </c>
      <c r="S75" s="4391">
        <v>1946</v>
      </c>
      <c r="T75" s="4392">
        <v>38869</v>
      </c>
      <c r="U75" s="4391">
        <v>3251</v>
      </c>
      <c r="V75" s="4393">
        <v>38869</v>
      </c>
      <c r="W75" s="4386"/>
      <c r="X75" s="4323"/>
      <c r="Y75" s="4386"/>
      <c r="Z75" s="4323"/>
      <c r="AA75" s="4386"/>
      <c r="AB75" s="4385"/>
      <c r="AC75" s="4394">
        <f>K75+M75+O75+Q75+S75+U75+W75+Y75+AA75</f>
        <v>39043</v>
      </c>
      <c r="AD75" s="4395" t="s">
        <v>60</v>
      </c>
      <c r="AE75" s="4396" t="s">
        <v>3891</v>
      </c>
      <c r="AF75" s="4397" t="s">
        <v>8320</v>
      </c>
      <c r="AG75" s="4398"/>
      <c r="AH75" s="4399"/>
      <c r="AI75" s="4400"/>
      <c r="AJ75" s="4401"/>
      <c r="AK75" s="4402"/>
      <c r="AL75" s="4403"/>
      <c r="AM75" s="4402"/>
      <c r="AN75" s="4404"/>
      <c r="AO75" s="4402"/>
      <c r="AP75" s="4404"/>
      <c r="AQ75" s="4402"/>
      <c r="AR75" s="4405"/>
      <c r="AS75" s="4406"/>
      <c r="AT75" s="4405"/>
      <c r="AU75" s="4406"/>
      <c r="AV75" s="4404"/>
      <c r="AW75" s="4402"/>
      <c r="AX75" s="4404"/>
      <c r="AY75" s="4402"/>
      <c r="AZ75" s="4404"/>
      <c r="BA75" s="4407"/>
      <c r="BB75" s="4408">
        <f>AJ75+AL75+AN75+AP75+AR75+AT75+AV75+AX75+AZ75</f>
        <v>0</v>
      </c>
      <c r="BC75" s="256"/>
    </row>
    <row r="76" spans="1:60" s="47" customFormat="1" ht="90">
      <c r="A76" s="1068" t="s">
        <v>2150</v>
      </c>
      <c r="B76" s="699" t="s">
        <v>8827</v>
      </c>
      <c r="C76" s="700" t="s">
        <v>8824</v>
      </c>
      <c r="D76" s="698" t="s">
        <v>788</v>
      </c>
      <c r="E76" s="701" t="s">
        <v>5</v>
      </c>
      <c r="F76" s="702" t="s">
        <v>8</v>
      </c>
      <c r="G76" s="701" t="s">
        <v>1074</v>
      </c>
      <c r="H76" s="702" t="s">
        <v>6359</v>
      </c>
      <c r="I76" s="701" t="s">
        <v>581</v>
      </c>
      <c r="J76" s="703" t="s">
        <v>1998</v>
      </c>
      <c r="K76" s="704">
        <v>1989</v>
      </c>
      <c r="L76" s="705">
        <v>39142</v>
      </c>
      <c r="M76" s="706"/>
      <c r="N76" s="707"/>
      <c r="O76" s="2388">
        <v>2495</v>
      </c>
      <c r="P76" s="2389" t="s">
        <v>2153</v>
      </c>
      <c r="Q76" s="704">
        <v>4346</v>
      </c>
      <c r="R76" s="705">
        <v>39142</v>
      </c>
      <c r="S76" s="960">
        <v>6297</v>
      </c>
      <c r="T76" s="1075">
        <v>39142</v>
      </c>
      <c r="U76" s="960">
        <v>6529</v>
      </c>
      <c r="V76" s="1075">
        <v>39142</v>
      </c>
      <c r="W76" s="704"/>
      <c r="X76" s="702"/>
      <c r="Y76" s="704">
        <v>2058</v>
      </c>
      <c r="Z76" s="705">
        <v>39142</v>
      </c>
      <c r="AA76" s="2388">
        <v>878</v>
      </c>
      <c r="AB76" s="2785" t="s">
        <v>2639</v>
      </c>
      <c r="AC76" s="536">
        <f>K76+M76+O76+Q76+S76+U76+W76+Y76+AA76</f>
        <v>24592</v>
      </c>
      <c r="AD76" s="2786" t="s">
        <v>4045</v>
      </c>
      <c r="AE76" s="2696" t="s">
        <v>8825</v>
      </c>
      <c r="AF76" s="2697" t="s">
        <v>8321</v>
      </c>
      <c r="AG76" s="712"/>
      <c r="AH76" s="713"/>
      <c r="AI76" s="714"/>
      <c r="AJ76" s="715"/>
      <c r="AK76" s="716"/>
      <c r="AL76" s="717"/>
      <c r="AM76" s="716"/>
      <c r="AN76" s="719"/>
      <c r="AO76" s="716"/>
      <c r="AP76" s="719"/>
      <c r="AQ76" s="716"/>
      <c r="AR76" s="990"/>
      <c r="AS76" s="991"/>
      <c r="AT76" s="990"/>
      <c r="AU76" s="991"/>
      <c r="AV76" s="719"/>
      <c r="AW76" s="716"/>
      <c r="AX76" s="719"/>
      <c r="AY76" s="716"/>
      <c r="AZ76" s="719"/>
      <c r="BA76" s="720"/>
      <c r="BB76" s="721">
        <f>AJ76+AL76+AN76+AP76+AR76+AT76+AV76+AX76+AZ76</f>
        <v>0</v>
      </c>
      <c r="BC76" s="256"/>
    </row>
    <row r="77" spans="1:60" ht="112.5">
      <c r="A77" s="350" t="s">
        <v>9484</v>
      </c>
      <c r="B77" s="368" t="s">
        <v>969</v>
      </c>
      <c r="C77" s="1728" t="s">
        <v>3741</v>
      </c>
      <c r="D77" s="350" t="s">
        <v>788</v>
      </c>
      <c r="E77" s="421" t="s">
        <v>3739</v>
      </c>
      <c r="F77" s="353" t="s">
        <v>3740</v>
      </c>
      <c r="G77" s="354" t="s">
        <v>160</v>
      </c>
      <c r="H77" s="353" t="s">
        <v>2407</v>
      </c>
      <c r="I77" s="452" t="s">
        <v>627</v>
      </c>
      <c r="J77" s="353" t="s">
        <v>671</v>
      </c>
      <c r="K77" s="370">
        <v>655</v>
      </c>
      <c r="L77" s="357">
        <v>40422</v>
      </c>
      <c r="M77" s="371">
        <v>43362</v>
      </c>
      <c r="N77" s="372">
        <v>40422</v>
      </c>
      <c r="O77" s="370"/>
      <c r="P77" s="373"/>
      <c r="Q77" s="370"/>
      <c r="R77" s="353" t="s">
        <v>1337</v>
      </c>
      <c r="S77" s="948"/>
      <c r="T77" s="951" t="s">
        <v>1338</v>
      </c>
      <c r="U77" s="948">
        <v>5700</v>
      </c>
      <c r="V77" s="950">
        <v>40422</v>
      </c>
      <c r="W77" s="370"/>
      <c r="X77" s="353"/>
      <c r="Y77" s="370"/>
      <c r="Z77" s="353"/>
      <c r="AA77" s="370"/>
      <c r="AB77" s="355"/>
      <c r="AC77" s="358">
        <f>K77+M77+O77+Q77+S77+U77+W77+Y77+AA77</f>
        <v>49717</v>
      </c>
      <c r="AD77" s="1729" t="s">
        <v>3742</v>
      </c>
      <c r="AE77" s="1730" t="s">
        <v>3743</v>
      </c>
      <c r="AF77" s="214" t="s">
        <v>4925</v>
      </c>
      <c r="AG77" s="377"/>
      <c r="AH77" s="378"/>
      <c r="AI77" s="379"/>
      <c r="AJ77" s="380"/>
      <c r="AK77" s="381"/>
      <c r="AL77" s="382"/>
      <c r="AM77" s="381"/>
      <c r="AN77" s="383"/>
      <c r="AO77" s="381"/>
      <c r="AP77" s="383"/>
      <c r="AQ77" s="381"/>
      <c r="AR77" s="982"/>
      <c r="AS77" s="984"/>
      <c r="AT77" s="982"/>
      <c r="AU77" s="984"/>
      <c r="AV77" s="383"/>
      <c r="AW77" s="381"/>
      <c r="AX77" s="383"/>
      <c r="AY77" s="381"/>
      <c r="AZ77" s="383"/>
      <c r="BA77" s="384"/>
      <c r="BB77" s="367">
        <f>AJ77+AL77+AN77+AP77+AR77+AT77+AV77+AX77+AZ77</f>
        <v>0</v>
      </c>
      <c r="BC77" s="230"/>
    </row>
    <row r="78" spans="1:60" s="47" customFormat="1" ht="67.5">
      <c r="A78" s="418" t="s">
        <v>2164</v>
      </c>
      <c r="B78" s="368" t="s">
        <v>9834</v>
      </c>
      <c r="C78" s="215" t="s">
        <v>5424</v>
      </c>
      <c r="D78" s="350" t="s">
        <v>788</v>
      </c>
      <c r="E78" s="354" t="s">
        <v>1089</v>
      </c>
      <c r="F78" s="353" t="s">
        <v>1241</v>
      </c>
      <c r="G78" s="354" t="s">
        <v>185</v>
      </c>
      <c r="H78" s="353" t="s">
        <v>6362</v>
      </c>
      <c r="I78" s="354" t="s">
        <v>164</v>
      </c>
      <c r="J78" s="355" t="s">
        <v>656</v>
      </c>
      <c r="K78" s="370">
        <v>304</v>
      </c>
      <c r="L78" s="357">
        <v>39234</v>
      </c>
      <c r="M78" s="371">
        <v>0</v>
      </c>
      <c r="N78" s="372" t="s">
        <v>1046</v>
      </c>
      <c r="O78" s="419">
        <v>798</v>
      </c>
      <c r="P78" s="420" t="s">
        <v>2125</v>
      </c>
      <c r="Q78" s="370">
        <v>1352</v>
      </c>
      <c r="R78" s="357">
        <v>39234</v>
      </c>
      <c r="S78" s="948">
        <v>2243</v>
      </c>
      <c r="T78" s="949">
        <v>39234</v>
      </c>
      <c r="U78" s="948">
        <v>1234</v>
      </c>
      <c r="V78" s="950">
        <v>39234</v>
      </c>
      <c r="W78" s="370"/>
      <c r="X78" s="353"/>
      <c r="Y78" s="370"/>
      <c r="Z78" s="353"/>
      <c r="AA78" s="370"/>
      <c r="AB78" s="355"/>
      <c r="AC78" s="358">
        <f>K78+M78+O78+Q78+S78+U78+W78+Y78+AA78</f>
        <v>5931</v>
      </c>
      <c r="AD78" s="385" t="s">
        <v>465</v>
      </c>
      <c r="AE78" s="213" t="s">
        <v>5423</v>
      </c>
      <c r="AF78" s="214" t="s">
        <v>5422</v>
      </c>
      <c r="AG78" s="359"/>
      <c r="AH78" s="360"/>
      <c r="AI78" s="361"/>
      <c r="AJ78" s="362"/>
      <c r="AK78" s="363"/>
      <c r="AL78" s="364"/>
      <c r="AM78" s="363"/>
      <c r="AN78" s="365"/>
      <c r="AO78" s="363"/>
      <c r="AP78" s="365"/>
      <c r="AQ78" s="363"/>
      <c r="AR78" s="935"/>
      <c r="AS78" s="936"/>
      <c r="AT78" s="935"/>
      <c r="AU78" s="936"/>
      <c r="AV78" s="365"/>
      <c r="AW78" s="363"/>
      <c r="AX78" s="365"/>
      <c r="AY78" s="363"/>
      <c r="AZ78" s="365"/>
      <c r="BA78" s="366"/>
      <c r="BB78" s="367">
        <f>AJ78+AL78+AN78+AP78+AR78+AT78+AV78+AX78+AZ78</f>
        <v>0</v>
      </c>
      <c r="BC78" s="256"/>
    </row>
    <row r="79" spans="1:60" s="47" customFormat="1" ht="45">
      <c r="A79" s="5843" t="s">
        <v>10767</v>
      </c>
      <c r="B79" s="368" t="s">
        <v>175</v>
      </c>
      <c r="C79" s="215" t="s">
        <v>784</v>
      </c>
      <c r="D79" s="350" t="s">
        <v>788</v>
      </c>
      <c r="E79" s="354" t="s">
        <v>434</v>
      </c>
      <c r="F79" s="353" t="s">
        <v>907</v>
      </c>
      <c r="G79" s="354" t="s">
        <v>532</v>
      </c>
      <c r="H79" s="353" t="s">
        <v>6344</v>
      </c>
      <c r="I79" s="354" t="s">
        <v>1100</v>
      </c>
      <c r="J79" s="355" t="s">
        <v>1053</v>
      </c>
      <c r="K79" s="370"/>
      <c r="L79" s="357"/>
      <c r="M79" s="371"/>
      <c r="N79" s="372"/>
      <c r="O79" s="370"/>
      <c r="P79" s="373"/>
      <c r="Q79" s="370">
        <v>1103</v>
      </c>
      <c r="R79" s="357">
        <v>39052</v>
      </c>
      <c r="S79" s="370"/>
      <c r="T79" s="2727"/>
      <c r="U79" s="370"/>
      <c r="V79" s="373"/>
      <c r="W79" s="370"/>
      <c r="X79" s="353"/>
      <c r="Y79" s="370"/>
      <c r="Z79" s="353"/>
      <c r="AA79" s="370"/>
      <c r="AB79" s="355"/>
      <c r="AC79" s="358">
        <f>K79+M79+O79+Q79+S79+U79+W79+Y79+AA79</f>
        <v>1103</v>
      </c>
      <c r="AD79" s="423" t="s">
        <v>465</v>
      </c>
      <c r="AE79" s="424">
        <v>39262</v>
      </c>
      <c r="AF79" s="425">
        <v>40723</v>
      </c>
      <c r="AG79" s="359"/>
      <c r="AH79" s="360"/>
      <c r="AI79" s="361"/>
      <c r="AJ79" s="362"/>
      <c r="AK79" s="363"/>
      <c r="AL79" s="364"/>
      <c r="AM79" s="363"/>
      <c r="AN79" s="365"/>
      <c r="AO79" s="363"/>
      <c r="AP79" s="365"/>
      <c r="AQ79" s="363"/>
      <c r="AR79" s="935"/>
      <c r="AS79" s="936"/>
      <c r="AT79" s="935"/>
      <c r="AU79" s="936"/>
      <c r="AV79" s="365"/>
      <c r="AW79" s="363"/>
      <c r="AX79" s="365"/>
      <c r="AY79" s="363"/>
      <c r="AZ79" s="365"/>
      <c r="BA79" s="366"/>
      <c r="BB79" s="367">
        <f>AJ79+AL79+AN79+AP79+AR79+AT79+AV79+AX79+AZ79</f>
        <v>0</v>
      </c>
      <c r="BC79" s="256"/>
    </row>
  </sheetData>
  <sheetProtection sheet="1" objects="1" scenarios="1"/>
  <mergeCells count="21">
    <mergeCell ref="AN5:AO5"/>
    <mergeCell ref="AP5:AQ5"/>
    <mergeCell ref="AR5:AS5"/>
    <mergeCell ref="AT5:AU5"/>
    <mergeCell ref="AV5:AW5"/>
    <mergeCell ref="I4:J5"/>
    <mergeCell ref="AC4:AC6"/>
    <mergeCell ref="BB4:BB6"/>
    <mergeCell ref="K5:L5"/>
    <mergeCell ref="M5:N5"/>
    <mergeCell ref="O5:P5"/>
    <mergeCell ref="Q5:R5"/>
    <mergeCell ref="S5:T5"/>
    <mergeCell ref="U5:V5"/>
    <mergeCell ref="AZ5:BA5"/>
    <mergeCell ref="W5:X5"/>
    <mergeCell ref="Y5:Z5"/>
    <mergeCell ref="AA5:AB5"/>
    <mergeCell ref="AJ5:AK5"/>
    <mergeCell ref="AL5:AM5"/>
    <mergeCell ref="AX5:AY5"/>
  </mergeCells>
  <pageMargins left="0.19685039370078741" right="0.19685039370078741" top="0.27559055118110237" bottom="0.35433070866141736" header="0.15748031496062992" footer="0.15748031496062992"/>
  <pageSetup paperSize="9" scale="80" orientation="landscape"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C82"/>
  <sheetViews>
    <sheetView zoomScale="85" zoomScaleNormal="85" workbookViewId="0">
      <pane ySplit="1" topLeftCell="A80" activePane="bottomLeft" state="frozen"/>
      <selection pane="bottomLeft" activeCell="N98" sqref="N98"/>
    </sheetView>
  </sheetViews>
  <sheetFormatPr defaultColWidth="9.140625" defaultRowHeight="12.75"/>
  <cols>
    <col min="1" max="1" width="10.7109375" style="2583" bestFit="1" customWidth="1"/>
    <col min="2" max="2" width="22.42578125" style="2583" customWidth="1"/>
    <col min="3" max="3" width="4.140625" style="2583" bestFit="1" customWidth="1"/>
    <col min="4" max="4" width="10.5703125" style="2583" customWidth="1"/>
    <col min="5" max="5" width="11" style="2583" bestFit="1" customWidth="1"/>
    <col min="6" max="6" width="12.140625" style="2583" customWidth="1"/>
    <col min="7" max="7" width="11.7109375" style="2583" bestFit="1" customWidth="1"/>
    <col min="8" max="8" width="16.140625" style="2583" bestFit="1" customWidth="1"/>
    <col min="9" max="9" width="21" style="2583" bestFit="1" customWidth="1"/>
    <col min="10" max="10" width="22.85546875" style="2583" customWidth="1"/>
    <col min="11" max="11" width="10.42578125" style="2583" bestFit="1" customWidth="1"/>
    <col min="12" max="12" width="22.140625" style="2583" bestFit="1" customWidth="1"/>
    <col min="13" max="13" width="19.5703125" style="2583" customWidth="1"/>
    <col min="14" max="14" width="14.140625" style="2583" bestFit="1" customWidth="1"/>
    <col min="15" max="15" width="16.85546875" style="2583" customWidth="1"/>
    <col min="16" max="16" width="41.140625" style="2583" customWidth="1"/>
    <col min="17" max="17" width="26.42578125" style="2583" customWidth="1"/>
    <col min="18" max="18" width="36.7109375" style="2583" customWidth="1"/>
    <col min="19" max="19" width="21.42578125" style="2583" customWidth="1"/>
    <col min="20" max="25" width="10.28515625" style="2583" hidden="1" customWidth="1"/>
    <col min="26" max="26" width="10.85546875" style="2583" hidden="1" customWidth="1"/>
    <col min="27" max="28" width="10.7109375" style="2583" hidden="1" customWidth="1"/>
    <col min="29" max="29" width="10.28515625" style="2583" hidden="1" customWidth="1"/>
    <col min="30" max="30" width="6.42578125" style="2583" hidden="1" customWidth="1"/>
    <col min="31" max="32" width="10.28515625" style="2583" hidden="1" customWidth="1"/>
    <col min="33" max="33" width="8.7109375" style="2583" hidden="1" customWidth="1"/>
    <col min="34" max="34" width="10.28515625" style="2583" hidden="1" customWidth="1"/>
    <col min="35" max="35" width="11.7109375" style="2583" bestFit="1" customWidth="1"/>
    <col min="36" max="36" width="10.28515625" style="2583" bestFit="1" customWidth="1"/>
    <col min="37" max="37" width="10.28515625" style="2583" customWidth="1"/>
    <col min="38" max="38" width="11.7109375" style="2583" bestFit="1" customWidth="1"/>
    <col min="39" max="39" width="11.5703125" style="2583" bestFit="1" customWidth="1"/>
    <col min="40" max="40" width="9.85546875" style="2583" bestFit="1" customWidth="1"/>
    <col min="41" max="41" width="8.5703125" style="2583" bestFit="1" customWidth="1"/>
    <col min="42" max="42" width="9" style="2583" bestFit="1" customWidth="1"/>
    <col min="43" max="43" width="9.7109375" style="2583" bestFit="1" customWidth="1"/>
    <col min="44" max="45" width="10.42578125" style="2583" hidden="1" customWidth="1"/>
    <col min="46" max="46" width="12.28515625" style="2583" hidden="1" customWidth="1"/>
    <col min="47" max="47" width="10.42578125" style="2583" hidden="1" customWidth="1"/>
    <col min="48" max="48" width="12.28515625" style="2583" hidden="1" customWidth="1"/>
    <col min="49" max="49" width="10.28515625" style="2583" bestFit="1" customWidth="1"/>
    <col min="50" max="50" width="22.42578125" style="2583" bestFit="1" customWidth="1"/>
    <col min="51" max="51" width="9.140625" style="2583"/>
    <col min="52" max="52" width="14" style="2583" bestFit="1" customWidth="1"/>
    <col min="53" max="16384" width="9.140625" style="2583"/>
  </cols>
  <sheetData>
    <row r="1" spans="1:55" s="694" customFormat="1" ht="51.75" thickBot="1">
      <c r="A1" s="1567" t="s">
        <v>4097</v>
      </c>
      <c r="B1" s="3060" t="s">
        <v>1591</v>
      </c>
      <c r="C1" s="3040" t="s">
        <v>1596</v>
      </c>
      <c r="D1" s="3040" t="s">
        <v>1594</v>
      </c>
      <c r="E1" s="3040" t="s">
        <v>6382</v>
      </c>
      <c r="F1" s="688" t="s">
        <v>3946</v>
      </c>
      <c r="G1" s="3040" t="s">
        <v>1749</v>
      </c>
      <c r="H1" s="3061" t="s">
        <v>1595</v>
      </c>
      <c r="I1" s="3060" t="s">
        <v>1429</v>
      </c>
      <c r="J1" s="3040" t="s">
        <v>1430</v>
      </c>
      <c r="K1" s="3061" t="s">
        <v>1794</v>
      </c>
      <c r="L1" s="3060" t="s">
        <v>1592</v>
      </c>
      <c r="M1" s="3040" t="s">
        <v>1593</v>
      </c>
      <c r="N1" s="3060" t="s">
        <v>236</v>
      </c>
      <c r="O1" s="3061" t="s">
        <v>1623</v>
      </c>
      <c r="P1" s="3062" t="s">
        <v>1431</v>
      </c>
      <c r="Q1" s="3040" t="s">
        <v>1621</v>
      </c>
      <c r="R1" s="3040" t="s">
        <v>1613</v>
      </c>
      <c r="S1" s="3063" t="s">
        <v>1611</v>
      </c>
      <c r="T1" s="3064" t="s">
        <v>1598</v>
      </c>
      <c r="U1" s="3065" t="s">
        <v>1612</v>
      </c>
      <c r="V1" s="3066" t="s">
        <v>1619</v>
      </c>
      <c r="W1" s="3064" t="s">
        <v>1599</v>
      </c>
      <c r="X1" s="3065" t="s">
        <v>1731</v>
      </c>
      <c r="Y1" s="3066" t="s">
        <v>1618</v>
      </c>
      <c r="Z1" s="3064" t="s">
        <v>1600</v>
      </c>
      <c r="AA1" s="3065" t="s">
        <v>1732</v>
      </c>
      <c r="AB1" s="3066" t="s">
        <v>1615</v>
      </c>
      <c r="AC1" s="3067" t="s">
        <v>1601</v>
      </c>
      <c r="AD1" s="3068" t="s">
        <v>1602</v>
      </c>
      <c r="AE1" s="3069" t="s">
        <v>1616</v>
      </c>
      <c r="AF1" s="3067" t="s">
        <v>1603</v>
      </c>
      <c r="AG1" s="3068" t="s">
        <v>1604</v>
      </c>
      <c r="AH1" s="3069" t="s">
        <v>1617</v>
      </c>
      <c r="AI1" s="3064" t="s">
        <v>1726</v>
      </c>
      <c r="AJ1" s="3065" t="s">
        <v>1727</v>
      </c>
      <c r="AK1" s="4176"/>
      <c r="AL1" s="3066" t="s">
        <v>1707</v>
      </c>
      <c r="AM1" s="3070" t="s">
        <v>1706</v>
      </c>
      <c r="AN1" s="3071" t="s">
        <v>495</v>
      </c>
      <c r="AO1" s="3072" t="s">
        <v>1708</v>
      </c>
      <c r="AP1" s="3073" t="s">
        <v>1597</v>
      </c>
      <c r="AQ1" s="3074" t="s">
        <v>1749</v>
      </c>
      <c r="AR1" s="3075" t="s">
        <v>1605</v>
      </c>
      <c r="AS1" s="3076" t="s">
        <v>1606</v>
      </c>
      <c r="AT1" s="3076" t="s">
        <v>1607</v>
      </c>
      <c r="AU1" s="2799" t="s">
        <v>1608</v>
      </c>
      <c r="AV1" s="2799" t="s">
        <v>1609</v>
      </c>
      <c r="AW1" s="3077" t="s">
        <v>1705</v>
      </c>
      <c r="AX1" s="2991" t="s">
        <v>670</v>
      </c>
      <c r="AY1" s="3078"/>
      <c r="AZ1" s="5823">
        <f>SUM(AI:AI)</f>
        <v>9230352</v>
      </c>
      <c r="BA1" s="5824">
        <f>SUM(AW:AW)</f>
        <v>0</v>
      </c>
      <c r="BB1" s="3079"/>
      <c r="BC1" s="3080"/>
    </row>
    <row r="2" spans="1:55" s="267" customFormat="1" ht="89.25">
      <c r="A2" s="1566" t="s">
        <v>3499</v>
      </c>
      <c r="B2" s="3059" t="s">
        <v>5594</v>
      </c>
      <c r="C2" s="828" t="s">
        <v>1432</v>
      </c>
      <c r="D2" s="829">
        <v>41346</v>
      </c>
      <c r="E2" s="829"/>
      <c r="F2" s="1865">
        <v>41244</v>
      </c>
      <c r="G2" s="3123">
        <v>101.9</v>
      </c>
      <c r="H2" s="832" t="s">
        <v>1544</v>
      </c>
      <c r="I2" s="833" t="s">
        <v>1436</v>
      </c>
      <c r="J2" s="834" t="s">
        <v>1437</v>
      </c>
      <c r="K2" s="835">
        <v>42071</v>
      </c>
      <c r="L2" s="833" t="s">
        <v>1808</v>
      </c>
      <c r="M2" s="834" t="s">
        <v>1799</v>
      </c>
      <c r="N2" s="833" t="s">
        <v>1545</v>
      </c>
      <c r="O2" s="832" t="s">
        <v>1677</v>
      </c>
      <c r="P2" s="836"/>
      <c r="Q2" s="834" t="s">
        <v>1442</v>
      </c>
      <c r="R2" s="834" t="s">
        <v>1435</v>
      </c>
      <c r="S2" s="837"/>
      <c r="T2" s="838">
        <v>6697</v>
      </c>
      <c r="U2" s="839">
        <v>0</v>
      </c>
      <c r="V2" s="840">
        <f t="shared" ref="V2:V42" si="0">T2-U2</f>
        <v>6697</v>
      </c>
      <c r="W2" s="838">
        <v>8371</v>
      </c>
      <c r="X2" s="839">
        <v>0</v>
      </c>
      <c r="Y2" s="840">
        <f t="shared" ref="Y2:Y42" si="1">W2-X2</f>
        <v>8371</v>
      </c>
      <c r="Z2" s="838">
        <v>1674</v>
      </c>
      <c r="AA2" s="839">
        <v>0</v>
      </c>
      <c r="AB2" s="840">
        <f t="shared" ref="AB2:AB42" si="2">Z2-AA2</f>
        <v>1674</v>
      </c>
      <c r="AC2" s="823">
        <v>0</v>
      </c>
      <c r="AD2" s="824">
        <v>0</v>
      </c>
      <c r="AE2" s="825">
        <f>AC2-AD2</f>
        <v>0</v>
      </c>
      <c r="AF2" s="823">
        <v>0</v>
      </c>
      <c r="AG2" s="824">
        <v>0</v>
      </c>
      <c r="AH2" s="825">
        <f>AF2-AG2</f>
        <v>0</v>
      </c>
      <c r="AI2" s="841">
        <f t="shared" ref="AI2:AI38" si="3">T2+W2+Z2+AC2+AF2</f>
        <v>16742</v>
      </c>
      <c r="AJ2" s="839">
        <f t="shared" ref="AJ2:AJ38" si="4">U2+X2+AA2+AD2+AG2</f>
        <v>0</v>
      </c>
      <c r="AK2" s="3906"/>
      <c r="AL2" s="869">
        <f t="shared" ref="AL2:AL41" si="5">V2+Y2+AB2+AE2+AH2</f>
        <v>16742</v>
      </c>
      <c r="AM2" s="870"/>
      <c r="AN2" s="842"/>
      <c r="AO2" s="843"/>
      <c r="AP2" s="844"/>
      <c r="AQ2" s="845"/>
      <c r="AR2" s="846">
        <f t="shared" ref="AR2:AR37" si="6">ROUND($AQ2/$G2*V2,0)</f>
        <v>0</v>
      </c>
      <c r="AS2" s="847">
        <f t="shared" ref="AS2:AS37" si="7">ROUND($AQ2/$G2*Y2,0)</f>
        <v>0</v>
      </c>
      <c r="AT2" s="847">
        <f t="shared" ref="AT2:AT37" si="8">ROUND($AQ2/$G2*AB2,0)</f>
        <v>0</v>
      </c>
      <c r="AU2" s="848">
        <f>ROUND($AQ2/$G2*AE2,0)</f>
        <v>0</v>
      </c>
      <c r="AV2" s="848">
        <f>ROUND($AQ2/$G2*AH2,0)</f>
        <v>0</v>
      </c>
      <c r="AW2" s="871">
        <f t="shared" ref="AW2:AW37" si="9">SUM(AR2:AV2)</f>
        <v>0</v>
      </c>
      <c r="AX2" s="834" t="s">
        <v>1728</v>
      </c>
    </row>
    <row r="3" spans="1:55" s="267" customFormat="1" ht="252" customHeight="1">
      <c r="A3" s="1565" t="s">
        <v>3499</v>
      </c>
      <c r="B3" s="2578" t="s">
        <v>5595</v>
      </c>
      <c r="C3" s="321" t="s">
        <v>1440</v>
      </c>
      <c r="D3" s="323">
        <v>41586</v>
      </c>
      <c r="E3" s="3162"/>
      <c r="F3" s="1203">
        <v>40603</v>
      </c>
      <c r="G3" s="1204">
        <v>98.6</v>
      </c>
      <c r="H3" s="332" t="s">
        <v>1497</v>
      </c>
      <c r="I3" s="339" t="s">
        <v>1433</v>
      </c>
      <c r="J3" s="322" t="s">
        <v>1434</v>
      </c>
      <c r="K3" s="340">
        <v>41987</v>
      </c>
      <c r="L3" s="339" t="s">
        <v>1496</v>
      </c>
      <c r="M3" s="322" t="s">
        <v>1843</v>
      </c>
      <c r="N3" s="339" t="s">
        <v>1498</v>
      </c>
      <c r="O3" s="332" t="s">
        <v>3262</v>
      </c>
      <c r="P3" s="345" t="s">
        <v>5596</v>
      </c>
      <c r="Q3" s="322" t="s">
        <v>1648</v>
      </c>
      <c r="R3" s="322" t="s">
        <v>1499</v>
      </c>
      <c r="S3" s="346" t="s">
        <v>1500</v>
      </c>
      <c r="T3" s="347">
        <v>60480</v>
      </c>
      <c r="U3" s="326">
        <v>16697</v>
      </c>
      <c r="V3" s="348">
        <f t="shared" si="0"/>
        <v>43783</v>
      </c>
      <c r="W3" s="347">
        <v>100800</v>
      </c>
      <c r="X3" s="326">
        <v>100800</v>
      </c>
      <c r="Y3" s="348">
        <f t="shared" si="1"/>
        <v>0</v>
      </c>
      <c r="Z3" s="347">
        <v>40320</v>
      </c>
      <c r="AA3" s="326">
        <v>0</v>
      </c>
      <c r="AB3" s="348">
        <f t="shared" si="2"/>
        <v>40320</v>
      </c>
      <c r="AC3" s="820">
        <v>0</v>
      </c>
      <c r="AD3" s="821">
        <v>0</v>
      </c>
      <c r="AE3" s="822">
        <f>AC3-AD3</f>
        <v>0</v>
      </c>
      <c r="AF3" s="820">
        <v>0</v>
      </c>
      <c r="AG3" s="821">
        <v>0</v>
      </c>
      <c r="AH3" s="822">
        <f>AF3-AG3</f>
        <v>0</v>
      </c>
      <c r="AI3" s="482">
        <f t="shared" si="3"/>
        <v>201600</v>
      </c>
      <c r="AJ3" s="326">
        <f t="shared" si="4"/>
        <v>117497</v>
      </c>
      <c r="AK3" s="4177"/>
      <c r="AL3" s="349">
        <f t="shared" si="5"/>
        <v>84103</v>
      </c>
      <c r="AM3" s="335"/>
      <c r="AN3" s="327"/>
      <c r="AO3" s="328"/>
      <c r="AP3" s="329"/>
      <c r="AQ3" s="336"/>
      <c r="AR3" s="333">
        <f t="shared" si="6"/>
        <v>0</v>
      </c>
      <c r="AS3" s="330">
        <f t="shared" si="7"/>
        <v>0</v>
      </c>
      <c r="AT3" s="330">
        <f t="shared" si="8"/>
        <v>0</v>
      </c>
      <c r="AU3" s="849">
        <f>ROUND($AQ3/$G3*AE3,0)</f>
        <v>0</v>
      </c>
      <c r="AV3" s="849">
        <f>ROUND($AQ3/$G3*AH3,0)</f>
        <v>0</v>
      </c>
      <c r="AW3" s="334">
        <f t="shared" si="9"/>
        <v>0</v>
      </c>
      <c r="AX3" s="322" t="s">
        <v>1728</v>
      </c>
    </row>
    <row r="4" spans="1:55" s="267" customFormat="1" ht="216.75">
      <c r="A4" s="1565" t="s">
        <v>3499</v>
      </c>
      <c r="B4" s="338" t="s">
        <v>5597</v>
      </c>
      <c r="C4" s="321" t="s">
        <v>1432</v>
      </c>
      <c r="D4" s="323">
        <v>40758</v>
      </c>
      <c r="E4" s="3162"/>
      <c r="F4" s="1203">
        <v>40695</v>
      </c>
      <c r="G4" s="1204">
        <v>99.6</v>
      </c>
      <c r="H4" s="332" t="s">
        <v>1456</v>
      </c>
      <c r="I4" s="339" t="s">
        <v>1433</v>
      </c>
      <c r="J4" s="322" t="s">
        <v>1434</v>
      </c>
      <c r="K4" s="340">
        <v>42217</v>
      </c>
      <c r="L4" s="339" t="s">
        <v>1802</v>
      </c>
      <c r="M4" s="322" t="s">
        <v>1801</v>
      </c>
      <c r="N4" s="339" t="s">
        <v>1457</v>
      </c>
      <c r="O4" s="332" t="s">
        <v>1627</v>
      </c>
      <c r="P4" s="345" t="s">
        <v>1795</v>
      </c>
      <c r="Q4" s="322" t="s">
        <v>1628</v>
      </c>
      <c r="R4" s="322" t="s">
        <v>1610</v>
      </c>
      <c r="S4" s="346"/>
      <c r="T4" s="347">
        <v>0</v>
      </c>
      <c r="U4" s="326">
        <v>0</v>
      </c>
      <c r="V4" s="348">
        <f t="shared" si="0"/>
        <v>0</v>
      </c>
      <c r="W4" s="347">
        <v>0</v>
      </c>
      <c r="X4" s="326">
        <v>0</v>
      </c>
      <c r="Y4" s="348">
        <f t="shared" si="1"/>
        <v>0</v>
      </c>
      <c r="Z4" s="347">
        <v>0</v>
      </c>
      <c r="AA4" s="326">
        <v>0</v>
      </c>
      <c r="AB4" s="348">
        <f t="shared" si="2"/>
        <v>0</v>
      </c>
      <c r="AC4" s="820">
        <v>10676</v>
      </c>
      <c r="AD4" s="821">
        <v>0</v>
      </c>
      <c r="AE4" s="822">
        <f>AC4-AD4</f>
        <v>10676</v>
      </c>
      <c r="AF4" s="820">
        <v>16014</v>
      </c>
      <c r="AG4" s="821">
        <v>0</v>
      </c>
      <c r="AH4" s="822">
        <f>AF4-AG4</f>
        <v>16014</v>
      </c>
      <c r="AI4" s="482">
        <f t="shared" si="3"/>
        <v>26690</v>
      </c>
      <c r="AJ4" s="326">
        <f t="shared" si="4"/>
        <v>0</v>
      </c>
      <c r="AK4" s="4177"/>
      <c r="AL4" s="349">
        <f t="shared" si="5"/>
        <v>26690</v>
      </c>
      <c r="AM4" s="335"/>
      <c r="AN4" s="327"/>
      <c r="AO4" s="328"/>
      <c r="AP4" s="329"/>
      <c r="AQ4" s="336"/>
      <c r="AR4" s="333">
        <f t="shared" si="6"/>
        <v>0</v>
      </c>
      <c r="AS4" s="330">
        <f t="shared" si="7"/>
        <v>0</v>
      </c>
      <c r="AT4" s="330">
        <f t="shared" si="8"/>
        <v>0</v>
      </c>
      <c r="AU4" s="849">
        <f>ROUND($AQ4/$G4*AE4,0)</f>
        <v>0</v>
      </c>
      <c r="AV4" s="849">
        <f>ROUND($AQ4/$G4*AH4,0)</f>
        <v>0</v>
      </c>
      <c r="AW4" s="334">
        <f t="shared" si="9"/>
        <v>0</v>
      </c>
      <c r="AX4" s="322" t="s">
        <v>1728</v>
      </c>
    </row>
    <row r="5" spans="1:55" s="267" customFormat="1" ht="178.5">
      <c r="A5" s="1565" t="s">
        <v>3499</v>
      </c>
      <c r="B5" s="338" t="s">
        <v>5598</v>
      </c>
      <c r="C5" s="321" t="s">
        <v>1432</v>
      </c>
      <c r="D5" s="323">
        <v>41122</v>
      </c>
      <c r="E5" s="3162"/>
      <c r="F5" s="1203">
        <v>40603</v>
      </c>
      <c r="G5" s="1204">
        <v>98.6</v>
      </c>
      <c r="H5" s="332" t="s">
        <v>1512</v>
      </c>
      <c r="I5" s="339" t="s">
        <v>1433</v>
      </c>
      <c r="J5" s="322" t="s">
        <v>1434</v>
      </c>
      <c r="K5" s="340">
        <v>42577</v>
      </c>
      <c r="L5" s="339" t="s">
        <v>1852</v>
      </c>
      <c r="M5" s="322" t="s">
        <v>1853</v>
      </c>
      <c r="N5" s="339" t="s">
        <v>1132</v>
      </c>
      <c r="O5" s="332" t="s">
        <v>1655</v>
      </c>
      <c r="P5" s="345" t="s">
        <v>1513</v>
      </c>
      <c r="Q5" s="322" t="s">
        <v>1654</v>
      </c>
      <c r="R5" s="322" t="s">
        <v>1514</v>
      </c>
      <c r="S5" s="346"/>
      <c r="T5" s="347">
        <v>9104</v>
      </c>
      <c r="U5" s="326">
        <v>0</v>
      </c>
      <c r="V5" s="348">
        <f t="shared" si="0"/>
        <v>9104</v>
      </c>
      <c r="W5" s="347">
        <v>1607</v>
      </c>
      <c r="X5" s="326">
        <v>0</v>
      </c>
      <c r="Y5" s="348">
        <f t="shared" si="1"/>
        <v>1607</v>
      </c>
      <c r="Z5" s="347">
        <v>0</v>
      </c>
      <c r="AA5" s="326">
        <v>0</v>
      </c>
      <c r="AB5" s="348">
        <f t="shared" si="2"/>
        <v>0</v>
      </c>
      <c r="AC5" s="820">
        <v>756</v>
      </c>
      <c r="AD5" s="821">
        <v>0</v>
      </c>
      <c r="AE5" s="822">
        <f>AC5-AD5</f>
        <v>756</v>
      </c>
      <c r="AF5" s="820">
        <v>1134</v>
      </c>
      <c r="AG5" s="821">
        <v>0</v>
      </c>
      <c r="AH5" s="822">
        <f>AF5-AG5</f>
        <v>1134</v>
      </c>
      <c r="AI5" s="482">
        <f t="shared" si="3"/>
        <v>12601</v>
      </c>
      <c r="AJ5" s="326">
        <f t="shared" si="4"/>
        <v>0</v>
      </c>
      <c r="AK5" s="4177"/>
      <c r="AL5" s="349">
        <f t="shared" si="5"/>
        <v>12601</v>
      </c>
      <c r="AM5" s="335"/>
      <c r="AN5" s="327"/>
      <c r="AO5" s="328"/>
      <c r="AP5" s="329"/>
      <c r="AQ5" s="336"/>
      <c r="AR5" s="333">
        <f t="shared" si="6"/>
        <v>0</v>
      </c>
      <c r="AS5" s="330">
        <f t="shared" si="7"/>
        <v>0</v>
      </c>
      <c r="AT5" s="330">
        <f t="shared" si="8"/>
        <v>0</v>
      </c>
      <c r="AU5" s="849">
        <f>ROUND($AQ5/$G5*AE5,0)</f>
        <v>0</v>
      </c>
      <c r="AV5" s="849">
        <f>ROUND($AQ5/$G5*AH5,0)</f>
        <v>0</v>
      </c>
      <c r="AW5" s="334">
        <f t="shared" si="9"/>
        <v>0</v>
      </c>
      <c r="AX5" s="322" t="s">
        <v>1728</v>
      </c>
    </row>
    <row r="6" spans="1:55" s="267" customFormat="1" ht="89.25">
      <c r="A6" s="1564" t="s">
        <v>3500</v>
      </c>
      <c r="B6" s="1569" t="s">
        <v>5599</v>
      </c>
      <c r="C6" s="1570">
        <v>0</v>
      </c>
      <c r="D6" s="1571">
        <v>42465</v>
      </c>
      <c r="E6" s="3163"/>
      <c r="F6" s="1572">
        <v>41821</v>
      </c>
      <c r="G6" s="1575">
        <v>1</v>
      </c>
      <c r="H6" s="1573" t="s">
        <v>3690</v>
      </c>
      <c r="I6" s="339" t="s">
        <v>1433</v>
      </c>
      <c r="J6" s="322" t="s">
        <v>1434</v>
      </c>
      <c r="K6" s="340">
        <v>43860</v>
      </c>
      <c r="L6" s="1574" t="s">
        <v>3691</v>
      </c>
      <c r="M6" s="322" t="s">
        <v>3692</v>
      </c>
      <c r="N6" s="339" t="s">
        <v>3693</v>
      </c>
      <c r="O6" s="332" t="s">
        <v>3694</v>
      </c>
      <c r="P6" s="345" t="s">
        <v>4008</v>
      </c>
      <c r="Q6" s="322" t="s">
        <v>3695</v>
      </c>
      <c r="R6" s="322" t="s">
        <v>3696</v>
      </c>
      <c r="S6" s="1599" t="s">
        <v>3697</v>
      </c>
      <c r="T6" s="347">
        <v>20849</v>
      </c>
      <c r="U6" s="326">
        <v>20849</v>
      </c>
      <c r="V6" s="348">
        <f t="shared" si="0"/>
        <v>0</v>
      </c>
      <c r="W6" s="347">
        <v>3679</v>
      </c>
      <c r="X6" s="326">
        <v>3679</v>
      </c>
      <c r="Y6" s="348">
        <f t="shared" si="1"/>
        <v>0</v>
      </c>
      <c r="Z6" s="347">
        <v>7420</v>
      </c>
      <c r="AA6" s="326">
        <v>7420</v>
      </c>
      <c r="AB6" s="348">
        <f t="shared" si="2"/>
        <v>0</v>
      </c>
      <c r="AC6" s="820"/>
      <c r="AD6" s="821"/>
      <c r="AE6" s="822"/>
      <c r="AF6" s="820"/>
      <c r="AG6" s="821"/>
      <c r="AH6" s="822"/>
      <c r="AI6" s="482">
        <f t="shared" si="3"/>
        <v>31948</v>
      </c>
      <c r="AJ6" s="326">
        <f t="shared" si="4"/>
        <v>31948</v>
      </c>
      <c r="AK6" s="4177"/>
      <c r="AL6" s="349">
        <f t="shared" si="5"/>
        <v>0</v>
      </c>
      <c r="AM6" s="337"/>
      <c r="AN6" s="327"/>
      <c r="AO6" s="328"/>
      <c r="AP6" s="329"/>
      <c r="AQ6" s="1828"/>
      <c r="AR6" s="333">
        <f t="shared" si="6"/>
        <v>0</v>
      </c>
      <c r="AS6" s="330">
        <f t="shared" si="7"/>
        <v>0</v>
      </c>
      <c r="AT6" s="330">
        <f t="shared" si="8"/>
        <v>0</v>
      </c>
      <c r="AU6" s="849"/>
      <c r="AV6" s="849"/>
      <c r="AW6" s="1773">
        <f t="shared" si="9"/>
        <v>0</v>
      </c>
      <c r="AX6" s="322"/>
    </row>
    <row r="7" spans="1:55" s="267" customFormat="1" ht="38.25">
      <c r="A7" s="1565" t="s">
        <v>3499</v>
      </c>
      <c r="B7" s="338" t="s">
        <v>5600</v>
      </c>
      <c r="C7" s="321" t="s">
        <v>1432</v>
      </c>
      <c r="D7" s="323">
        <v>41059</v>
      </c>
      <c r="E7" s="3162"/>
      <c r="F7" s="1203">
        <v>40969</v>
      </c>
      <c r="G7" s="1594">
        <v>99.9</v>
      </c>
      <c r="H7" s="332" t="s">
        <v>1504</v>
      </c>
      <c r="I7" s="339" t="s">
        <v>1433</v>
      </c>
      <c r="J7" s="322" t="s">
        <v>1434</v>
      </c>
      <c r="K7" s="340">
        <v>42519</v>
      </c>
      <c r="L7" s="339" t="s">
        <v>1503</v>
      </c>
      <c r="M7" s="322" t="s">
        <v>1841</v>
      </c>
      <c r="N7" s="339" t="s">
        <v>1505</v>
      </c>
      <c r="O7" s="332" t="s">
        <v>1651</v>
      </c>
      <c r="P7" s="345"/>
      <c r="Q7" s="322" t="s">
        <v>1650</v>
      </c>
      <c r="R7" s="322" t="s">
        <v>1451</v>
      </c>
      <c r="S7" s="346"/>
      <c r="T7" s="347">
        <v>3510</v>
      </c>
      <c r="U7" s="326">
        <v>0</v>
      </c>
      <c r="V7" s="348">
        <f t="shared" si="0"/>
        <v>3510</v>
      </c>
      <c r="W7" s="347">
        <v>5850</v>
      </c>
      <c r="X7" s="326">
        <v>0</v>
      </c>
      <c r="Y7" s="348">
        <f t="shared" si="1"/>
        <v>5850</v>
      </c>
      <c r="Z7" s="347">
        <v>2340</v>
      </c>
      <c r="AA7" s="326">
        <v>0</v>
      </c>
      <c r="AB7" s="348">
        <f t="shared" si="2"/>
        <v>2340</v>
      </c>
      <c r="AC7" s="820">
        <v>0</v>
      </c>
      <c r="AD7" s="821">
        <v>0</v>
      </c>
      <c r="AE7" s="822">
        <f>AC7-AD7</f>
        <v>0</v>
      </c>
      <c r="AF7" s="820">
        <v>0</v>
      </c>
      <c r="AG7" s="821">
        <v>0</v>
      </c>
      <c r="AH7" s="822">
        <f>AF7-AG7</f>
        <v>0</v>
      </c>
      <c r="AI7" s="482">
        <f t="shared" si="3"/>
        <v>11700</v>
      </c>
      <c r="AJ7" s="326">
        <f t="shared" si="4"/>
        <v>0</v>
      </c>
      <c r="AK7" s="4177"/>
      <c r="AL7" s="349">
        <f t="shared" si="5"/>
        <v>11700</v>
      </c>
      <c r="AM7" s="335"/>
      <c r="AN7" s="327"/>
      <c r="AO7" s="328"/>
      <c r="AP7" s="329"/>
      <c r="AQ7" s="1828"/>
      <c r="AR7" s="333">
        <f t="shared" si="6"/>
        <v>0</v>
      </c>
      <c r="AS7" s="330">
        <f t="shared" si="7"/>
        <v>0</v>
      </c>
      <c r="AT7" s="330">
        <f t="shared" si="8"/>
        <v>0</v>
      </c>
      <c r="AU7" s="849">
        <f>ROUND($AQ7/$G7*AE7,0)</f>
        <v>0</v>
      </c>
      <c r="AV7" s="849">
        <f>ROUND($AQ7/$G7*AH7,0)</f>
        <v>0</v>
      </c>
      <c r="AW7" s="334">
        <f t="shared" si="9"/>
        <v>0</v>
      </c>
      <c r="AX7" s="322" t="s">
        <v>1728</v>
      </c>
    </row>
    <row r="8" spans="1:55" s="267" customFormat="1" ht="89.25">
      <c r="A8" s="1565" t="s">
        <v>3499</v>
      </c>
      <c r="B8" s="1569" t="s">
        <v>5601</v>
      </c>
      <c r="C8" s="1570">
        <v>1</v>
      </c>
      <c r="D8" s="1571" t="s">
        <v>3133</v>
      </c>
      <c r="E8" s="3163"/>
      <c r="F8" s="2417" t="s">
        <v>3134</v>
      </c>
      <c r="G8" s="2579">
        <v>102</v>
      </c>
      <c r="H8" s="1573" t="s">
        <v>5602</v>
      </c>
      <c r="I8" s="339" t="s">
        <v>1433</v>
      </c>
      <c r="J8" s="322" t="s">
        <v>1434</v>
      </c>
      <c r="K8" s="340">
        <v>42854</v>
      </c>
      <c r="L8" s="1574" t="s">
        <v>1831</v>
      </c>
      <c r="M8" s="322" t="s">
        <v>1832</v>
      </c>
      <c r="N8" s="339" t="s">
        <v>1476</v>
      </c>
      <c r="O8" s="332" t="s">
        <v>1679</v>
      </c>
      <c r="P8" s="345"/>
      <c r="Q8" s="322" t="s">
        <v>3135</v>
      </c>
      <c r="R8" s="322" t="s">
        <v>1477</v>
      </c>
      <c r="S8" s="1576" t="s">
        <v>3476</v>
      </c>
      <c r="T8" s="347">
        <v>7962</v>
      </c>
      <c r="U8" s="326">
        <v>7962</v>
      </c>
      <c r="V8" s="348">
        <f t="shared" si="0"/>
        <v>0</v>
      </c>
      <c r="W8" s="347">
        <v>1405</v>
      </c>
      <c r="X8" s="326">
        <v>1405</v>
      </c>
      <c r="Y8" s="348">
        <f t="shared" si="1"/>
        <v>0</v>
      </c>
      <c r="Z8" s="347">
        <v>2586</v>
      </c>
      <c r="AA8" s="326">
        <v>2586</v>
      </c>
      <c r="AB8" s="348">
        <f t="shared" si="2"/>
        <v>0</v>
      </c>
      <c r="AC8" s="820">
        <v>7392</v>
      </c>
      <c r="AD8" s="821">
        <v>0</v>
      </c>
      <c r="AE8" s="822">
        <f>AC8-AD8</f>
        <v>7392</v>
      </c>
      <c r="AF8" s="820">
        <v>11088</v>
      </c>
      <c r="AG8" s="821">
        <v>0</v>
      </c>
      <c r="AH8" s="822">
        <f>AF8-AG8</f>
        <v>11088</v>
      </c>
      <c r="AI8" s="482">
        <f t="shared" si="3"/>
        <v>30433</v>
      </c>
      <c r="AJ8" s="1593">
        <f t="shared" si="4"/>
        <v>11953</v>
      </c>
      <c r="AK8" s="4177"/>
      <c r="AL8" s="349">
        <f t="shared" si="5"/>
        <v>18480</v>
      </c>
      <c r="AM8" s="335"/>
      <c r="AN8" s="327"/>
      <c r="AO8" s="328"/>
      <c r="AP8" s="329"/>
      <c r="AQ8" s="1828"/>
      <c r="AR8" s="333">
        <f t="shared" si="6"/>
        <v>0</v>
      </c>
      <c r="AS8" s="330">
        <f t="shared" si="7"/>
        <v>0</v>
      </c>
      <c r="AT8" s="330">
        <f t="shared" si="8"/>
        <v>0</v>
      </c>
      <c r="AU8" s="849">
        <f>ROUND($AQ8/$G8*AE8,0)</f>
        <v>0</v>
      </c>
      <c r="AV8" s="849">
        <f>ROUND($AQ8/$G8*AH8,0)</f>
        <v>0</v>
      </c>
      <c r="AW8" s="334">
        <f t="shared" si="9"/>
        <v>0</v>
      </c>
      <c r="AX8" s="322" t="s">
        <v>1728</v>
      </c>
    </row>
    <row r="9" spans="1:55" s="267" customFormat="1" ht="76.5">
      <c r="A9" s="1565" t="s">
        <v>3499</v>
      </c>
      <c r="B9" s="1569" t="s">
        <v>5603</v>
      </c>
      <c r="C9" s="1570" t="s">
        <v>1439</v>
      </c>
      <c r="D9" s="1571">
        <v>41443</v>
      </c>
      <c r="E9" s="3163"/>
      <c r="F9" s="2417">
        <v>41334</v>
      </c>
      <c r="G9" s="2579">
        <v>102</v>
      </c>
      <c r="H9" s="1573" t="s">
        <v>5604</v>
      </c>
      <c r="I9" s="339" t="s">
        <v>1433</v>
      </c>
      <c r="J9" s="322" t="s">
        <v>1434</v>
      </c>
      <c r="K9" s="340">
        <v>42854</v>
      </c>
      <c r="L9" s="1574" t="s">
        <v>1831</v>
      </c>
      <c r="M9" s="322" t="s">
        <v>1832</v>
      </c>
      <c r="N9" s="339" t="s">
        <v>1476</v>
      </c>
      <c r="O9" s="332" t="s">
        <v>1679</v>
      </c>
      <c r="P9" s="345"/>
      <c r="Q9" s="322" t="s">
        <v>1680</v>
      </c>
      <c r="R9" s="322" t="s">
        <v>1478</v>
      </c>
      <c r="S9" s="1576" t="s">
        <v>3476</v>
      </c>
      <c r="T9" s="347">
        <v>62829</v>
      </c>
      <c r="U9" s="326">
        <v>62829</v>
      </c>
      <c r="V9" s="348">
        <f t="shared" si="0"/>
        <v>0</v>
      </c>
      <c r="W9" s="347">
        <v>11088</v>
      </c>
      <c r="X9" s="326">
        <v>11088</v>
      </c>
      <c r="Y9" s="348">
        <f t="shared" si="1"/>
        <v>0</v>
      </c>
      <c r="Z9" s="347">
        <v>20172</v>
      </c>
      <c r="AA9" s="326">
        <v>20172</v>
      </c>
      <c r="AB9" s="348">
        <f t="shared" si="2"/>
        <v>0</v>
      </c>
      <c r="AC9" s="820">
        <v>58329</v>
      </c>
      <c r="AD9" s="821">
        <v>0</v>
      </c>
      <c r="AE9" s="822">
        <f>AC9-AD9</f>
        <v>58329</v>
      </c>
      <c r="AF9" s="820">
        <v>87494</v>
      </c>
      <c r="AG9" s="821">
        <v>0</v>
      </c>
      <c r="AH9" s="822">
        <f>AF9-AG9</f>
        <v>87494</v>
      </c>
      <c r="AI9" s="482">
        <f t="shared" si="3"/>
        <v>239912</v>
      </c>
      <c r="AJ9" s="1593">
        <f t="shared" si="4"/>
        <v>94089</v>
      </c>
      <c r="AK9" s="4177"/>
      <c r="AL9" s="349">
        <f t="shared" si="5"/>
        <v>145823</v>
      </c>
      <c r="AM9" s="335"/>
      <c r="AN9" s="327"/>
      <c r="AO9" s="328"/>
      <c r="AP9" s="329"/>
      <c r="AQ9" s="1828"/>
      <c r="AR9" s="333">
        <f t="shared" si="6"/>
        <v>0</v>
      </c>
      <c r="AS9" s="330">
        <f t="shared" si="7"/>
        <v>0</v>
      </c>
      <c r="AT9" s="330">
        <f t="shared" si="8"/>
        <v>0</v>
      </c>
      <c r="AU9" s="849">
        <f>ROUND($AQ9/$G9*AE9,0)</f>
        <v>0</v>
      </c>
      <c r="AV9" s="849">
        <f>ROUND($AQ9/$G9*AH9,0)</f>
        <v>0</v>
      </c>
      <c r="AW9" s="334">
        <f t="shared" si="9"/>
        <v>0</v>
      </c>
      <c r="AX9" s="322" t="s">
        <v>1728</v>
      </c>
    </row>
    <row r="10" spans="1:55" s="267" customFormat="1" ht="51">
      <c r="A10" s="1565" t="s">
        <v>3499</v>
      </c>
      <c r="B10" s="338" t="s">
        <v>5605</v>
      </c>
      <c r="C10" s="321" t="s">
        <v>1432</v>
      </c>
      <c r="D10" s="323">
        <v>40777</v>
      </c>
      <c r="E10" s="3162"/>
      <c r="F10" s="1203">
        <v>40695</v>
      </c>
      <c r="G10" s="1594">
        <v>99.6</v>
      </c>
      <c r="H10" s="332" t="s">
        <v>1458</v>
      </c>
      <c r="I10" s="339" t="s">
        <v>1436</v>
      </c>
      <c r="J10" s="322" t="s">
        <v>1437</v>
      </c>
      <c r="K10" s="340" t="s">
        <v>5606</v>
      </c>
      <c r="L10" s="339" t="s">
        <v>1803</v>
      </c>
      <c r="M10" s="322" t="s">
        <v>1804</v>
      </c>
      <c r="N10" s="339" t="s">
        <v>1459</v>
      </c>
      <c r="O10" s="332" t="s">
        <v>1629</v>
      </c>
      <c r="P10" s="345" t="s">
        <v>3265</v>
      </c>
      <c r="Q10" s="322" t="s">
        <v>1630</v>
      </c>
      <c r="R10" s="322" t="s">
        <v>1442</v>
      </c>
      <c r="S10" s="346"/>
      <c r="T10" s="347">
        <v>4860</v>
      </c>
      <c r="U10" s="326">
        <v>0</v>
      </c>
      <c r="V10" s="348">
        <f t="shared" si="0"/>
        <v>4860</v>
      </c>
      <c r="W10" s="347">
        <v>8100</v>
      </c>
      <c r="X10" s="326">
        <v>0</v>
      </c>
      <c r="Y10" s="348">
        <f t="shared" si="1"/>
        <v>8100</v>
      </c>
      <c r="Z10" s="347">
        <v>3240</v>
      </c>
      <c r="AA10" s="326">
        <v>0</v>
      </c>
      <c r="AB10" s="348">
        <f t="shared" si="2"/>
        <v>3240</v>
      </c>
      <c r="AC10" s="820">
        <v>0</v>
      </c>
      <c r="AD10" s="821">
        <v>0</v>
      </c>
      <c r="AE10" s="822">
        <f>AC10-AD10</f>
        <v>0</v>
      </c>
      <c r="AF10" s="820">
        <v>0</v>
      </c>
      <c r="AG10" s="821">
        <v>0</v>
      </c>
      <c r="AH10" s="822">
        <f>AF10-AG10</f>
        <v>0</v>
      </c>
      <c r="AI10" s="482">
        <f t="shared" si="3"/>
        <v>16200</v>
      </c>
      <c r="AJ10" s="326">
        <f t="shared" si="4"/>
        <v>0</v>
      </c>
      <c r="AK10" s="4177"/>
      <c r="AL10" s="349">
        <f t="shared" si="5"/>
        <v>16200</v>
      </c>
      <c r="AM10" s="335"/>
      <c r="AN10" s="327"/>
      <c r="AO10" s="328"/>
      <c r="AP10" s="329"/>
      <c r="AQ10" s="1828"/>
      <c r="AR10" s="333">
        <f t="shared" si="6"/>
        <v>0</v>
      </c>
      <c r="AS10" s="330">
        <f t="shared" si="7"/>
        <v>0</v>
      </c>
      <c r="AT10" s="330">
        <f t="shared" si="8"/>
        <v>0</v>
      </c>
      <c r="AU10" s="849">
        <f>ROUND($AQ10/$G10*AE10,0)</f>
        <v>0</v>
      </c>
      <c r="AV10" s="849">
        <f>ROUND($AQ10/$G10*AH10,0)</f>
        <v>0</v>
      </c>
      <c r="AW10" s="334">
        <f t="shared" si="9"/>
        <v>0</v>
      </c>
      <c r="AX10" s="322" t="s">
        <v>1728</v>
      </c>
    </row>
    <row r="11" spans="1:55" s="267" customFormat="1" ht="114.75">
      <c r="A11" s="1565" t="s">
        <v>4275</v>
      </c>
      <c r="B11" s="338" t="s">
        <v>5607</v>
      </c>
      <c r="C11" s="695">
        <v>1</v>
      </c>
      <c r="D11" s="323" t="s">
        <v>5608</v>
      </c>
      <c r="E11" s="3162"/>
      <c r="F11" s="1203">
        <v>42430</v>
      </c>
      <c r="G11" s="2175">
        <v>108.5</v>
      </c>
      <c r="H11" s="332" t="s">
        <v>5609</v>
      </c>
      <c r="I11" s="339" t="s">
        <v>3309</v>
      </c>
      <c r="J11" s="322" t="s">
        <v>1434</v>
      </c>
      <c r="K11" s="340">
        <v>43729</v>
      </c>
      <c r="L11" s="339" t="s">
        <v>3310</v>
      </c>
      <c r="M11" s="322" t="s">
        <v>5610</v>
      </c>
      <c r="N11" s="339" t="s">
        <v>1742</v>
      </c>
      <c r="O11" s="332" t="s">
        <v>3367</v>
      </c>
      <c r="P11" s="345" t="s">
        <v>5611</v>
      </c>
      <c r="Q11" s="2580" t="s">
        <v>5612</v>
      </c>
      <c r="R11" s="322" t="s">
        <v>1046</v>
      </c>
      <c r="S11" s="346"/>
      <c r="T11" s="347">
        <v>4950</v>
      </c>
      <c r="U11" s="326">
        <v>0</v>
      </c>
      <c r="V11" s="348">
        <f t="shared" si="0"/>
        <v>4950</v>
      </c>
      <c r="W11" s="347">
        <v>6188</v>
      </c>
      <c r="X11" s="326">
        <v>0</v>
      </c>
      <c r="Y11" s="348">
        <f t="shared" si="1"/>
        <v>6188</v>
      </c>
      <c r="Z11" s="347">
        <v>1238</v>
      </c>
      <c r="AA11" s="326">
        <v>0</v>
      </c>
      <c r="AB11" s="348">
        <f t="shared" si="2"/>
        <v>1238</v>
      </c>
      <c r="AC11" s="820"/>
      <c r="AD11" s="821"/>
      <c r="AE11" s="822"/>
      <c r="AF11" s="820"/>
      <c r="AG11" s="821"/>
      <c r="AH11" s="822"/>
      <c r="AI11" s="482">
        <f t="shared" si="3"/>
        <v>12376</v>
      </c>
      <c r="AJ11" s="326">
        <f t="shared" si="4"/>
        <v>0</v>
      </c>
      <c r="AK11" s="4177"/>
      <c r="AL11" s="349">
        <f t="shared" si="5"/>
        <v>12376</v>
      </c>
      <c r="AM11" s="337"/>
      <c r="AN11" s="327"/>
      <c r="AO11" s="328"/>
      <c r="AP11" s="329"/>
      <c r="AQ11" s="1828"/>
      <c r="AR11" s="333">
        <f t="shared" si="6"/>
        <v>0</v>
      </c>
      <c r="AS11" s="330">
        <f t="shared" si="7"/>
        <v>0</v>
      </c>
      <c r="AT11" s="330">
        <f t="shared" si="8"/>
        <v>0</v>
      </c>
      <c r="AU11" s="849"/>
      <c r="AV11" s="849"/>
      <c r="AW11" s="826">
        <f t="shared" si="9"/>
        <v>0</v>
      </c>
      <c r="AX11" s="322"/>
    </row>
    <row r="12" spans="1:55" s="267" customFormat="1" ht="76.5">
      <c r="A12" s="1565" t="s">
        <v>4275</v>
      </c>
      <c r="B12" s="338" t="s">
        <v>5613</v>
      </c>
      <c r="C12" s="321">
        <v>0</v>
      </c>
      <c r="D12" s="323">
        <v>42808</v>
      </c>
      <c r="E12" s="3162"/>
      <c r="F12" s="1203">
        <v>42705</v>
      </c>
      <c r="G12" s="2175">
        <v>110.2</v>
      </c>
      <c r="H12" s="2273" t="s">
        <v>4421</v>
      </c>
      <c r="I12" s="339" t="s">
        <v>4422</v>
      </c>
      <c r="J12" s="322" t="s">
        <v>4306</v>
      </c>
      <c r="K12" s="340">
        <v>43538</v>
      </c>
      <c r="L12" s="339" t="s">
        <v>4423</v>
      </c>
      <c r="M12" s="322" t="s">
        <v>4425</v>
      </c>
      <c r="N12" s="339" t="s">
        <v>4426</v>
      </c>
      <c r="O12" s="332" t="s">
        <v>4427</v>
      </c>
      <c r="P12" s="667" t="s">
        <v>6399</v>
      </c>
      <c r="Q12" s="2581" t="s">
        <v>5614</v>
      </c>
      <c r="R12" s="322" t="s">
        <v>1046</v>
      </c>
      <c r="S12" s="346"/>
      <c r="T12" s="347">
        <v>2288</v>
      </c>
      <c r="U12" s="326">
        <v>0</v>
      </c>
      <c r="V12" s="348">
        <f t="shared" si="0"/>
        <v>2288</v>
      </c>
      <c r="W12" s="347">
        <v>2860</v>
      </c>
      <c r="X12" s="326">
        <v>0</v>
      </c>
      <c r="Y12" s="348">
        <f t="shared" si="1"/>
        <v>2860</v>
      </c>
      <c r="Z12" s="347">
        <v>817</v>
      </c>
      <c r="AA12" s="326">
        <v>0</v>
      </c>
      <c r="AB12" s="348">
        <f t="shared" si="2"/>
        <v>817</v>
      </c>
      <c r="AC12" s="820"/>
      <c r="AD12" s="821"/>
      <c r="AE12" s="822"/>
      <c r="AF12" s="820"/>
      <c r="AG12" s="821"/>
      <c r="AH12" s="822"/>
      <c r="AI12" s="482">
        <f t="shared" si="3"/>
        <v>5965</v>
      </c>
      <c r="AJ12" s="326">
        <f t="shared" si="4"/>
        <v>0</v>
      </c>
      <c r="AK12" s="4177"/>
      <c r="AL12" s="349">
        <f t="shared" si="5"/>
        <v>5965</v>
      </c>
      <c r="AM12" s="337"/>
      <c r="AN12" s="327"/>
      <c r="AO12" s="328"/>
      <c r="AP12" s="329"/>
      <c r="AQ12" s="1828"/>
      <c r="AR12" s="333">
        <f t="shared" si="6"/>
        <v>0</v>
      </c>
      <c r="AS12" s="330">
        <f t="shared" si="7"/>
        <v>0</v>
      </c>
      <c r="AT12" s="330">
        <f t="shared" si="8"/>
        <v>0</v>
      </c>
      <c r="AU12" s="849"/>
      <c r="AV12" s="849"/>
      <c r="AW12" s="1207">
        <f t="shared" si="9"/>
        <v>0</v>
      </c>
      <c r="AX12" s="322"/>
    </row>
    <row r="13" spans="1:55" s="267" customFormat="1" ht="76.5">
      <c r="A13" s="1565" t="s">
        <v>4275</v>
      </c>
      <c r="B13" s="338" t="s">
        <v>5615</v>
      </c>
      <c r="C13" s="321">
        <v>0</v>
      </c>
      <c r="D13" s="323">
        <v>42866</v>
      </c>
      <c r="E13" s="3162"/>
      <c r="F13" s="1203">
        <v>42430</v>
      </c>
      <c r="G13" s="2175">
        <v>110.5</v>
      </c>
      <c r="H13" s="2273" t="s">
        <v>4577</v>
      </c>
      <c r="I13" s="339" t="s">
        <v>4578</v>
      </c>
      <c r="J13" s="322" t="s">
        <v>4306</v>
      </c>
      <c r="K13" s="340">
        <v>43596</v>
      </c>
      <c r="L13" s="339" t="s">
        <v>4579</v>
      </c>
      <c r="M13" s="322" t="s">
        <v>4580</v>
      </c>
      <c r="N13" s="339" t="s">
        <v>4581</v>
      </c>
      <c r="O13" s="332" t="s">
        <v>4582</v>
      </c>
      <c r="P13" s="345" t="s">
        <v>6400</v>
      </c>
      <c r="Q13" s="322" t="s">
        <v>4332</v>
      </c>
      <c r="R13" s="322" t="s">
        <v>1046</v>
      </c>
      <c r="S13" s="346"/>
      <c r="T13" s="347">
        <v>2294</v>
      </c>
      <c r="U13" s="326">
        <v>0</v>
      </c>
      <c r="V13" s="348">
        <f t="shared" si="0"/>
        <v>2294</v>
      </c>
      <c r="W13" s="347">
        <v>2868</v>
      </c>
      <c r="X13" s="326">
        <v>0</v>
      </c>
      <c r="Y13" s="348">
        <f t="shared" si="1"/>
        <v>2868</v>
      </c>
      <c r="Z13" s="347">
        <v>819</v>
      </c>
      <c r="AA13" s="326">
        <v>0</v>
      </c>
      <c r="AB13" s="348">
        <f t="shared" si="2"/>
        <v>819</v>
      </c>
      <c r="AC13" s="820"/>
      <c r="AD13" s="821"/>
      <c r="AE13" s="822"/>
      <c r="AF13" s="820"/>
      <c r="AG13" s="821"/>
      <c r="AH13" s="822"/>
      <c r="AI13" s="482">
        <f t="shared" si="3"/>
        <v>5981</v>
      </c>
      <c r="AJ13" s="326">
        <f t="shared" si="4"/>
        <v>0</v>
      </c>
      <c r="AK13" s="4177"/>
      <c r="AL13" s="349">
        <f t="shared" si="5"/>
        <v>5981</v>
      </c>
      <c r="AM13" s="337"/>
      <c r="AN13" s="327"/>
      <c r="AO13" s="328"/>
      <c r="AP13" s="329"/>
      <c r="AQ13" s="1828"/>
      <c r="AR13" s="333">
        <f t="shared" si="6"/>
        <v>0</v>
      </c>
      <c r="AS13" s="330">
        <f t="shared" si="7"/>
        <v>0</v>
      </c>
      <c r="AT13" s="330">
        <f t="shared" si="8"/>
        <v>0</v>
      </c>
      <c r="AU13" s="849"/>
      <c r="AV13" s="849"/>
      <c r="AW13" s="1207">
        <f t="shared" si="9"/>
        <v>0</v>
      </c>
      <c r="AX13" s="322"/>
    </row>
    <row r="14" spans="1:55" s="267" customFormat="1" ht="165.75">
      <c r="A14" s="1565" t="s">
        <v>4275</v>
      </c>
      <c r="B14" s="338" t="s">
        <v>7707</v>
      </c>
      <c r="C14" s="695">
        <v>1</v>
      </c>
      <c r="D14" s="323" t="s">
        <v>5616</v>
      </c>
      <c r="E14" s="3162"/>
      <c r="F14" s="1203" t="s">
        <v>5617</v>
      </c>
      <c r="G14" s="2404">
        <v>105.2</v>
      </c>
      <c r="H14" s="332" t="s">
        <v>1467</v>
      </c>
      <c r="I14" s="339" t="s">
        <v>1433</v>
      </c>
      <c r="J14" s="322" t="s">
        <v>1434</v>
      </c>
      <c r="K14" s="340">
        <v>42693</v>
      </c>
      <c r="L14" s="339" t="s">
        <v>1466</v>
      </c>
      <c r="M14" s="322" t="s">
        <v>1837</v>
      </c>
      <c r="N14" s="339" t="s">
        <v>1468</v>
      </c>
      <c r="O14" s="332" t="s">
        <v>1668</v>
      </c>
      <c r="P14" s="345" t="s">
        <v>2285</v>
      </c>
      <c r="Q14" s="322" t="s">
        <v>1631</v>
      </c>
      <c r="R14" s="322" t="s">
        <v>5618</v>
      </c>
      <c r="S14" s="346"/>
      <c r="T14" s="347">
        <v>3182</v>
      </c>
      <c r="U14" s="326">
        <v>0</v>
      </c>
      <c r="V14" s="348">
        <f t="shared" si="0"/>
        <v>3182</v>
      </c>
      <c r="W14" s="347">
        <v>5303</v>
      </c>
      <c r="X14" s="326">
        <v>0</v>
      </c>
      <c r="Y14" s="348">
        <f t="shared" si="1"/>
        <v>5303</v>
      </c>
      <c r="Z14" s="347">
        <v>2121</v>
      </c>
      <c r="AA14" s="326">
        <v>0</v>
      </c>
      <c r="AB14" s="348">
        <f t="shared" si="2"/>
        <v>2121</v>
      </c>
      <c r="AC14" s="820">
        <v>0</v>
      </c>
      <c r="AD14" s="821">
        <v>0</v>
      </c>
      <c r="AE14" s="822">
        <f t="shared" ref="AE14:AE20" si="10">AC14-AD14</f>
        <v>0</v>
      </c>
      <c r="AF14" s="820">
        <v>0</v>
      </c>
      <c r="AG14" s="821">
        <v>0</v>
      </c>
      <c r="AH14" s="822">
        <f t="shared" ref="AH14:AH20" si="11">AF14-AG14</f>
        <v>0</v>
      </c>
      <c r="AI14" s="482">
        <f t="shared" si="3"/>
        <v>10606</v>
      </c>
      <c r="AJ14" s="326">
        <f t="shared" si="4"/>
        <v>0</v>
      </c>
      <c r="AK14" s="4177"/>
      <c r="AL14" s="349">
        <f t="shared" si="5"/>
        <v>10606</v>
      </c>
      <c r="AM14" s="335"/>
      <c r="AN14" s="327"/>
      <c r="AO14" s="328"/>
      <c r="AP14" s="329"/>
      <c r="AQ14" s="2329"/>
      <c r="AR14" s="333">
        <f t="shared" si="6"/>
        <v>0</v>
      </c>
      <c r="AS14" s="330">
        <f t="shared" si="7"/>
        <v>0</v>
      </c>
      <c r="AT14" s="330">
        <f t="shared" si="8"/>
        <v>0</v>
      </c>
      <c r="AU14" s="849">
        <f t="shared" ref="AU14:AU20" si="12">ROUND($AQ14/$G14*AE14,0)</f>
        <v>0</v>
      </c>
      <c r="AV14" s="849">
        <f t="shared" ref="AV14:AV20" si="13">ROUND($AQ14/$G14*AH14,0)</f>
        <v>0</v>
      </c>
      <c r="AW14" s="334">
        <f t="shared" si="9"/>
        <v>0</v>
      </c>
      <c r="AX14" s="322" t="s">
        <v>5619</v>
      </c>
    </row>
    <row r="15" spans="1:55" s="267" customFormat="1" ht="51">
      <c r="A15" s="1565" t="s">
        <v>4275</v>
      </c>
      <c r="B15" s="338">
        <v>316</v>
      </c>
      <c r="C15" s="321" t="s">
        <v>1432</v>
      </c>
      <c r="D15" s="323">
        <v>41226</v>
      </c>
      <c r="E15" s="3162"/>
      <c r="F15" s="1203">
        <v>41153</v>
      </c>
      <c r="G15" s="2404">
        <v>101.6</v>
      </c>
      <c r="H15" s="332" t="s">
        <v>1531</v>
      </c>
      <c r="I15" s="339" t="s">
        <v>1436</v>
      </c>
      <c r="J15" s="322" t="s">
        <v>1437</v>
      </c>
      <c r="K15" s="340">
        <v>42681</v>
      </c>
      <c r="L15" s="339" t="s">
        <v>1856</v>
      </c>
      <c r="M15" s="322" t="s">
        <v>1799</v>
      </c>
      <c r="N15" s="339" t="s">
        <v>1532</v>
      </c>
      <c r="O15" s="332" t="s">
        <v>1667</v>
      </c>
      <c r="P15" s="345"/>
      <c r="Q15" s="322" t="s">
        <v>1666</v>
      </c>
      <c r="R15" s="322" t="s">
        <v>1443</v>
      </c>
      <c r="S15" s="346"/>
      <c r="T15" s="347">
        <v>5230</v>
      </c>
      <c r="U15" s="326">
        <v>0</v>
      </c>
      <c r="V15" s="348">
        <f t="shared" si="0"/>
        <v>5230</v>
      </c>
      <c r="W15" s="347">
        <v>8717</v>
      </c>
      <c r="X15" s="326">
        <v>0</v>
      </c>
      <c r="Y15" s="348">
        <f t="shared" si="1"/>
        <v>8717</v>
      </c>
      <c r="Z15" s="347">
        <v>3487</v>
      </c>
      <c r="AA15" s="326">
        <v>0</v>
      </c>
      <c r="AB15" s="348">
        <f t="shared" si="2"/>
        <v>3487</v>
      </c>
      <c r="AC15" s="820">
        <v>4155</v>
      </c>
      <c r="AD15" s="821">
        <v>0</v>
      </c>
      <c r="AE15" s="822">
        <f t="shared" si="10"/>
        <v>4155</v>
      </c>
      <c r="AF15" s="820">
        <v>6232</v>
      </c>
      <c r="AG15" s="821">
        <v>0</v>
      </c>
      <c r="AH15" s="822">
        <f t="shared" si="11"/>
        <v>6232</v>
      </c>
      <c r="AI15" s="482">
        <f t="shared" si="3"/>
        <v>27821</v>
      </c>
      <c r="AJ15" s="326">
        <f t="shared" si="4"/>
        <v>0</v>
      </c>
      <c r="AK15" s="4177"/>
      <c r="AL15" s="349">
        <f t="shared" si="5"/>
        <v>27821</v>
      </c>
      <c r="AM15" s="335"/>
      <c r="AN15" s="327"/>
      <c r="AO15" s="328"/>
      <c r="AP15" s="329"/>
      <c r="AQ15" s="2329"/>
      <c r="AR15" s="333">
        <f t="shared" si="6"/>
        <v>0</v>
      </c>
      <c r="AS15" s="330">
        <f t="shared" si="7"/>
        <v>0</v>
      </c>
      <c r="AT15" s="330">
        <f t="shared" si="8"/>
        <v>0</v>
      </c>
      <c r="AU15" s="849">
        <f t="shared" si="12"/>
        <v>0</v>
      </c>
      <c r="AV15" s="849">
        <f t="shared" si="13"/>
        <v>0</v>
      </c>
      <c r="AW15" s="334">
        <f t="shared" si="9"/>
        <v>0</v>
      </c>
      <c r="AX15" s="322" t="s">
        <v>1728</v>
      </c>
    </row>
    <row r="16" spans="1:55" s="267" customFormat="1" ht="63.75">
      <c r="A16" s="1565" t="s">
        <v>4275</v>
      </c>
      <c r="B16" s="338">
        <v>461</v>
      </c>
      <c r="C16" s="321" t="s">
        <v>1432</v>
      </c>
      <c r="D16" s="323">
        <v>41466</v>
      </c>
      <c r="E16" s="3162"/>
      <c r="F16" s="1203">
        <v>41334</v>
      </c>
      <c r="G16" s="2404">
        <v>102</v>
      </c>
      <c r="H16" s="332" t="s">
        <v>1557</v>
      </c>
      <c r="I16" s="339" t="s">
        <v>1436</v>
      </c>
      <c r="J16" s="322" t="s">
        <v>1437</v>
      </c>
      <c r="K16" s="340">
        <v>42921</v>
      </c>
      <c r="L16" s="339" t="s">
        <v>1857</v>
      </c>
      <c r="M16" s="322" t="s">
        <v>1858</v>
      </c>
      <c r="N16" s="339" t="s">
        <v>1558</v>
      </c>
      <c r="O16" s="332" t="s">
        <v>1691</v>
      </c>
      <c r="P16" s="345"/>
      <c r="Q16" s="322" t="s">
        <v>1442</v>
      </c>
      <c r="R16" s="322" t="s">
        <v>1435</v>
      </c>
      <c r="S16" s="346"/>
      <c r="T16" s="347">
        <v>7001</v>
      </c>
      <c r="U16" s="326">
        <v>0</v>
      </c>
      <c r="V16" s="348">
        <f t="shared" si="0"/>
        <v>7001</v>
      </c>
      <c r="W16" s="347">
        <v>8752</v>
      </c>
      <c r="X16" s="326">
        <v>0</v>
      </c>
      <c r="Y16" s="348">
        <f t="shared" si="1"/>
        <v>8752</v>
      </c>
      <c r="Z16" s="347">
        <v>1750</v>
      </c>
      <c r="AA16" s="326">
        <v>0</v>
      </c>
      <c r="AB16" s="348">
        <f t="shared" si="2"/>
        <v>1750</v>
      </c>
      <c r="AC16" s="820">
        <v>4171</v>
      </c>
      <c r="AD16" s="821">
        <v>0</v>
      </c>
      <c r="AE16" s="822">
        <f t="shared" si="10"/>
        <v>4171</v>
      </c>
      <c r="AF16" s="820">
        <v>6257</v>
      </c>
      <c r="AG16" s="821">
        <v>0</v>
      </c>
      <c r="AH16" s="822">
        <f t="shared" si="11"/>
        <v>6257</v>
      </c>
      <c r="AI16" s="482">
        <f t="shared" si="3"/>
        <v>27931</v>
      </c>
      <c r="AJ16" s="326">
        <f t="shared" si="4"/>
        <v>0</v>
      </c>
      <c r="AK16" s="4177"/>
      <c r="AL16" s="349">
        <f t="shared" si="5"/>
        <v>27931</v>
      </c>
      <c r="AM16" s="335"/>
      <c r="AN16" s="327"/>
      <c r="AO16" s="328"/>
      <c r="AP16" s="329"/>
      <c r="AQ16" s="2329"/>
      <c r="AR16" s="333">
        <f t="shared" si="6"/>
        <v>0</v>
      </c>
      <c r="AS16" s="330">
        <f t="shared" si="7"/>
        <v>0</v>
      </c>
      <c r="AT16" s="330">
        <f t="shared" si="8"/>
        <v>0</v>
      </c>
      <c r="AU16" s="849">
        <f t="shared" si="12"/>
        <v>0</v>
      </c>
      <c r="AV16" s="849">
        <f t="shared" si="13"/>
        <v>0</v>
      </c>
      <c r="AW16" s="334">
        <f t="shared" si="9"/>
        <v>0</v>
      </c>
      <c r="AX16" s="322" t="s">
        <v>1728</v>
      </c>
    </row>
    <row r="17" spans="1:50" s="267" customFormat="1" ht="66" customHeight="1">
      <c r="A17" s="1564" t="s">
        <v>4276</v>
      </c>
      <c r="B17" s="1569" t="s">
        <v>5620</v>
      </c>
      <c r="C17" s="1570" t="s">
        <v>1439</v>
      </c>
      <c r="D17" s="1571">
        <v>41309</v>
      </c>
      <c r="E17" s="3163"/>
      <c r="F17" s="1572">
        <v>41244</v>
      </c>
      <c r="G17" s="2330">
        <v>1</v>
      </c>
      <c r="H17" s="1573" t="s">
        <v>4368</v>
      </c>
      <c r="I17" s="339" t="s">
        <v>1433</v>
      </c>
      <c r="J17" s="322" t="s">
        <v>1434</v>
      </c>
      <c r="K17" s="340">
        <v>42770</v>
      </c>
      <c r="L17" s="1574" t="s">
        <v>1813</v>
      </c>
      <c r="M17" s="322" t="s">
        <v>1810</v>
      </c>
      <c r="N17" s="339" t="s">
        <v>1506</v>
      </c>
      <c r="O17" s="332" t="s">
        <v>3478</v>
      </c>
      <c r="P17" s="345" t="s">
        <v>5621</v>
      </c>
      <c r="Q17" s="322" t="s">
        <v>2848</v>
      </c>
      <c r="R17" s="322" t="s">
        <v>3511</v>
      </c>
      <c r="S17" s="1576" t="s">
        <v>3476</v>
      </c>
      <c r="T17" s="347">
        <v>37199</v>
      </c>
      <c r="U17" s="326">
        <v>37199</v>
      </c>
      <c r="V17" s="348">
        <f t="shared" si="0"/>
        <v>0</v>
      </c>
      <c r="W17" s="347">
        <v>6564</v>
      </c>
      <c r="X17" s="326">
        <v>6564</v>
      </c>
      <c r="Y17" s="348">
        <f t="shared" si="1"/>
        <v>0</v>
      </c>
      <c r="Z17" s="347">
        <v>30000</v>
      </c>
      <c r="AA17" s="326">
        <v>30000</v>
      </c>
      <c r="AB17" s="348">
        <f t="shared" si="2"/>
        <v>0</v>
      </c>
      <c r="AC17" s="820">
        <v>9847</v>
      </c>
      <c r="AD17" s="821">
        <v>0</v>
      </c>
      <c r="AE17" s="822">
        <f t="shared" si="10"/>
        <v>9847</v>
      </c>
      <c r="AF17" s="820">
        <v>14770</v>
      </c>
      <c r="AG17" s="821">
        <v>0</v>
      </c>
      <c r="AH17" s="822">
        <f t="shared" si="11"/>
        <v>14770</v>
      </c>
      <c r="AI17" s="482">
        <f t="shared" si="3"/>
        <v>98380</v>
      </c>
      <c r="AJ17" s="1593">
        <f t="shared" si="4"/>
        <v>73763</v>
      </c>
      <c r="AK17" s="4177"/>
      <c r="AL17" s="349">
        <f t="shared" si="5"/>
        <v>24617</v>
      </c>
      <c r="AM17" s="335"/>
      <c r="AN17" s="327"/>
      <c r="AO17" s="328"/>
      <c r="AP17" s="329"/>
      <c r="AQ17" s="2329"/>
      <c r="AR17" s="333">
        <f t="shared" si="6"/>
        <v>0</v>
      </c>
      <c r="AS17" s="330">
        <f t="shared" si="7"/>
        <v>0</v>
      </c>
      <c r="AT17" s="330">
        <f t="shared" si="8"/>
        <v>0</v>
      </c>
      <c r="AU17" s="849">
        <f t="shared" si="12"/>
        <v>0</v>
      </c>
      <c r="AV17" s="849">
        <f t="shared" si="13"/>
        <v>0</v>
      </c>
      <c r="AW17" s="334">
        <f t="shared" si="9"/>
        <v>0</v>
      </c>
      <c r="AX17" s="322" t="s">
        <v>2012</v>
      </c>
    </row>
    <row r="18" spans="1:50" s="267" customFormat="1" ht="38.25">
      <c r="A18" s="1565" t="s">
        <v>4275</v>
      </c>
      <c r="B18" s="338">
        <v>144</v>
      </c>
      <c r="C18" s="321" t="s">
        <v>1432</v>
      </c>
      <c r="D18" s="323">
        <v>40955</v>
      </c>
      <c r="E18" s="3162"/>
      <c r="F18" s="1203">
        <v>40878</v>
      </c>
      <c r="G18" s="2404">
        <v>99.7</v>
      </c>
      <c r="H18" s="332" t="s">
        <v>1485</v>
      </c>
      <c r="I18" s="339" t="s">
        <v>1433</v>
      </c>
      <c r="J18" s="322" t="s">
        <v>1434</v>
      </c>
      <c r="K18" s="340">
        <v>42414</v>
      </c>
      <c r="L18" s="339" t="s">
        <v>1484</v>
      </c>
      <c r="M18" s="322" t="s">
        <v>1846</v>
      </c>
      <c r="N18" s="339" t="s">
        <v>1486</v>
      </c>
      <c r="O18" s="332" t="s">
        <v>1641</v>
      </c>
      <c r="P18" s="345"/>
      <c r="Q18" s="322" t="s">
        <v>1642</v>
      </c>
      <c r="R18" s="322" t="s">
        <v>1446</v>
      </c>
      <c r="S18" s="346"/>
      <c r="T18" s="347">
        <v>3510</v>
      </c>
      <c r="U18" s="326">
        <v>0</v>
      </c>
      <c r="V18" s="348">
        <f t="shared" si="0"/>
        <v>3510</v>
      </c>
      <c r="W18" s="347">
        <v>5850</v>
      </c>
      <c r="X18" s="326">
        <v>0</v>
      </c>
      <c r="Y18" s="348">
        <f t="shared" si="1"/>
        <v>5850</v>
      </c>
      <c r="Z18" s="347">
        <v>2340</v>
      </c>
      <c r="AA18" s="326">
        <v>0</v>
      </c>
      <c r="AB18" s="348">
        <f t="shared" si="2"/>
        <v>2340</v>
      </c>
      <c r="AC18" s="820">
        <v>0</v>
      </c>
      <c r="AD18" s="821">
        <v>0</v>
      </c>
      <c r="AE18" s="822">
        <f t="shared" si="10"/>
        <v>0</v>
      </c>
      <c r="AF18" s="820">
        <v>0</v>
      </c>
      <c r="AG18" s="821">
        <v>0</v>
      </c>
      <c r="AH18" s="822">
        <f t="shared" si="11"/>
        <v>0</v>
      </c>
      <c r="AI18" s="482">
        <f t="shared" si="3"/>
        <v>11700</v>
      </c>
      <c r="AJ18" s="326">
        <f t="shared" si="4"/>
        <v>0</v>
      </c>
      <c r="AK18" s="4177"/>
      <c r="AL18" s="349">
        <f t="shared" si="5"/>
        <v>11700</v>
      </c>
      <c r="AM18" s="335"/>
      <c r="AN18" s="327"/>
      <c r="AO18" s="328"/>
      <c r="AP18" s="329"/>
      <c r="AQ18" s="2329"/>
      <c r="AR18" s="333">
        <f t="shared" si="6"/>
        <v>0</v>
      </c>
      <c r="AS18" s="330">
        <f t="shared" si="7"/>
        <v>0</v>
      </c>
      <c r="AT18" s="330">
        <f t="shared" si="8"/>
        <v>0</v>
      </c>
      <c r="AU18" s="849">
        <f t="shared" si="12"/>
        <v>0</v>
      </c>
      <c r="AV18" s="849">
        <f t="shared" si="13"/>
        <v>0</v>
      </c>
      <c r="AW18" s="334">
        <f t="shared" si="9"/>
        <v>0</v>
      </c>
      <c r="AX18" s="322" t="s">
        <v>1728</v>
      </c>
    </row>
    <row r="19" spans="1:50" s="267" customFormat="1" ht="114.75">
      <c r="A19" s="1565" t="s">
        <v>4275</v>
      </c>
      <c r="B19" s="338" t="s">
        <v>5622</v>
      </c>
      <c r="C19" s="321" t="s">
        <v>1432</v>
      </c>
      <c r="D19" s="323">
        <v>40897</v>
      </c>
      <c r="E19" s="3162"/>
      <c r="F19" s="1203">
        <v>40787</v>
      </c>
      <c r="G19" s="2404">
        <v>99.6</v>
      </c>
      <c r="H19" s="332" t="s">
        <v>5623</v>
      </c>
      <c r="I19" s="339" t="s">
        <v>1433</v>
      </c>
      <c r="J19" s="322" t="s">
        <v>1434</v>
      </c>
      <c r="K19" s="340" t="s">
        <v>5624</v>
      </c>
      <c r="L19" s="1574" t="s">
        <v>1847</v>
      </c>
      <c r="M19" s="322" t="s">
        <v>1848</v>
      </c>
      <c r="N19" s="339" t="s">
        <v>1481</v>
      </c>
      <c r="O19" s="332" t="s">
        <v>1639</v>
      </c>
      <c r="P19" s="345" t="s">
        <v>3202</v>
      </c>
      <c r="Q19" s="322" t="s">
        <v>1638</v>
      </c>
      <c r="R19" s="322" t="s">
        <v>1482</v>
      </c>
      <c r="S19" s="1577" t="s">
        <v>3542</v>
      </c>
      <c r="T19" s="347">
        <v>805551</v>
      </c>
      <c r="U19" s="326">
        <v>664953</v>
      </c>
      <c r="V19" s="348">
        <f t="shared" si="0"/>
        <v>140598</v>
      </c>
      <c r="W19" s="347">
        <v>373107</v>
      </c>
      <c r="X19" s="326">
        <v>117345</v>
      </c>
      <c r="Y19" s="348">
        <f t="shared" si="1"/>
        <v>255762</v>
      </c>
      <c r="Z19" s="347">
        <f>103320+73990</f>
        <v>177310</v>
      </c>
      <c r="AA19" s="326">
        <v>73990</v>
      </c>
      <c r="AB19" s="348">
        <f t="shared" si="2"/>
        <v>103320</v>
      </c>
      <c r="AC19" s="820">
        <v>292945</v>
      </c>
      <c r="AD19" s="821">
        <v>0</v>
      </c>
      <c r="AE19" s="822">
        <f t="shared" si="10"/>
        <v>292945</v>
      </c>
      <c r="AF19" s="820">
        <v>439417</v>
      </c>
      <c r="AG19" s="821">
        <v>0</v>
      </c>
      <c r="AH19" s="822">
        <f t="shared" si="11"/>
        <v>439417</v>
      </c>
      <c r="AI19" s="482">
        <f t="shared" si="3"/>
        <v>2088330</v>
      </c>
      <c r="AJ19" s="1593">
        <f t="shared" si="4"/>
        <v>856288</v>
      </c>
      <c r="AK19" s="4177"/>
      <c r="AL19" s="349">
        <f t="shared" si="5"/>
        <v>1232042</v>
      </c>
      <c r="AM19" s="335"/>
      <c r="AN19" s="327"/>
      <c r="AO19" s="328"/>
      <c r="AP19" s="329"/>
      <c r="AQ19" s="2329"/>
      <c r="AR19" s="333">
        <f t="shared" si="6"/>
        <v>0</v>
      </c>
      <c r="AS19" s="330">
        <f t="shared" si="7"/>
        <v>0</v>
      </c>
      <c r="AT19" s="330">
        <f t="shared" si="8"/>
        <v>0</v>
      </c>
      <c r="AU19" s="849">
        <f t="shared" si="12"/>
        <v>0</v>
      </c>
      <c r="AV19" s="849">
        <f t="shared" si="13"/>
        <v>0</v>
      </c>
      <c r="AW19" s="334">
        <f t="shared" si="9"/>
        <v>0</v>
      </c>
      <c r="AX19" s="322" t="s">
        <v>1728</v>
      </c>
    </row>
    <row r="20" spans="1:50" s="267" customFormat="1" ht="63.75">
      <c r="A20" s="1565" t="s">
        <v>4275</v>
      </c>
      <c r="B20" s="338" t="s">
        <v>5625</v>
      </c>
      <c r="C20" s="321" t="s">
        <v>1432</v>
      </c>
      <c r="D20" s="323">
        <v>40897</v>
      </c>
      <c r="E20" s="3162"/>
      <c r="F20" s="1203">
        <v>40787</v>
      </c>
      <c r="G20" s="2404">
        <v>99.6</v>
      </c>
      <c r="H20" s="332" t="s">
        <v>5626</v>
      </c>
      <c r="I20" s="339" t="s">
        <v>1433</v>
      </c>
      <c r="J20" s="322" t="s">
        <v>1434</v>
      </c>
      <c r="K20" s="340" t="s">
        <v>5624</v>
      </c>
      <c r="L20" s="339" t="s">
        <v>1847</v>
      </c>
      <c r="M20" s="322" t="s">
        <v>1848</v>
      </c>
      <c r="N20" s="339" t="s">
        <v>1481</v>
      </c>
      <c r="O20" s="332" t="s">
        <v>1639</v>
      </c>
      <c r="P20" s="345" t="s">
        <v>3203</v>
      </c>
      <c r="Q20" s="322" t="s">
        <v>1640</v>
      </c>
      <c r="R20" s="322" t="s">
        <v>1483</v>
      </c>
      <c r="S20" s="346"/>
      <c r="T20" s="347">
        <v>247230</v>
      </c>
      <c r="U20" s="326">
        <v>0</v>
      </c>
      <c r="V20" s="348">
        <f t="shared" si="0"/>
        <v>247230</v>
      </c>
      <c r="W20" s="347">
        <v>412050</v>
      </c>
      <c r="X20" s="326">
        <v>0</v>
      </c>
      <c r="Y20" s="348">
        <f t="shared" si="1"/>
        <v>412050</v>
      </c>
      <c r="Z20" s="347">
        <v>164820</v>
      </c>
      <c r="AA20" s="326">
        <v>0</v>
      </c>
      <c r="AB20" s="348">
        <f t="shared" si="2"/>
        <v>164820</v>
      </c>
      <c r="AC20" s="820">
        <v>192960</v>
      </c>
      <c r="AD20" s="821">
        <v>0</v>
      </c>
      <c r="AE20" s="822">
        <f t="shared" si="10"/>
        <v>192960</v>
      </c>
      <c r="AF20" s="820">
        <v>289440</v>
      </c>
      <c r="AG20" s="821">
        <v>0</v>
      </c>
      <c r="AH20" s="822">
        <f t="shared" si="11"/>
        <v>289440</v>
      </c>
      <c r="AI20" s="482">
        <f t="shared" si="3"/>
        <v>1306500</v>
      </c>
      <c r="AJ20" s="326">
        <f t="shared" si="4"/>
        <v>0</v>
      </c>
      <c r="AK20" s="4177"/>
      <c r="AL20" s="349">
        <f t="shared" si="5"/>
        <v>1306500</v>
      </c>
      <c r="AM20" s="335"/>
      <c r="AN20" s="327"/>
      <c r="AO20" s="328"/>
      <c r="AP20" s="329"/>
      <c r="AQ20" s="2329"/>
      <c r="AR20" s="333">
        <f t="shared" si="6"/>
        <v>0</v>
      </c>
      <c r="AS20" s="330">
        <f t="shared" si="7"/>
        <v>0</v>
      </c>
      <c r="AT20" s="330">
        <f t="shared" si="8"/>
        <v>0</v>
      </c>
      <c r="AU20" s="849">
        <f t="shared" si="12"/>
        <v>0</v>
      </c>
      <c r="AV20" s="849">
        <f t="shared" si="13"/>
        <v>0</v>
      </c>
      <c r="AW20" s="334">
        <f t="shared" si="9"/>
        <v>0</v>
      </c>
      <c r="AX20" s="322" t="s">
        <v>1728</v>
      </c>
    </row>
    <row r="21" spans="1:50" s="267" customFormat="1" ht="76.5">
      <c r="A21" s="1565" t="s">
        <v>4275</v>
      </c>
      <c r="B21" s="338" t="s">
        <v>5627</v>
      </c>
      <c r="C21" s="321">
        <v>0</v>
      </c>
      <c r="D21" s="323">
        <v>43082</v>
      </c>
      <c r="E21" s="3162"/>
      <c r="F21" s="1203">
        <v>42979</v>
      </c>
      <c r="G21" s="2514">
        <v>111.5</v>
      </c>
      <c r="H21" s="2273" t="s">
        <v>5168</v>
      </c>
      <c r="I21" s="339" t="s">
        <v>5170</v>
      </c>
      <c r="J21" s="322" t="s">
        <v>4306</v>
      </c>
      <c r="K21" s="340">
        <v>43812</v>
      </c>
      <c r="L21" s="339" t="s">
        <v>5174</v>
      </c>
      <c r="M21" s="322" t="s">
        <v>5184</v>
      </c>
      <c r="N21" s="339" t="s">
        <v>5175</v>
      </c>
      <c r="O21" s="332" t="s">
        <v>5176</v>
      </c>
      <c r="P21" s="667" t="s">
        <v>6398</v>
      </c>
      <c r="Q21" s="322" t="s">
        <v>4878</v>
      </c>
      <c r="R21" s="322" t="s">
        <v>1046</v>
      </c>
      <c r="S21" s="346"/>
      <c r="T21" s="347">
        <v>2315</v>
      </c>
      <c r="U21" s="326">
        <v>0</v>
      </c>
      <c r="V21" s="348">
        <f t="shared" si="0"/>
        <v>2315</v>
      </c>
      <c r="W21" s="347">
        <v>2893</v>
      </c>
      <c r="X21" s="326">
        <v>0</v>
      </c>
      <c r="Y21" s="348">
        <f t="shared" si="1"/>
        <v>2893</v>
      </c>
      <c r="Z21" s="347">
        <v>827</v>
      </c>
      <c r="AA21" s="326">
        <v>0</v>
      </c>
      <c r="AB21" s="348">
        <f t="shared" si="2"/>
        <v>827</v>
      </c>
      <c r="AC21" s="820"/>
      <c r="AD21" s="821"/>
      <c r="AE21" s="822"/>
      <c r="AF21" s="820"/>
      <c r="AG21" s="821"/>
      <c r="AH21" s="822"/>
      <c r="AI21" s="482">
        <f t="shared" si="3"/>
        <v>6035</v>
      </c>
      <c r="AJ21" s="326">
        <f t="shared" si="4"/>
        <v>0</v>
      </c>
      <c r="AK21" s="4177"/>
      <c r="AL21" s="349">
        <f t="shared" si="5"/>
        <v>6035</v>
      </c>
      <c r="AM21" s="337"/>
      <c r="AN21" s="327"/>
      <c r="AO21" s="328"/>
      <c r="AP21" s="329"/>
      <c r="AQ21" s="2329"/>
      <c r="AR21" s="333">
        <f t="shared" si="6"/>
        <v>0</v>
      </c>
      <c r="AS21" s="330">
        <f t="shared" si="7"/>
        <v>0</v>
      </c>
      <c r="AT21" s="330">
        <f t="shared" si="8"/>
        <v>0</v>
      </c>
      <c r="AU21" s="849"/>
      <c r="AV21" s="849"/>
      <c r="AW21" s="1207">
        <f t="shared" si="9"/>
        <v>0</v>
      </c>
      <c r="AX21" s="322"/>
    </row>
    <row r="22" spans="1:50" s="267" customFormat="1" ht="51">
      <c r="A22" s="1565" t="s">
        <v>4275</v>
      </c>
      <c r="B22" s="338" t="s">
        <v>5628</v>
      </c>
      <c r="C22" s="321" t="s">
        <v>1432</v>
      </c>
      <c r="D22" s="323">
        <v>41585</v>
      </c>
      <c r="E22" s="3162"/>
      <c r="F22" s="1203">
        <v>41518</v>
      </c>
      <c r="G22" s="2404">
        <v>103.8</v>
      </c>
      <c r="H22" s="332" t="s">
        <v>1574</v>
      </c>
      <c r="I22" s="339" t="s">
        <v>1433</v>
      </c>
      <c r="J22" s="322" t="s">
        <v>1434</v>
      </c>
      <c r="K22" s="340">
        <v>43044</v>
      </c>
      <c r="L22" s="339" t="s">
        <v>1573</v>
      </c>
      <c r="M22" s="322" t="s">
        <v>1824</v>
      </c>
      <c r="N22" s="339" t="s">
        <v>1575</v>
      </c>
      <c r="O22" s="332" t="s">
        <v>1698</v>
      </c>
      <c r="P22" s="345"/>
      <c r="Q22" s="322" t="s">
        <v>5267</v>
      </c>
      <c r="R22" s="322" t="s">
        <v>5266</v>
      </c>
      <c r="S22" s="346"/>
      <c r="T22" s="347">
        <v>6822</v>
      </c>
      <c r="U22" s="326">
        <v>0</v>
      </c>
      <c r="V22" s="348">
        <f t="shared" si="0"/>
        <v>6822</v>
      </c>
      <c r="W22" s="347">
        <v>8527</v>
      </c>
      <c r="X22" s="326">
        <v>0</v>
      </c>
      <c r="Y22" s="348">
        <f t="shared" si="1"/>
        <v>8527</v>
      </c>
      <c r="Z22" s="347">
        <v>1705</v>
      </c>
      <c r="AA22" s="326">
        <v>0</v>
      </c>
      <c r="AB22" s="348">
        <f t="shared" si="2"/>
        <v>1705</v>
      </c>
      <c r="AC22" s="820">
        <v>0</v>
      </c>
      <c r="AD22" s="821">
        <v>0</v>
      </c>
      <c r="AE22" s="822">
        <f>AC22-AD22</f>
        <v>0</v>
      </c>
      <c r="AF22" s="820">
        <v>0</v>
      </c>
      <c r="AG22" s="821">
        <v>0</v>
      </c>
      <c r="AH22" s="822">
        <f>AF22-AG22</f>
        <v>0</v>
      </c>
      <c r="AI22" s="482">
        <f t="shared" si="3"/>
        <v>17054</v>
      </c>
      <c r="AJ22" s="326">
        <f t="shared" si="4"/>
        <v>0</v>
      </c>
      <c r="AK22" s="4177"/>
      <c r="AL22" s="349">
        <f t="shared" si="5"/>
        <v>17054</v>
      </c>
      <c r="AM22" s="335"/>
      <c r="AN22" s="327"/>
      <c r="AO22" s="328"/>
      <c r="AP22" s="329"/>
      <c r="AQ22" s="2329"/>
      <c r="AR22" s="333">
        <f t="shared" si="6"/>
        <v>0</v>
      </c>
      <c r="AS22" s="330">
        <f t="shared" si="7"/>
        <v>0</v>
      </c>
      <c r="AT22" s="330">
        <f t="shared" si="8"/>
        <v>0</v>
      </c>
      <c r="AU22" s="849">
        <f>ROUND($AQ22/$G22*AE22,0)</f>
        <v>0</v>
      </c>
      <c r="AV22" s="849">
        <f>ROUND($AQ22/$G22*AH22,0)</f>
        <v>0</v>
      </c>
      <c r="AW22" s="334">
        <f t="shared" si="9"/>
        <v>0</v>
      </c>
      <c r="AX22" s="322" t="s">
        <v>1728</v>
      </c>
    </row>
    <row r="23" spans="1:50" s="267" customFormat="1" ht="51">
      <c r="A23" s="1564" t="s">
        <v>4276</v>
      </c>
      <c r="B23" s="338" t="s">
        <v>5629</v>
      </c>
      <c r="C23" s="321">
        <v>0</v>
      </c>
      <c r="D23" s="323">
        <v>42233</v>
      </c>
      <c r="E23" s="829"/>
      <c r="F23" s="830" t="s">
        <v>4932</v>
      </c>
      <c r="G23" s="2332">
        <v>1</v>
      </c>
      <c r="H23" s="332" t="s">
        <v>3249</v>
      </c>
      <c r="I23" s="339" t="s">
        <v>1436</v>
      </c>
      <c r="J23" s="322" t="s">
        <v>1437</v>
      </c>
      <c r="K23" s="340">
        <v>42964</v>
      </c>
      <c r="L23" s="339" t="s">
        <v>3250</v>
      </c>
      <c r="M23" s="322" t="s">
        <v>2323</v>
      </c>
      <c r="N23" s="339" t="s">
        <v>1545</v>
      </c>
      <c r="O23" s="332" t="s">
        <v>3251</v>
      </c>
      <c r="P23" s="2582" t="s">
        <v>5630</v>
      </c>
      <c r="Q23" s="322" t="s">
        <v>3252</v>
      </c>
      <c r="R23" s="322" t="s">
        <v>3253</v>
      </c>
      <c r="S23" s="346"/>
      <c r="T23" s="347">
        <v>6720</v>
      </c>
      <c r="U23" s="326">
        <v>0</v>
      </c>
      <c r="V23" s="348">
        <f t="shared" si="0"/>
        <v>6720</v>
      </c>
      <c r="W23" s="347">
        <v>8400</v>
      </c>
      <c r="X23" s="326">
        <v>0</v>
      </c>
      <c r="Y23" s="348">
        <f t="shared" si="1"/>
        <v>8400</v>
      </c>
      <c r="Z23" s="347">
        <v>1680</v>
      </c>
      <c r="AA23" s="326">
        <v>0</v>
      </c>
      <c r="AB23" s="348">
        <f t="shared" si="2"/>
        <v>1680</v>
      </c>
      <c r="AC23" s="820"/>
      <c r="AD23" s="821"/>
      <c r="AE23" s="822"/>
      <c r="AF23" s="820"/>
      <c r="AG23" s="821"/>
      <c r="AH23" s="822"/>
      <c r="AI23" s="482">
        <f t="shared" si="3"/>
        <v>16800</v>
      </c>
      <c r="AJ23" s="326">
        <f t="shared" si="4"/>
        <v>0</v>
      </c>
      <c r="AK23" s="4177"/>
      <c r="AL23" s="349">
        <f t="shared" si="5"/>
        <v>16800</v>
      </c>
      <c r="AM23" s="337"/>
      <c r="AN23" s="327"/>
      <c r="AO23" s="328"/>
      <c r="AP23" s="329"/>
      <c r="AQ23" s="2329"/>
      <c r="AR23" s="333">
        <f t="shared" si="6"/>
        <v>0</v>
      </c>
      <c r="AS23" s="330">
        <f t="shared" si="7"/>
        <v>0</v>
      </c>
      <c r="AT23" s="330">
        <f t="shared" si="8"/>
        <v>0</v>
      </c>
      <c r="AU23" s="849"/>
      <c r="AV23" s="849"/>
      <c r="AW23" s="826">
        <f t="shared" si="9"/>
        <v>0</v>
      </c>
      <c r="AX23" s="322"/>
    </row>
    <row r="24" spans="1:50" s="267" customFormat="1" ht="76.5">
      <c r="A24" s="1565" t="s">
        <v>4275</v>
      </c>
      <c r="B24" s="338" t="s">
        <v>5631</v>
      </c>
      <c r="C24" s="321">
        <v>0</v>
      </c>
      <c r="D24" s="323">
        <v>43248</v>
      </c>
      <c r="E24" s="3162"/>
      <c r="F24" s="1203">
        <v>43160</v>
      </c>
      <c r="G24" s="2404">
        <v>112.4</v>
      </c>
      <c r="H24" s="2273" t="s">
        <v>5577</v>
      </c>
      <c r="I24" s="339" t="s">
        <v>5578</v>
      </c>
      <c r="J24" s="322" t="s">
        <v>4306</v>
      </c>
      <c r="K24" s="340">
        <v>43979</v>
      </c>
      <c r="L24" s="339" t="s">
        <v>5579</v>
      </c>
      <c r="M24" s="322" t="s">
        <v>5580</v>
      </c>
      <c r="N24" s="339" t="s">
        <v>5581</v>
      </c>
      <c r="O24" s="322" t="s">
        <v>5580</v>
      </c>
      <c r="P24" s="667" t="s">
        <v>5632</v>
      </c>
      <c r="Q24" s="322" t="s">
        <v>5349</v>
      </c>
      <c r="R24" s="322" t="s">
        <v>5350</v>
      </c>
      <c r="S24" s="346"/>
      <c r="T24" s="347">
        <v>2334</v>
      </c>
      <c r="U24" s="326">
        <v>0</v>
      </c>
      <c r="V24" s="348">
        <f t="shared" si="0"/>
        <v>2334</v>
      </c>
      <c r="W24" s="347">
        <v>2917</v>
      </c>
      <c r="X24" s="326">
        <v>0</v>
      </c>
      <c r="Y24" s="348">
        <f t="shared" si="1"/>
        <v>2917</v>
      </c>
      <c r="Z24" s="347">
        <v>833</v>
      </c>
      <c r="AA24" s="326">
        <v>0</v>
      </c>
      <c r="AB24" s="348">
        <f t="shared" si="2"/>
        <v>833</v>
      </c>
      <c r="AC24" s="820"/>
      <c r="AD24" s="821"/>
      <c r="AE24" s="822"/>
      <c r="AF24" s="820"/>
      <c r="AG24" s="821"/>
      <c r="AH24" s="822"/>
      <c r="AI24" s="482">
        <f t="shared" si="3"/>
        <v>6084</v>
      </c>
      <c r="AJ24" s="326">
        <f t="shared" si="4"/>
        <v>0</v>
      </c>
      <c r="AK24" s="4177"/>
      <c r="AL24" s="349">
        <f t="shared" si="5"/>
        <v>6084</v>
      </c>
      <c r="AM24" s="337"/>
      <c r="AN24" s="327"/>
      <c r="AO24" s="328"/>
      <c r="AP24" s="329"/>
      <c r="AQ24" s="2329"/>
      <c r="AR24" s="333">
        <f t="shared" si="6"/>
        <v>0</v>
      </c>
      <c r="AS24" s="330">
        <f t="shared" si="7"/>
        <v>0</v>
      </c>
      <c r="AT24" s="330">
        <f t="shared" si="8"/>
        <v>0</v>
      </c>
      <c r="AU24" s="849"/>
      <c r="AV24" s="849"/>
      <c r="AW24" s="1207">
        <f t="shared" si="9"/>
        <v>0</v>
      </c>
      <c r="AX24" s="322"/>
    </row>
    <row r="25" spans="1:50" s="267" customFormat="1" ht="89.25">
      <c r="A25" s="1565" t="s">
        <v>4275</v>
      </c>
      <c r="B25" s="338" t="s">
        <v>10918</v>
      </c>
      <c r="C25" s="321">
        <v>0</v>
      </c>
      <c r="D25" s="323">
        <v>43342</v>
      </c>
      <c r="E25" s="3162"/>
      <c r="F25" s="1203">
        <v>43252</v>
      </c>
      <c r="G25" s="2669">
        <v>112.9</v>
      </c>
      <c r="H25" s="5942" t="s">
        <v>5849</v>
      </c>
      <c r="I25" s="339" t="s">
        <v>5850</v>
      </c>
      <c r="J25" s="322" t="s">
        <v>4306</v>
      </c>
      <c r="K25" s="340">
        <v>44073</v>
      </c>
      <c r="L25" s="339" t="s">
        <v>5853</v>
      </c>
      <c r="M25" s="322" t="s">
        <v>5852</v>
      </c>
      <c r="N25" s="339" t="s">
        <v>5851</v>
      </c>
      <c r="O25" s="332" t="s">
        <v>5852</v>
      </c>
      <c r="P25" s="667" t="s">
        <v>5868</v>
      </c>
      <c r="Q25" s="322" t="s">
        <v>5708</v>
      </c>
      <c r="R25" s="322" t="s">
        <v>5350</v>
      </c>
      <c r="S25" s="346"/>
      <c r="T25" s="347">
        <v>2344</v>
      </c>
      <c r="U25" s="326">
        <v>0</v>
      </c>
      <c r="V25" s="348">
        <f t="shared" si="0"/>
        <v>2344</v>
      </c>
      <c r="W25" s="347">
        <v>2930</v>
      </c>
      <c r="X25" s="326">
        <v>0</v>
      </c>
      <c r="Y25" s="348">
        <f t="shared" si="1"/>
        <v>2930</v>
      </c>
      <c r="Z25" s="347">
        <v>837</v>
      </c>
      <c r="AA25" s="326">
        <v>0</v>
      </c>
      <c r="AB25" s="348">
        <f t="shared" si="2"/>
        <v>837</v>
      </c>
      <c r="AC25" s="820"/>
      <c r="AD25" s="821"/>
      <c r="AE25" s="822"/>
      <c r="AF25" s="820"/>
      <c r="AG25" s="821"/>
      <c r="AH25" s="822"/>
      <c r="AI25" s="482">
        <f t="shared" si="3"/>
        <v>6111</v>
      </c>
      <c r="AJ25" s="326">
        <f t="shared" si="4"/>
        <v>0</v>
      </c>
      <c r="AK25" s="4177"/>
      <c r="AL25" s="349">
        <f t="shared" si="5"/>
        <v>6111</v>
      </c>
      <c r="AM25" s="337"/>
      <c r="AN25" s="327"/>
      <c r="AO25" s="328"/>
      <c r="AP25" s="329"/>
      <c r="AQ25" s="2624"/>
      <c r="AR25" s="333">
        <f t="shared" si="6"/>
        <v>0</v>
      </c>
      <c r="AS25" s="330">
        <f t="shared" si="7"/>
        <v>0</v>
      </c>
      <c r="AT25" s="330">
        <f t="shared" si="8"/>
        <v>0</v>
      </c>
      <c r="AU25" s="849"/>
      <c r="AV25" s="849"/>
      <c r="AW25" s="1207">
        <f t="shared" si="9"/>
        <v>0</v>
      </c>
      <c r="AX25" s="322"/>
    </row>
    <row r="26" spans="1:50" s="267" customFormat="1" ht="51">
      <c r="A26" s="1564" t="s">
        <v>4276</v>
      </c>
      <c r="B26" s="338" t="s">
        <v>5963</v>
      </c>
      <c r="C26" s="321">
        <v>0</v>
      </c>
      <c r="D26" s="323">
        <v>41908</v>
      </c>
      <c r="E26" s="829"/>
      <c r="F26" s="830" t="s">
        <v>4932</v>
      </c>
      <c r="G26" s="2621">
        <v>1</v>
      </c>
      <c r="H26" s="332" t="s">
        <v>2540</v>
      </c>
      <c r="I26" s="339" t="s">
        <v>1436</v>
      </c>
      <c r="J26" s="322" t="s">
        <v>1437</v>
      </c>
      <c r="K26" s="340">
        <v>43369</v>
      </c>
      <c r="L26" s="339" t="s">
        <v>2541</v>
      </c>
      <c r="M26" s="322" t="s">
        <v>2323</v>
      </c>
      <c r="N26" s="339" t="s">
        <v>2542</v>
      </c>
      <c r="O26" s="332" t="s">
        <v>2543</v>
      </c>
      <c r="P26" s="345"/>
      <c r="Q26" s="322" t="s">
        <v>2544</v>
      </c>
      <c r="R26" s="322" t="s">
        <v>2545</v>
      </c>
      <c r="S26" s="346"/>
      <c r="T26" s="347">
        <v>3763</v>
      </c>
      <c r="U26" s="326">
        <v>0</v>
      </c>
      <c r="V26" s="348">
        <f t="shared" si="0"/>
        <v>3763</v>
      </c>
      <c r="W26" s="347">
        <v>4704</v>
      </c>
      <c r="X26" s="326">
        <v>0</v>
      </c>
      <c r="Y26" s="348">
        <f t="shared" si="1"/>
        <v>4704</v>
      </c>
      <c r="Z26" s="347">
        <v>941</v>
      </c>
      <c r="AA26" s="326">
        <v>0</v>
      </c>
      <c r="AB26" s="348">
        <f t="shared" si="2"/>
        <v>941</v>
      </c>
      <c r="AC26" s="820"/>
      <c r="AD26" s="821"/>
      <c r="AE26" s="822"/>
      <c r="AF26" s="820"/>
      <c r="AG26" s="821"/>
      <c r="AH26" s="822"/>
      <c r="AI26" s="482">
        <f t="shared" si="3"/>
        <v>9408</v>
      </c>
      <c r="AJ26" s="326">
        <f t="shared" si="4"/>
        <v>0</v>
      </c>
      <c r="AK26" s="4177"/>
      <c r="AL26" s="349">
        <f t="shared" si="5"/>
        <v>9408</v>
      </c>
      <c r="AM26" s="337"/>
      <c r="AN26" s="327"/>
      <c r="AO26" s="328"/>
      <c r="AP26" s="2722"/>
      <c r="AQ26" s="2723"/>
      <c r="AR26" s="333">
        <f t="shared" si="6"/>
        <v>0</v>
      </c>
      <c r="AS26" s="330">
        <f t="shared" si="7"/>
        <v>0</v>
      </c>
      <c r="AT26" s="330">
        <f t="shared" si="8"/>
        <v>0</v>
      </c>
      <c r="AU26" s="849"/>
      <c r="AV26" s="849"/>
      <c r="AW26" s="2804">
        <f t="shared" si="9"/>
        <v>0</v>
      </c>
      <c r="AX26" s="322"/>
    </row>
    <row r="27" spans="1:50" s="267" customFormat="1" ht="153">
      <c r="A27" s="1564" t="s">
        <v>4276</v>
      </c>
      <c r="B27" s="338" t="s">
        <v>5965</v>
      </c>
      <c r="C27" s="321">
        <v>0</v>
      </c>
      <c r="D27" s="323">
        <v>41922</v>
      </c>
      <c r="E27" s="829"/>
      <c r="F27" s="830" t="s">
        <v>4932</v>
      </c>
      <c r="G27" s="2621">
        <v>1</v>
      </c>
      <c r="H27" s="332" t="s">
        <v>2591</v>
      </c>
      <c r="I27" s="339" t="s">
        <v>1433</v>
      </c>
      <c r="J27" s="322" t="s">
        <v>1434</v>
      </c>
      <c r="K27" s="340">
        <v>43296</v>
      </c>
      <c r="L27" s="339" t="s">
        <v>2580</v>
      </c>
      <c r="M27" s="322"/>
      <c r="N27" s="339" t="s">
        <v>2582</v>
      </c>
      <c r="O27" s="332" t="s">
        <v>2581</v>
      </c>
      <c r="P27" s="345" t="s">
        <v>2585</v>
      </c>
      <c r="Q27" s="322" t="s">
        <v>2589</v>
      </c>
      <c r="R27" s="322" t="s">
        <v>2587</v>
      </c>
      <c r="S27" s="346" t="s">
        <v>2586</v>
      </c>
      <c r="T27" s="347">
        <v>879719</v>
      </c>
      <c r="U27" s="326">
        <f>21379+428614</f>
        <v>449993</v>
      </c>
      <c r="V27" s="348">
        <f t="shared" si="0"/>
        <v>429726</v>
      </c>
      <c r="W27" s="347">
        <v>155244</v>
      </c>
      <c r="X27" s="326">
        <v>75638</v>
      </c>
      <c r="Y27" s="348">
        <f t="shared" si="1"/>
        <v>79606</v>
      </c>
      <c r="Z27" s="347">
        <v>218740</v>
      </c>
      <c r="AA27" s="326">
        <v>77100</v>
      </c>
      <c r="AB27" s="348">
        <f t="shared" si="2"/>
        <v>141640</v>
      </c>
      <c r="AC27" s="820"/>
      <c r="AD27" s="821"/>
      <c r="AE27" s="822"/>
      <c r="AF27" s="820"/>
      <c r="AG27" s="821"/>
      <c r="AH27" s="822"/>
      <c r="AI27" s="482">
        <f t="shared" si="3"/>
        <v>1253703</v>
      </c>
      <c r="AJ27" s="326">
        <f t="shared" si="4"/>
        <v>602731</v>
      </c>
      <c r="AK27" s="4177"/>
      <c r="AL27" s="349">
        <f t="shared" si="5"/>
        <v>650972</v>
      </c>
      <c r="AM27" s="337"/>
      <c r="AN27" s="327"/>
      <c r="AO27" s="328"/>
      <c r="AP27" s="2722"/>
      <c r="AQ27" s="2723"/>
      <c r="AR27" s="333">
        <f t="shared" si="6"/>
        <v>0</v>
      </c>
      <c r="AS27" s="330">
        <f t="shared" si="7"/>
        <v>0</v>
      </c>
      <c r="AT27" s="330">
        <f t="shared" si="8"/>
        <v>0</v>
      </c>
      <c r="AU27" s="849"/>
      <c r="AV27" s="849"/>
      <c r="AW27" s="826">
        <f t="shared" si="9"/>
        <v>0</v>
      </c>
      <c r="AX27" s="322"/>
    </row>
    <row r="28" spans="1:50" s="267" customFormat="1" ht="63.75">
      <c r="A28" s="1564" t="s">
        <v>4276</v>
      </c>
      <c r="B28" s="338" t="s">
        <v>5964</v>
      </c>
      <c r="C28" s="321">
        <v>0</v>
      </c>
      <c r="D28" s="323">
        <v>41922</v>
      </c>
      <c r="E28" s="829"/>
      <c r="F28" s="830" t="s">
        <v>4932</v>
      </c>
      <c r="G28" s="2621">
        <v>1</v>
      </c>
      <c r="H28" s="332" t="s">
        <v>2592</v>
      </c>
      <c r="I28" s="339" t="s">
        <v>1433</v>
      </c>
      <c r="J28" s="322" t="s">
        <v>1434</v>
      </c>
      <c r="K28" s="340">
        <v>43296</v>
      </c>
      <c r="L28" s="339" t="s">
        <v>2580</v>
      </c>
      <c r="M28" s="322"/>
      <c r="N28" s="339" t="s">
        <v>2583</v>
      </c>
      <c r="O28" s="332" t="s">
        <v>2584</v>
      </c>
      <c r="P28" s="345" t="s">
        <v>2585</v>
      </c>
      <c r="Q28" s="322" t="s">
        <v>2590</v>
      </c>
      <c r="R28" s="322" t="s">
        <v>2588</v>
      </c>
      <c r="S28" s="346"/>
      <c r="T28" s="347">
        <v>179832</v>
      </c>
      <c r="U28" s="326">
        <v>0</v>
      </c>
      <c r="V28" s="348">
        <f t="shared" si="0"/>
        <v>179832</v>
      </c>
      <c r="W28" s="347">
        <v>31735</v>
      </c>
      <c r="X28" s="326">
        <v>0</v>
      </c>
      <c r="Y28" s="348">
        <f t="shared" si="1"/>
        <v>31735</v>
      </c>
      <c r="Z28" s="347">
        <v>55750</v>
      </c>
      <c r="AA28" s="326">
        <v>0</v>
      </c>
      <c r="AB28" s="348">
        <f t="shared" si="2"/>
        <v>55750</v>
      </c>
      <c r="AC28" s="820"/>
      <c r="AD28" s="821"/>
      <c r="AE28" s="822"/>
      <c r="AF28" s="820"/>
      <c r="AG28" s="821"/>
      <c r="AH28" s="822"/>
      <c r="AI28" s="482">
        <f t="shared" si="3"/>
        <v>267317</v>
      </c>
      <c r="AJ28" s="326">
        <f t="shared" si="4"/>
        <v>0</v>
      </c>
      <c r="AK28" s="4177"/>
      <c r="AL28" s="349">
        <f t="shared" si="5"/>
        <v>267317</v>
      </c>
      <c r="AM28" s="337"/>
      <c r="AN28" s="327"/>
      <c r="AO28" s="328"/>
      <c r="AP28" s="2722"/>
      <c r="AQ28" s="2723"/>
      <c r="AR28" s="333">
        <f t="shared" si="6"/>
        <v>0</v>
      </c>
      <c r="AS28" s="330">
        <f t="shared" si="7"/>
        <v>0</v>
      </c>
      <c r="AT28" s="330">
        <f t="shared" si="8"/>
        <v>0</v>
      </c>
      <c r="AU28" s="849"/>
      <c r="AV28" s="849"/>
      <c r="AW28" s="2804">
        <f t="shared" si="9"/>
        <v>0</v>
      </c>
      <c r="AX28" s="322"/>
    </row>
    <row r="29" spans="1:50" s="267" customFormat="1" ht="89.25">
      <c r="A29" s="1564" t="s">
        <v>4276</v>
      </c>
      <c r="B29" s="338" t="s">
        <v>5988</v>
      </c>
      <c r="C29" s="321">
        <v>0</v>
      </c>
      <c r="D29" s="323">
        <v>43385</v>
      </c>
      <c r="E29" s="3162"/>
      <c r="F29" s="324" t="s">
        <v>5757</v>
      </c>
      <c r="G29" s="2621">
        <v>1.0247219999999999</v>
      </c>
      <c r="H29" s="332" t="s">
        <v>5975</v>
      </c>
      <c r="I29" s="339" t="s">
        <v>1433</v>
      </c>
      <c r="J29" s="322" t="s">
        <v>1434</v>
      </c>
      <c r="K29" s="340" t="s">
        <v>4905</v>
      </c>
      <c r="L29" s="339" t="s">
        <v>5976</v>
      </c>
      <c r="M29" s="322" t="s">
        <v>5977</v>
      </c>
      <c r="N29" s="339" t="s">
        <v>5984</v>
      </c>
      <c r="O29" s="332" t="s">
        <v>5978</v>
      </c>
      <c r="P29" s="667" t="s">
        <v>5987</v>
      </c>
      <c r="Q29" s="322" t="s">
        <v>5979</v>
      </c>
      <c r="R29" s="322" t="s">
        <v>290</v>
      </c>
      <c r="S29" s="346"/>
      <c r="T29" s="347">
        <v>2073</v>
      </c>
      <c r="U29" s="326">
        <v>0</v>
      </c>
      <c r="V29" s="348">
        <f t="shared" si="0"/>
        <v>2073</v>
      </c>
      <c r="W29" s="347">
        <v>365</v>
      </c>
      <c r="X29" s="326">
        <v>0</v>
      </c>
      <c r="Y29" s="348">
        <f t="shared" si="1"/>
        <v>365</v>
      </c>
      <c r="Z29" s="347">
        <v>0</v>
      </c>
      <c r="AA29" s="326">
        <v>0</v>
      </c>
      <c r="AB29" s="348">
        <f t="shared" si="2"/>
        <v>0</v>
      </c>
      <c r="AC29" s="820"/>
      <c r="AD29" s="821"/>
      <c r="AE29" s="822"/>
      <c r="AF29" s="820"/>
      <c r="AG29" s="821"/>
      <c r="AH29" s="822"/>
      <c r="AI29" s="482">
        <f t="shared" si="3"/>
        <v>2438</v>
      </c>
      <c r="AJ29" s="326">
        <f t="shared" si="4"/>
        <v>0</v>
      </c>
      <c r="AK29" s="4177"/>
      <c r="AL29" s="349">
        <f t="shared" si="5"/>
        <v>2438</v>
      </c>
      <c r="AM29" s="337"/>
      <c r="AN29" s="327"/>
      <c r="AO29" s="328"/>
      <c r="AP29" s="2722"/>
      <c r="AQ29" s="2723"/>
      <c r="AR29" s="333">
        <f t="shared" si="6"/>
        <v>0</v>
      </c>
      <c r="AS29" s="330">
        <f t="shared" si="7"/>
        <v>0</v>
      </c>
      <c r="AT29" s="330">
        <f t="shared" si="8"/>
        <v>0</v>
      </c>
      <c r="AU29" s="849"/>
      <c r="AV29" s="849"/>
      <c r="AW29" s="1207">
        <f t="shared" si="9"/>
        <v>0</v>
      </c>
      <c r="AX29" s="322"/>
    </row>
    <row r="30" spans="1:50" s="267" customFormat="1" ht="76.5">
      <c r="A30" s="1565" t="s">
        <v>5912</v>
      </c>
      <c r="B30" s="338" t="s">
        <v>6064</v>
      </c>
      <c r="C30" s="321">
        <v>0</v>
      </c>
      <c r="D30" s="323">
        <v>43067</v>
      </c>
      <c r="E30" s="3162"/>
      <c r="F30" s="324" t="s">
        <v>5915</v>
      </c>
      <c r="G30" s="2621">
        <v>1.0119899999999999</v>
      </c>
      <c r="H30" s="2273" t="s">
        <v>5132</v>
      </c>
      <c r="I30" s="339" t="s">
        <v>5133</v>
      </c>
      <c r="J30" s="322" t="s">
        <v>4306</v>
      </c>
      <c r="K30" s="340">
        <v>43797</v>
      </c>
      <c r="L30" s="339" t="s">
        <v>5134</v>
      </c>
      <c r="M30" s="322" t="s">
        <v>5135</v>
      </c>
      <c r="N30" s="339" t="s">
        <v>5136</v>
      </c>
      <c r="O30" s="322" t="s">
        <v>5135</v>
      </c>
      <c r="P30" s="345"/>
      <c r="Q30" s="322" t="s">
        <v>4878</v>
      </c>
      <c r="R30" s="322" t="s">
        <v>1046</v>
      </c>
      <c r="S30" s="346"/>
      <c r="T30" s="347">
        <v>2315</v>
      </c>
      <c r="U30" s="326">
        <v>0</v>
      </c>
      <c r="V30" s="348">
        <f t="shared" si="0"/>
        <v>2315</v>
      </c>
      <c r="W30" s="347">
        <v>2893</v>
      </c>
      <c r="X30" s="326">
        <v>0</v>
      </c>
      <c r="Y30" s="348">
        <f t="shared" si="1"/>
        <v>2893</v>
      </c>
      <c r="Z30" s="347">
        <v>827</v>
      </c>
      <c r="AA30" s="326">
        <v>0</v>
      </c>
      <c r="AB30" s="348">
        <f t="shared" si="2"/>
        <v>827</v>
      </c>
      <c r="AC30" s="820"/>
      <c r="AD30" s="821"/>
      <c r="AE30" s="822"/>
      <c r="AF30" s="820"/>
      <c r="AG30" s="821"/>
      <c r="AH30" s="822"/>
      <c r="AI30" s="482">
        <f t="shared" si="3"/>
        <v>6035</v>
      </c>
      <c r="AJ30" s="326">
        <f t="shared" si="4"/>
        <v>0</v>
      </c>
      <c r="AK30" s="4177"/>
      <c r="AL30" s="349">
        <f t="shared" si="5"/>
        <v>6035</v>
      </c>
      <c r="AM30" s="337"/>
      <c r="AN30" s="327"/>
      <c r="AO30" s="328"/>
      <c r="AP30" s="2722"/>
      <c r="AQ30" s="2723"/>
      <c r="AR30" s="333">
        <f t="shared" si="6"/>
        <v>0</v>
      </c>
      <c r="AS30" s="330">
        <f t="shared" si="7"/>
        <v>0</v>
      </c>
      <c r="AT30" s="330">
        <f t="shared" si="8"/>
        <v>0</v>
      </c>
      <c r="AU30" s="849"/>
      <c r="AV30" s="849"/>
      <c r="AW30" s="1207">
        <f t="shared" si="9"/>
        <v>0</v>
      </c>
      <c r="AX30" s="322"/>
    </row>
    <row r="31" spans="1:50" s="267" customFormat="1" ht="76.5">
      <c r="A31" s="1565" t="s">
        <v>5912</v>
      </c>
      <c r="B31" s="338" t="s">
        <v>6464</v>
      </c>
      <c r="C31" s="321">
        <v>0</v>
      </c>
      <c r="D31" s="323">
        <v>42018</v>
      </c>
      <c r="E31" s="829" t="s">
        <v>6383</v>
      </c>
      <c r="F31" s="830" t="s">
        <v>4932</v>
      </c>
      <c r="G31" s="2621">
        <v>1</v>
      </c>
      <c r="H31" s="332" t="s">
        <v>2815</v>
      </c>
      <c r="I31" s="339" t="s">
        <v>1436</v>
      </c>
      <c r="J31" s="322" t="s">
        <v>2712</v>
      </c>
      <c r="K31" s="340">
        <v>43401</v>
      </c>
      <c r="L31" s="339" t="s">
        <v>2799</v>
      </c>
      <c r="M31" s="322" t="s">
        <v>2654</v>
      </c>
      <c r="N31" s="339" t="s">
        <v>2800</v>
      </c>
      <c r="O31" s="332" t="s">
        <v>6204</v>
      </c>
      <c r="P31" s="345" t="s">
        <v>6463</v>
      </c>
      <c r="Q31" s="322" t="s">
        <v>2801</v>
      </c>
      <c r="R31" s="322" t="s">
        <v>2802</v>
      </c>
      <c r="S31" s="346"/>
      <c r="T31" s="347">
        <v>75264</v>
      </c>
      <c r="U31" s="326">
        <v>72103</v>
      </c>
      <c r="V31" s="348">
        <f t="shared" si="0"/>
        <v>3161</v>
      </c>
      <c r="W31" s="347">
        <v>94264</v>
      </c>
      <c r="X31" s="326">
        <v>94264</v>
      </c>
      <c r="Y31" s="348">
        <f t="shared" si="1"/>
        <v>0</v>
      </c>
      <c r="Z31" s="347">
        <v>18816</v>
      </c>
      <c r="AA31" s="326">
        <v>0</v>
      </c>
      <c r="AB31" s="348">
        <f t="shared" si="2"/>
        <v>18816</v>
      </c>
      <c r="AC31" s="820"/>
      <c r="AD31" s="821"/>
      <c r="AE31" s="822"/>
      <c r="AF31" s="820"/>
      <c r="AG31" s="821"/>
      <c r="AH31" s="822"/>
      <c r="AI31" s="482">
        <f t="shared" si="3"/>
        <v>188344</v>
      </c>
      <c r="AJ31" s="326">
        <f t="shared" si="4"/>
        <v>166367</v>
      </c>
      <c r="AK31" s="4177"/>
      <c r="AL31" s="349">
        <f t="shared" si="5"/>
        <v>21977</v>
      </c>
      <c r="AM31" s="337"/>
      <c r="AN31" s="327"/>
      <c r="AO31" s="328"/>
      <c r="AP31" s="2722"/>
      <c r="AQ31" s="2723"/>
      <c r="AR31" s="333">
        <f t="shared" si="6"/>
        <v>0</v>
      </c>
      <c r="AS31" s="330">
        <f t="shared" si="7"/>
        <v>0</v>
      </c>
      <c r="AT31" s="330">
        <f t="shared" si="8"/>
        <v>0</v>
      </c>
      <c r="AU31" s="849"/>
      <c r="AV31" s="849"/>
      <c r="AW31" s="3157">
        <f t="shared" si="9"/>
        <v>0</v>
      </c>
      <c r="AX31" s="3140"/>
    </row>
    <row r="32" spans="1:50" s="267" customFormat="1" ht="51">
      <c r="A32" s="1564" t="s">
        <v>4276</v>
      </c>
      <c r="B32" s="338" t="s">
        <v>6465</v>
      </c>
      <c r="C32" s="321">
        <v>0</v>
      </c>
      <c r="D32" s="323">
        <v>41946</v>
      </c>
      <c r="E32" s="829" t="s">
        <v>6383</v>
      </c>
      <c r="F32" s="830" t="s">
        <v>4932</v>
      </c>
      <c r="G32" s="2621">
        <v>1</v>
      </c>
      <c r="H32" s="332" t="s">
        <v>2641</v>
      </c>
      <c r="I32" s="339" t="s">
        <v>1433</v>
      </c>
      <c r="J32" s="322" t="s">
        <v>1434</v>
      </c>
      <c r="K32" s="340">
        <v>43407</v>
      </c>
      <c r="L32" s="339" t="s">
        <v>2643</v>
      </c>
      <c r="M32" s="322" t="s">
        <v>2644</v>
      </c>
      <c r="N32" s="339" t="s">
        <v>2642</v>
      </c>
      <c r="O32" s="332" t="s">
        <v>6184</v>
      </c>
      <c r="P32" s="345"/>
      <c r="Q32" s="322" t="s">
        <v>2645</v>
      </c>
      <c r="R32" s="322" t="s">
        <v>2646</v>
      </c>
      <c r="S32" s="346"/>
      <c r="T32" s="347">
        <v>14400</v>
      </c>
      <c r="U32" s="326">
        <v>0</v>
      </c>
      <c r="V32" s="348">
        <f t="shared" si="0"/>
        <v>14400</v>
      </c>
      <c r="W32" s="347">
        <v>18000</v>
      </c>
      <c r="X32" s="326">
        <v>0</v>
      </c>
      <c r="Y32" s="348">
        <f t="shared" si="1"/>
        <v>18000</v>
      </c>
      <c r="Z32" s="347">
        <v>3600</v>
      </c>
      <c r="AA32" s="326">
        <v>0</v>
      </c>
      <c r="AB32" s="348">
        <f t="shared" si="2"/>
        <v>3600</v>
      </c>
      <c r="AC32" s="820"/>
      <c r="AD32" s="821"/>
      <c r="AE32" s="822"/>
      <c r="AF32" s="820"/>
      <c r="AG32" s="821"/>
      <c r="AH32" s="822"/>
      <c r="AI32" s="482">
        <f t="shared" si="3"/>
        <v>36000</v>
      </c>
      <c r="AJ32" s="326">
        <f t="shared" si="4"/>
        <v>0</v>
      </c>
      <c r="AK32" s="4177"/>
      <c r="AL32" s="349">
        <f t="shared" si="5"/>
        <v>36000</v>
      </c>
      <c r="AM32" s="337"/>
      <c r="AN32" s="327"/>
      <c r="AO32" s="328"/>
      <c r="AP32" s="2722"/>
      <c r="AQ32" s="2723"/>
      <c r="AR32" s="333">
        <f t="shared" si="6"/>
        <v>0</v>
      </c>
      <c r="AS32" s="330">
        <f t="shared" si="7"/>
        <v>0</v>
      </c>
      <c r="AT32" s="330">
        <f t="shared" si="8"/>
        <v>0</v>
      </c>
      <c r="AU32" s="849"/>
      <c r="AV32" s="849"/>
      <c r="AW32" s="3157">
        <f t="shared" si="9"/>
        <v>0</v>
      </c>
      <c r="AX32" s="3140"/>
    </row>
    <row r="33" spans="1:50" s="267" customFormat="1" ht="76.5">
      <c r="A33" s="1565" t="s">
        <v>5912</v>
      </c>
      <c r="B33" s="338" t="s">
        <v>10920</v>
      </c>
      <c r="C33" s="321">
        <v>0</v>
      </c>
      <c r="D33" s="323">
        <v>43082</v>
      </c>
      <c r="E33" s="3051" t="s">
        <v>6385</v>
      </c>
      <c r="F33" s="324" t="s">
        <v>5915</v>
      </c>
      <c r="G33" s="2621">
        <v>1.0119899999999999</v>
      </c>
      <c r="H33" s="2273" t="s">
        <v>5169</v>
      </c>
      <c r="I33" s="339" t="s">
        <v>5171</v>
      </c>
      <c r="J33" s="322" t="s">
        <v>4306</v>
      </c>
      <c r="K33" s="340">
        <v>43812</v>
      </c>
      <c r="L33" s="339" t="s">
        <v>5177</v>
      </c>
      <c r="M33" s="322" t="s">
        <v>5178</v>
      </c>
      <c r="N33" s="339" t="s">
        <v>5179</v>
      </c>
      <c r="O33" s="322" t="s">
        <v>6331</v>
      </c>
      <c r="P33" s="667" t="s">
        <v>10919</v>
      </c>
      <c r="Q33" s="322" t="s">
        <v>4878</v>
      </c>
      <c r="R33" s="322" t="s">
        <v>1046</v>
      </c>
      <c r="S33" s="346"/>
      <c r="T33" s="347">
        <v>2315</v>
      </c>
      <c r="U33" s="326">
        <v>0</v>
      </c>
      <c r="V33" s="348">
        <f t="shared" si="0"/>
        <v>2315</v>
      </c>
      <c r="W33" s="347">
        <v>2893</v>
      </c>
      <c r="X33" s="326">
        <v>0</v>
      </c>
      <c r="Y33" s="348">
        <f t="shared" si="1"/>
        <v>2893</v>
      </c>
      <c r="Z33" s="347">
        <v>827</v>
      </c>
      <c r="AA33" s="326">
        <v>0</v>
      </c>
      <c r="AB33" s="348">
        <f t="shared" si="2"/>
        <v>827</v>
      </c>
      <c r="AC33" s="820"/>
      <c r="AD33" s="821"/>
      <c r="AE33" s="822"/>
      <c r="AF33" s="820"/>
      <c r="AG33" s="821"/>
      <c r="AH33" s="822"/>
      <c r="AI33" s="482">
        <f t="shared" si="3"/>
        <v>6035</v>
      </c>
      <c r="AJ33" s="326">
        <f t="shared" si="4"/>
        <v>0</v>
      </c>
      <c r="AK33" s="4177"/>
      <c r="AL33" s="349">
        <f t="shared" si="5"/>
        <v>6035</v>
      </c>
      <c r="AM33" s="337"/>
      <c r="AN33" s="327"/>
      <c r="AO33" s="328"/>
      <c r="AP33" s="2722"/>
      <c r="AQ33" s="2723"/>
      <c r="AR33" s="333">
        <f t="shared" si="6"/>
        <v>0</v>
      </c>
      <c r="AS33" s="330">
        <f t="shared" si="7"/>
        <v>0</v>
      </c>
      <c r="AT33" s="330">
        <f t="shared" si="8"/>
        <v>0</v>
      </c>
      <c r="AU33" s="849"/>
      <c r="AV33" s="849"/>
      <c r="AW33" s="3156">
        <f t="shared" si="9"/>
        <v>0</v>
      </c>
      <c r="AX33" s="3140"/>
    </row>
    <row r="34" spans="1:50" s="267" customFormat="1" ht="76.5">
      <c r="A34" s="1565" t="s">
        <v>5912</v>
      </c>
      <c r="B34" s="338" t="s">
        <v>10921</v>
      </c>
      <c r="C34" s="321">
        <v>0</v>
      </c>
      <c r="D34" s="323">
        <v>43342</v>
      </c>
      <c r="E34" s="3051" t="s">
        <v>6385</v>
      </c>
      <c r="F34" s="324" t="s">
        <v>5757</v>
      </c>
      <c r="G34" s="2621">
        <v>1.0247219999999999</v>
      </c>
      <c r="H34" s="5941" t="s">
        <v>5844</v>
      </c>
      <c r="I34" s="339" t="s">
        <v>5845</v>
      </c>
      <c r="J34" s="322" t="s">
        <v>4306</v>
      </c>
      <c r="K34" s="340">
        <v>44073</v>
      </c>
      <c r="L34" s="339" t="s">
        <v>5846</v>
      </c>
      <c r="M34" s="322" t="s">
        <v>5847</v>
      </c>
      <c r="N34" s="339" t="s">
        <v>5848</v>
      </c>
      <c r="O34" s="332" t="s">
        <v>6263</v>
      </c>
      <c r="P34" s="667" t="s">
        <v>10922</v>
      </c>
      <c r="Q34" s="322" t="s">
        <v>5708</v>
      </c>
      <c r="R34" s="322" t="s">
        <v>5350</v>
      </c>
      <c r="S34" s="346"/>
      <c r="T34" s="347">
        <v>2344</v>
      </c>
      <c r="U34" s="326">
        <v>0</v>
      </c>
      <c r="V34" s="348">
        <f t="shared" si="0"/>
        <v>2344</v>
      </c>
      <c r="W34" s="347">
        <v>2930</v>
      </c>
      <c r="X34" s="326">
        <v>0</v>
      </c>
      <c r="Y34" s="348">
        <f t="shared" si="1"/>
        <v>2930</v>
      </c>
      <c r="Z34" s="347">
        <v>837</v>
      </c>
      <c r="AA34" s="326">
        <v>0</v>
      </c>
      <c r="AB34" s="348">
        <f t="shared" si="2"/>
        <v>837</v>
      </c>
      <c r="AC34" s="820"/>
      <c r="AD34" s="821"/>
      <c r="AE34" s="822"/>
      <c r="AF34" s="820"/>
      <c r="AG34" s="821"/>
      <c r="AH34" s="822"/>
      <c r="AI34" s="482">
        <f t="shared" si="3"/>
        <v>6111</v>
      </c>
      <c r="AJ34" s="326">
        <f t="shared" si="4"/>
        <v>0</v>
      </c>
      <c r="AK34" s="4177"/>
      <c r="AL34" s="349">
        <f t="shared" si="5"/>
        <v>6111</v>
      </c>
      <c r="AM34" s="337"/>
      <c r="AN34" s="327"/>
      <c r="AO34" s="328"/>
      <c r="AP34" s="2722"/>
      <c r="AQ34" s="2723"/>
      <c r="AR34" s="333">
        <f t="shared" si="6"/>
        <v>0</v>
      </c>
      <c r="AS34" s="330">
        <f t="shared" si="7"/>
        <v>0</v>
      </c>
      <c r="AT34" s="330">
        <f t="shared" si="8"/>
        <v>0</v>
      </c>
      <c r="AU34" s="849"/>
      <c r="AV34" s="849"/>
      <c r="AW34" s="3156">
        <f t="shared" si="9"/>
        <v>0</v>
      </c>
      <c r="AX34" s="3140"/>
    </row>
    <row r="35" spans="1:50" s="267" customFormat="1" ht="63.75">
      <c r="A35" s="1564" t="s">
        <v>4276</v>
      </c>
      <c r="B35" s="338" t="s">
        <v>6615</v>
      </c>
      <c r="C35" s="321">
        <v>0</v>
      </c>
      <c r="D35" s="323">
        <v>42181</v>
      </c>
      <c r="E35" s="829" t="s">
        <v>6387</v>
      </c>
      <c r="F35" s="830" t="s">
        <v>4932</v>
      </c>
      <c r="G35" s="2621">
        <v>1</v>
      </c>
      <c r="H35" s="332" t="s">
        <v>3110</v>
      </c>
      <c r="I35" s="339" t="s">
        <v>1433</v>
      </c>
      <c r="J35" s="322" t="s">
        <v>1434</v>
      </c>
      <c r="K35" s="340">
        <v>43642</v>
      </c>
      <c r="L35" s="339" t="s">
        <v>3111</v>
      </c>
      <c r="M35" s="322" t="s">
        <v>1957</v>
      </c>
      <c r="N35" s="339" t="s">
        <v>3112</v>
      </c>
      <c r="O35" s="332" t="s">
        <v>6187</v>
      </c>
      <c r="P35" s="345"/>
      <c r="Q35" s="322" t="s">
        <v>3114</v>
      </c>
      <c r="R35" s="322" t="s">
        <v>3113</v>
      </c>
      <c r="S35" s="346"/>
      <c r="T35" s="347">
        <v>4800</v>
      </c>
      <c r="U35" s="326">
        <v>0</v>
      </c>
      <c r="V35" s="348">
        <f t="shared" si="0"/>
        <v>4800</v>
      </c>
      <c r="W35" s="347">
        <v>6000</v>
      </c>
      <c r="X35" s="326">
        <v>0</v>
      </c>
      <c r="Y35" s="348">
        <f t="shared" si="1"/>
        <v>6000</v>
      </c>
      <c r="Z35" s="347">
        <v>1200</v>
      </c>
      <c r="AA35" s="326">
        <v>0</v>
      </c>
      <c r="AB35" s="348">
        <f t="shared" si="2"/>
        <v>1200</v>
      </c>
      <c r="AC35" s="820"/>
      <c r="AD35" s="821"/>
      <c r="AE35" s="822"/>
      <c r="AF35" s="820"/>
      <c r="AG35" s="821"/>
      <c r="AH35" s="822"/>
      <c r="AI35" s="482">
        <f t="shared" si="3"/>
        <v>12000</v>
      </c>
      <c r="AJ35" s="326">
        <f t="shared" si="4"/>
        <v>0</v>
      </c>
      <c r="AK35" s="4177"/>
      <c r="AL35" s="349">
        <f t="shared" si="5"/>
        <v>12000</v>
      </c>
      <c r="AM35" s="337"/>
      <c r="AN35" s="327"/>
      <c r="AO35" s="328"/>
      <c r="AP35" s="2722"/>
      <c r="AQ35" s="2723"/>
      <c r="AR35" s="333">
        <f t="shared" si="6"/>
        <v>0</v>
      </c>
      <c r="AS35" s="330">
        <f t="shared" si="7"/>
        <v>0</v>
      </c>
      <c r="AT35" s="330">
        <f t="shared" si="8"/>
        <v>0</v>
      </c>
      <c r="AU35" s="849"/>
      <c r="AV35" s="849"/>
      <c r="AW35" s="3156">
        <f t="shared" si="9"/>
        <v>0</v>
      </c>
      <c r="AX35" s="3140"/>
    </row>
    <row r="36" spans="1:50" s="267" customFormat="1" ht="140.25">
      <c r="A36" s="1565" t="s">
        <v>5912</v>
      </c>
      <c r="B36" s="338" t="s">
        <v>7699</v>
      </c>
      <c r="C36" s="321">
        <v>0</v>
      </c>
      <c r="D36" s="323">
        <v>42562</v>
      </c>
      <c r="E36" s="829" t="s">
        <v>6387</v>
      </c>
      <c r="F36" s="830" t="s">
        <v>4932</v>
      </c>
      <c r="G36" s="2621">
        <v>1</v>
      </c>
      <c r="H36" s="332" t="s">
        <v>7702</v>
      </c>
      <c r="I36" s="339" t="s">
        <v>1433</v>
      </c>
      <c r="J36" s="322" t="s">
        <v>1434</v>
      </c>
      <c r="K36" s="340">
        <v>43773</v>
      </c>
      <c r="L36" s="339" t="s">
        <v>475</v>
      </c>
      <c r="M36" s="322" t="s">
        <v>858</v>
      </c>
      <c r="N36" s="339" t="s">
        <v>3895</v>
      </c>
      <c r="O36" s="332" t="s">
        <v>6210</v>
      </c>
      <c r="P36" s="345" t="s">
        <v>7703</v>
      </c>
      <c r="Q36" s="322" t="s">
        <v>3893</v>
      </c>
      <c r="R36" s="322" t="s">
        <v>3892</v>
      </c>
      <c r="S36" s="346"/>
      <c r="T36" s="347">
        <v>0</v>
      </c>
      <c r="U36" s="326">
        <v>0</v>
      </c>
      <c r="V36" s="348">
        <f t="shared" si="0"/>
        <v>0</v>
      </c>
      <c r="W36" s="347">
        <v>181933</v>
      </c>
      <c r="X36" s="326">
        <v>0</v>
      </c>
      <c r="Y36" s="348">
        <f t="shared" si="1"/>
        <v>181933</v>
      </c>
      <c r="Z36" s="347">
        <v>0</v>
      </c>
      <c r="AA36" s="326">
        <v>0</v>
      </c>
      <c r="AB36" s="348">
        <f t="shared" si="2"/>
        <v>0</v>
      </c>
      <c r="AC36" s="820"/>
      <c r="AD36" s="821"/>
      <c r="AE36" s="822"/>
      <c r="AF36" s="820"/>
      <c r="AG36" s="821"/>
      <c r="AH36" s="822"/>
      <c r="AI36" s="482">
        <f t="shared" si="3"/>
        <v>181933</v>
      </c>
      <c r="AJ36" s="326">
        <f t="shared" si="4"/>
        <v>0</v>
      </c>
      <c r="AK36" s="4177"/>
      <c r="AL36" s="349">
        <f t="shared" si="5"/>
        <v>181933</v>
      </c>
      <c r="AM36" s="337"/>
      <c r="AN36" s="327"/>
      <c r="AO36" s="328"/>
      <c r="AP36" s="2722"/>
      <c r="AQ36" s="2723"/>
      <c r="AR36" s="333">
        <f t="shared" si="6"/>
        <v>0</v>
      </c>
      <c r="AS36" s="330">
        <f t="shared" si="7"/>
        <v>0</v>
      </c>
      <c r="AT36" s="330">
        <f t="shared" si="8"/>
        <v>0</v>
      </c>
      <c r="AU36" s="849"/>
      <c r="AV36" s="849"/>
      <c r="AW36" s="3157">
        <f t="shared" si="9"/>
        <v>0</v>
      </c>
      <c r="AX36" s="3140"/>
    </row>
    <row r="37" spans="1:50" s="267" customFormat="1" ht="140.25">
      <c r="A37" s="1565" t="s">
        <v>5912</v>
      </c>
      <c r="B37" s="338" t="s">
        <v>7700</v>
      </c>
      <c r="C37" s="321">
        <v>0</v>
      </c>
      <c r="D37" s="323">
        <v>42562</v>
      </c>
      <c r="E37" s="829" t="s">
        <v>6387</v>
      </c>
      <c r="F37" s="830" t="s">
        <v>4932</v>
      </c>
      <c r="G37" s="2621">
        <v>1</v>
      </c>
      <c r="H37" s="332" t="s">
        <v>7701</v>
      </c>
      <c r="I37" s="339" t="s">
        <v>1433</v>
      </c>
      <c r="J37" s="322" t="s">
        <v>1434</v>
      </c>
      <c r="K37" s="340">
        <v>43773</v>
      </c>
      <c r="L37" s="339" t="s">
        <v>475</v>
      </c>
      <c r="M37" s="322" t="s">
        <v>858</v>
      </c>
      <c r="N37" s="339" t="s">
        <v>2251</v>
      </c>
      <c r="O37" s="332" t="s">
        <v>6211</v>
      </c>
      <c r="P37" s="345" t="s">
        <v>7703</v>
      </c>
      <c r="Q37" s="322" t="s">
        <v>3896</v>
      </c>
      <c r="R37" s="322" t="s">
        <v>3892</v>
      </c>
      <c r="S37" s="346"/>
      <c r="T37" s="347">
        <v>0</v>
      </c>
      <c r="U37" s="326">
        <v>0</v>
      </c>
      <c r="V37" s="348">
        <f t="shared" si="0"/>
        <v>0</v>
      </c>
      <c r="W37" s="347">
        <v>155943</v>
      </c>
      <c r="X37" s="326">
        <v>0</v>
      </c>
      <c r="Y37" s="348">
        <f t="shared" si="1"/>
        <v>155943</v>
      </c>
      <c r="Z37" s="347">
        <v>0</v>
      </c>
      <c r="AA37" s="326">
        <v>0</v>
      </c>
      <c r="AB37" s="348">
        <f t="shared" si="2"/>
        <v>0</v>
      </c>
      <c r="AC37" s="820"/>
      <c r="AD37" s="821"/>
      <c r="AE37" s="822"/>
      <c r="AF37" s="820"/>
      <c r="AG37" s="821"/>
      <c r="AH37" s="822"/>
      <c r="AI37" s="482">
        <f t="shared" si="3"/>
        <v>155943</v>
      </c>
      <c r="AJ37" s="326">
        <f t="shared" si="4"/>
        <v>0</v>
      </c>
      <c r="AK37" s="4177"/>
      <c r="AL37" s="349">
        <f t="shared" si="5"/>
        <v>155943</v>
      </c>
      <c r="AM37" s="337"/>
      <c r="AN37" s="327"/>
      <c r="AO37" s="328"/>
      <c r="AP37" s="2722"/>
      <c r="AQ37" s="2723"/>
      <c r="AR37" s="333">
        <f t="shared" si="6"/>
        <v>0</v>
      </c>
      <c r="AS37" s="330">
        <f t="shared" si="7"/>
        <v>0</v>
      </c>
      <c r="AT37" s="330">
        <f t="shared" si="8"/>
        <v>0</v>
      </c>
      <c r="AU37" s="849"/>
      <c r="AV37" s="849"/>
      <c r="AW37" s="3157">
        <f t="shared" si="9"/>
        <v>0</v>
      </c>
      <c r="AX37" s="3140"/>
    </row>
    <row r="38" spans="1:50" s="267" customFormat="1" ht="76.5">
      <c r="A38" s="1564" t="s">
        <v>4276</v>
      </c>
      <c r="B38" s="338" t="s">
        <v>10924</v>
      </c>
      <c r="C38" s="321">
        <v>0</v>
      </c>
      <c r="D38" s="323">
        <v>43634</v>
      </c>
      <c r="E38" s="3051" t="s">
        <v>6386</v>
      </c>
      <c r="F38" s="324" t="s">
        <v>5757</v>
      </c>
      <c r="G38" s="2621">
        <v>1.0247219999999999</v>
      </c>
      <c r="H38" s="2273" t="s">
        <v>6810</v>
      </c>
      <c r="I38" s="339" t="s">
        <v>6811</v>
      </c>
      <c r="J38" s="322" t="s">
        <v>4306</v>
      </c>
      <c r="K38" s="340">
        <v>44365</v>
      </c>
      <c r="L38" s="339" t="s">
        <v>6812</v>
      </c>
      <c r="M38" s="322" t="s">
        <v>6813</v>
      </c>
      <c r="N38" s="339" t="s">
        <v>6814</v>
      </c>
      <c r="O38" s="332" t="s">
        <v>6815</v>
      </c>
      <c r="P38" s="667" t="s">
        <v>10923</v>
      </c>
      <c r="Q38" s="322" t="s">
        <v>5708</v>
      </c>
      <c r="R38" s="322" t="s">
        <v>5350</v>
      </c>
      <c r="S38" s="346"/>
      <c r="T38" s="347">
        <v>2444</v>
      </c>
      <c r="U38" s="326">
        <v>0</v>
      </c>
      <c r="V38" s="348">
        <f t="shared" si="0"/>
        <v>2444</v>
      </c>
      <c r="W38" s="347">
        <v>3056</v>
      </c>
      <c r="X38" s="326">
        <v>0</v>
      </c>
      <c r="Y38" s="348">
        <f t="shared" si="1"/>
        <v>3056</v>
      </c>
      <c r="Z38" s="347">
        <v>611</v>
      </c>
      <c r="AA38" s="326">
        <v>0</v>
      </c>
      <c r="AB38" s="348">
        <f t="shared" si="2"/>
        <v>611</v>
      </c>
      <c r="AC38" s="820"/>
      <c r="AD38" s="821"/>
      <c r="AE38" s="822"/>
      <c r="AF38" s="820"/>
      <c r="AG38" s="821"/>
      <c r="AH38" s="822"/>
      <c r="AI38" s="482">
        <f t="shared" si="3"/>
        <v>6111</v>
      </c>
      <c r="AJ38" s="326">
        <f t="shared" si="4"/>
        <v>0</v>
      </c>
      <c r="AK38" s="4177"/>
      <c r="AL38" s="349">
        <f t="shared" si="5"/>
        <v>6111</v>
      </c>
      <c r="AM38" s="2002"/>
      <c r="AN38" s="3357"/>
      <c r="AO38" s="695"/>
      <c r="AP38" s="2722"/>
      <c r="AQ38" s="2723"/>
      <c r="AR38" s="333">
        <v>0</v>
      </c>
      <c r="AS38" s="330">
        <v>0</v>
      </c>
      <c r="AT38" s="330">
        <v>0</v>
      </c>
      <c r="AU38" s="849">
        <v>0</v>
      </c>
      <c r="AV38" s="849">
        <v>0</v>
      </c>
      <c r="AW38" s="3156">
        <f t="shared" ref="AW38:AW43" si="14">ROUND(AL38*AQ38/G38,0)</f>
        <v>0</v>
      </c>
      <c r="AX38" s="3140"/>
    </row>
    <row r="39" spans="1:50" s="267" customFormat="1" ht="76.5">
      <c r="A39" s="1564" t="s">
        <v>4276</v>
      </c>
      <c r="B39" s="338" t="s">
        <v>7706</v>
      </c>
      <c r="C39" s="321">
        <v>0</v>
      </c>
      <c r="D39" s="323">
        <v>42136</v>
      </c>
      <c r="E39" s="829" t="s">
        <v>6387</v>
      </c>
      <c r="F39" s="830" t="s">
        <v>4932</v>
      </c>
      <c r="G39" s="2621">
        <v>1</v>
      </c>
      <c r="H39" s="332" t="s">
        <v>3044</v>
      </c>
      <c r="I39" s="339" t="s">
        <v>1433</v>
      </c>
      <c r="J39" s="322" t="s">
        <v>1434</v>
      </c>
      <c r="K39" s="340">
        <v>43592</v>
      </c>
      <c r="L39" s="339" t="s">
        <v>3045</v>
      </c>
      <c r="M39" s="322" t="s">
        <v>3046</v>
      </c>
      <c r="N39" s="339" t="s">
        <v>3047</v>
      </c>
      <c r="O39" s="332" t="s">
        <v>6193</v>
      </c>
      <c r="P39" s="345"/>
      <c r="Q39" s="322" t="s">
        <v>3048</v>
      </c>
      <c r="R39" s="322" t="s">
        <v>3049</v>
      </c>
      <c r="S39" s="346"/>
      <c r="T39" s="347">
        <v>5440</v>
      </c>
      <c r="U39" s="326">
        <v>0</v>
      </c>
      <c r="V39" s="348">
        <f t="shared" si="0"/>
        <v>5440</v>
      </c>
      <c r="W39" s="347">
        <v>960</v>
      </c>
      <c r="X39" s="326">
        <v>0</v>
      </c>
      <c r="Y39" s="348">
        <f t="shared" si="1"/>
        <v>960</v>
      </c>
      <c r="Z39" s="347">
        <v>3800</v>
      </c>
      <c r="AA39" s="326">
        <v>0</v>
      </c>
      <c r="AB39" s="348">
        <f t="shared" si="2"/>
        <v>3800</v>
      </c>
      <c r="AC39" s="347"/>
      <c r="AD39" s="326"/>
      <c r="AE39" s="348"/>
      <c r="AF39" s="347"/>
      <c r="AG39" s="326"/>
      <c r="AH39" s="348"/>
      <c r="AI39" s="482">
        <f>T39+W39+Z39+AC39+AF39</f>
        <v>10200</v>
      </c>
      <c r="AJ39" s="326">
        <f>U39+X39+AA39</f>
        <v>0</v>
      </c>
      <c r="AK39" s="4177"/>
      <c r="AL39" s="349">
        <f t="shared" si="5"/>
        <v>10200</v>
      </c>
      <c r="AM39" s="2002"/>
      <c r="AN39" s="3357"/>
      <c r="AO39" s="695"/>
      <c r="AP39" s="2722"/>
      <c r="AQ39" s="2723"/>
      <c r="AR39" s="333">
        <v>0</v>
      </c>
      <c r="AS39" s="330">
        <v>0</v>
      </c>
      <c r="AT39" s="330">
        <v>0</v>
      </c>
      <c r="AU39" s="330">
        <v>0</v>
      </c>
      <c r="AV39" s="330">
        <v>0</v>
      </c>
      <c r="AW39" s="3156">
        <f t="shared" si="14"/>
        <v>0</v>
      </c>
      <c r="AX39" s="3140"/>
    </row>
    <row r="40" spans="1:50" s="267" customFormat="1" ht="127.5">
      <c r="A40" s="1565" t="s">
        <v>5912</v>
      </c>
      <c r="B40" s="827" t="s">
        <v>7705</v>
      </c>
      <c r="C40" s="828">
        <v>0</v>
      </c>
      <c r="D40" s="829">
        <v>42188</v>
      </c>
      <c r="E40" s="829" t="s">
        <v>6387</v>
      </c>
      <c r="F40" s="830" t="s">
        <v>4932</v>
      </c>
      <c r="G40" s="2621">
        <v>1</v>
      </c>
      <c r="H40" s="832" t="s">
        <v>6922</v>
      </c>
      <c r="I40" s="833" t="s">
        <v>1433</v>
      </c>
      <c r="J40" s="834" t="s">
        <v>1434</v>
      </c>
      <c r="K40" s="835">
        <v>43588</v>
      </c>
      <c r="L40" s="833" t="s">
        <v>993</v>
      </c>
      <c r="M40" s="834" t="s">
        <v>1957</v>
      </c>
      <c r="N40" s="833" t="s">
        <v>3129</v>
      </c>
      <c r="O40" s="832" t="s">
        <v>6188</v>
      </c>
      <c r="P40" s="836" t="s">
        <v>7704</v>
      </c>
      <c r="Q40" s="834" t="s">
        <v>3132</v>
      </c>
      <c r="R40" s="834" t="s">
        <v>3131</v>
      </c>
      <c r="S40" s="837"/>
      <c r="T40" s="838">
        <v>0</v>
      </c>
      <c r="U40" s="839">
        <v>0</v>
      </c>
      <c r="V40" s="840">
        <f t="shared" si="0"/>
        <v>0</v>
      </c>
      <c r="W40" s="838">
        <v>0</v>
      </c>
      <c r="X40" s="839">
        <v>0</v>
      </c>
      <c r="Y40" s="840">
        <f t="shared" si="1"/>
        <v>0</v>
      </c>
      <c r="Z40" s="838">
        <v>720</v>
      </c>
      <c r="AA40" s="839">
        <v>0</v>
      </c>
      <c r="AB40" s="840">
        <f t="shared" si="2"/>
        <v>720</v>
      </c>
      <c r="AC40" s="838"/>
      <c r="AD40" s="839"/>
      <c r="AE40" s="840"/>
      <c r="AF40" s="838"/>
      <c r="AG40" s="839"/>
      <c r="AH40" s="840"/>
      <c r="AI40" s="841">
        <f>T40+W40+Z40+AC40+AF40</f>
        <v>720</v>
      </c>
      <c r="AJ40" s="326">
        <f>U40+X40+AA40</f>
        <v>0</v>
      </c>
      <c r="AK40" s="3906"/>
      <c r="AL40" s="869">
        <f t="shared" si="5"/>
        <v>720</v>
      </c>
      <c r="AM40" s="3608"/>
      <c r="AN40" s="3609"/>
      <c r="AO40" s="3610"/>
      <c r="AP40" s="2722"/>
      <c r="AQ40" s="2723"/>
      <c r="AR40" s="333">
        <v>0</v>
      </c>
      <c r="AS40" s="330">
        <v>0</v>
      </c>
      <c r="AT40" s="330">
        <v>0</v>
      </c>
      <c r="AU40" s="330">
        <v>0</v>
      </c>
      <c r="AV40" s="330">
        <v>0</v>
      </c>
      <c r="AW40" s="3156">
        <f t="shared" si="14"/>
        <v>0</v>
      </c>
      <c r="AX40" s="3140"/>
    </row>
    <row r="41" spans="1:50" s="267" customFormat="1" ht="63.75">
      <c r="A41" s="1564" t="s">
        <v>4276</v>
      </c>
      <c r="B41" s="338" t="s">
        <v>6934</v>
      </c>
      <c r="C41" s="321">
        <v>0</v>
      </c>
      <c r="D41" s="323">
        <v>42216</v>
      </c>
      <c r="E41" s="829" t="s">
        <v>6387</v>
      </c>
      <c r="F41" s="830" t="s">
        <v>4932</v>
      </c>
      <c r="G41" s="2621">
        <v>1</v>
      </c>
      <c r="H41" s="332" t="s">
        <v>3705</v>
      </c>
      <c r="I41" s="339" t="s">
        <v>1433</v>
      </c>
      <c r="J41" s="322" t="s">
        <v>1434</v>
      </c>
      <c r="K41" s="340">
        <v>43677</v>
      </c>
      <c r="L41" s="339" t="s">
        <v>3188</v>
      </c>
      <c r="M41" s="322" t="s">
        <v>3189</v>
      </c>
      <c r="N41" s="339" t="s">
        <v>3190</v>
      </c>
      <c r="O41" s="332" t="s">
        <v>6189</v>
      </c>
      <c r="P41" s="345"/>
      <c r="Q41" s="322" t="s">
        <v>3191</v>
      </c>
      <c r="R41" s="322" t="s">
        <v>3192</v>
      </c>
      <c r="S41" s="346"/>
      <c r="T41" s="347">
        <v>42844</v>
      </c>
      <c r="U41" s="326">
        <v>0</v>
      </c>
      <c r="V41" s="348">
        <f t="shared" si="0"/>
        <v>42844</v>
      </c>
      <c r="W41" s="347">
        <v>347</v>
      </c>
      <c r="X41" s="326">
        <v>0</v>
      </c>
      <c r="Y41" s="348">
        <f t="shared" si="1"/>
        <v>347</v>
      </c>
      <c r="Z41" s="347">
        <v>7390</v>
      </c>
      <c r="AA41" s="326">
        <v>0</v>
      </c>
      <c r="AB41" s="348">
        <f t="shared" si="2"/>
        <v>7390</v>
      </c>
      <c r="AC41" s="347"/>
      <c r="AD41" s="326"/>
      <c r="AE41" s="348"/>
      <c r="AF41" s="347"/>
      <c r="AG41" s="326"/>
      <c r="AH41" s="348"/>
      <c r="AI41" s="482">
        <f>T41+W41+Z41+AC41+AF41</f>
        <v>50581</v>
      </c>
      <c r="AJ41" s="326">
        <f>U41+X41+AA41</f>
        <v>0</v>
      </c>
      <c r="AK41" s="4177"/>
      <c r="AL41" s="349">
        <f t="shared" si="5"/>
        <v>50581</v>
      </c>
      <c r="AM41" s="2002"/>
      <c r="AN41" s="3357"/>
      <c r="AO41" s="695"/>
      <c r="AP41" s="2722"/>
      <c r="AQ41" s="2723"/>
      <c r="AR41" s="333">
        <v>0</v>
      </c>
      <c r="AS41" s="330">
        <v>0</v>
      </c>
      <c r="AT41" s="330">
        <v>0</v>
      </c>
      <c r="AU41" s="330">
        <v>0</v>
      </c>
      <c r="AV41" s="330">
        <v>0</v>
      </c>
      <c r="AW41" s="3156">
        <f t="shared" si="14"/>
        <v>0</v>
      </c>
      <c r="AX41" s="3140"/>
    </row>
    <row r="42" spans="1:50" s="267" customFormat="1" ht="114.75">
      <c r="A42" s="1564" t="s">
        <v>4276</v>
      </c>
      <c r="B42" s="338" t="s">
        <v>7408</v>
      </c>
      <c r="C42" s="321">
        <v>1</v>
      </c>
      <c r="D42" s="323">
        <v>42299</v>
      </c>
      <c r="E42" s="829" t="s">
        <v>6387</v>
      </c>
      <c r="F42" s="830" t="s">
        <v>4932</v>
      </c>
      <c r="G42" s="2621">
        <v>1</v>
      </c>
      <c r="H42" s="332" t="s">
        <v>7407</v>
      </c>
      <c r="I42" s="339" t="s">
        <v>1433</v>
      </c>
      <c r="J42" s="322" t="s">
        <v>1434</v>
      </c>
      <c r="K42" s="340">
        <v>43761</v>
      </c>
      <c r="L42" s="339" t="s">
        <v>3432</v>
      </c>
      <c r="M42" s="322" t="s">
        <v>2046</v>
      </c>
      <c r="N42" s="339" t="s">
        <v>3433</v>
      </c>
      <c r="O42" s="332" t="s">
        <v>6207</v>
      </c>
      <c r="P42" s="345" t="s">
        <v>3512</v>
      </c>
      <c r="Q42" s="322" t="s">
        <v>3434</v>
      </c>
      <c r="R42" s="322" t="s">
        <v>3513</v>
      </c>
      <c r="S42" s="346"/>
      <c r="T42" s="347">
        <v>39360</v>
      </c>
      <c r="U42" s="326">
        <v>0</v>
      </c>
      <c r="V42" s="348">
        <f t="shared" si="0"/>
        <v>39360</v>
      </c>
      <c r="W42" s="347">
        <v>49200</v>
      </c>
      <c r="X42" s="326">
        <v>0</v>
      </c>
      <c r="Y42" s="348">
        <f t="shared" si="1"/>
        <v>49200</v>
      </c>
      <c r="Z42" s="347">
        <v>9840</v>
      </c>
      <c r="AA42" s="326">
        <v>0</v>
      </c>
      <c r="AB42" s="348">
        <f t="shared" si="2"/>
        <v>9840</v>
      </c>
      <c r="AC42" s="820"/>
      <c r="AD42" s="821"/>
      <c r="AE42" s="822"/>
      <c r="AF42" s="820"/>
      <c r="AG42" s="821"/>
      <c r="AH42" s="822"/>
      <c r="AI42" s="482">
        <f>T42+W42+Z42+AC42+AF42</f>
        <v>98400</v>
      </c>
      <c r="AJ42" s="326">
        <f>U42+X42+AA42</f>
        <v>0</v>
      </c>
      <c r="AK42" s="3917">
        <v>0</v>
      </c>
      <c r="AL42" s="349">
        <f t="shared" ref="AL42:AL47" si="15">AI42-AJ42-AK42</f>
        <v>98400</v>
      </c>
      <c r="AM42" s="2002"/>
      <c r="AN42" s="3357"/>
      <c r="AO42" s="695"/>
      <c r="AP42" s="2722"/>
      <c r="AQ42" s="2723"/>
      <c r="AR42" s="333">
        <v>0</v>
      </c>
      <c r="AS42" s="330">
        <v>0</v>
      </c>
      <c r="AT42" s="330">
        <v>0</v>
      </c>
      <c r="AU42" s="849">
        <v>0</v>
      </c>
      <c r="AV42" s="849">
        <v>0</v>
      </c>
      <c r="AW42" s="3156">
        <f t="shared" si="14"/>
        <v>0</v>
      </c>
      <c r="AX42" s="3140"/>
    </row>
    <row r="43" spans="1:50" s="267" customFormat="1" ht="89.25">
      <c r="A43" s="1564" t="s">
        <v>4276</v>
      </c>
      <c r="B43" s="338" t="s">
        <v>10928</v>
      </c>
      <c r="C43" s="321">
        <v>0</v>
      </c>
      <c r="D43" s="323">
        <v>43887</v>
      </c>
      <c r="E43" s="3058" t="s">
        <v>7151</v>
      </c>
      <c r="F43" s="324" t="s">
        <v>6893</v>
      </c>
      <c r="G43" s="2621">
        <v>1.047839</v>
      </c>
      <c r="H43" s="2273" t="s">
        <v>7698</v>
      </c>
      <c r="I43" s="339" t="s">
        <v>7682</v>
      </c>
      <c r="J43" s="2399" t="s">
        <v>4306</v>
      </c>
      <c r="K43" s="340">
        <v>44618</v>
      </c>
      <c r="L43" s="339" t="s">
        <v>7683</v>
      </c>
      <c r="M43" s="322" t="s">
        <v>7684</v>
      </c>
      <c r="N43" s="339" t="s">
        <v>7685</v>
      </c>
      <c r="O43" s="332" t="s">
        <v>7686</v>
      </c>
      <c r="P43" s="345" t="s">
        <v>10925</v>
      </c>
      <c r="Q43" s="322" t="s">
        <v>5708</v>
      </c>
      <c r="R43" s="322" t="s">
        <v>5350</v>
      </c>
      <c r="S43" s="346"/>
      <c r="T43" s="347"/>
      <c r="U43" s="326"/>
      <c r="V43" s="348"/>
      <c r="W43" s="347"/>
      <c r="X43" s="326"/>
      <c r="Y43" s="348"/>
      <c r="Z43" s="347"/>
      <c r="AA43" s="326"/>
      <c r="AB43" s="348"/>
      <c r="AC43" s="820"/>
      <c r="AD43" s="821"/>
      <c r="AE43" s="822"/>
      <c r="AF43" s="820"/>
      <c r="AG43" s="821"/>
      <c r="AH43" s="822"/>
      <c r="AI43" s="482">
        <v>5625</v>
      </c>
      <c r="AJ43" s="326">
        <v>0</v>
      </c>
      <c r="AK43" s="3917">
        <v>0</v>
      </c>
      <c r="AL43" s="349">
        <f t="shared" si="15"/>
        <v>5625</v>
      </c>
      <c r="AM43" s="2002"/>
      <c r="AN43" s="3357"/>
      <c r="AO43" s="695"/>
      <c r="AP43" s="3362"/>
      <c r="AQ43" s="3555"/>
      <c r="AR43" s="333"/>
      <c r="AS43" s="330"/>
      <c r="AT43" s="330"/>
      <c r="AU43" s="849"/>
      <c r="AV43" s="849"/>
      <c r="AW43" s="3156">
        <f t="shared" si="14"/>
        <v>0</v>
      </c>
      <c r="AX43" s="3140"/>
    </row>
    <row r="44" spans="1:50" s="267" customFormat="1" ht="76.5">
      <c r="A44" s="1564" t="s">
        <v>4276</v>
      </c>
      <c r="B44" s="338" t="s">
        <v>10927</v>
      </c>
      <c r="C44" s="321">
        <v>0</v>
      </c>
      <c r="D44" s="323">
        <v>43808</v>
      </c>
      <c r="E44" s="3058" t="s">
        <v>7151</v>
      </c>
      <c r="F44" s="324" t="s">
        <v>6893</v>
      </c>
      <c r="G44" s="2621">
        <v>1.047839</v>
      </c>
      <c r="H44" s="2273" t="s">
        <v>7422</v>
      </c>
      <c r="I44" s="339" t="s">
        <v>7423</v>
      </c>
      <c r="J44" s="2399" t="s">
        <v>4306</v>
      </c>
      <c r="K44" s="340">
        <v>44539</v>
      </c>
      <c r="L44" s="339" t="s">
        <v>7424</v>
      </c>
      <c r="M44" s="322" t="s">
        <v>7003</v>
      </c>
      <c r="N44" s="339" t="s">
        <v>7425</v>
      </c>
      <c r="O44" s="332" t="s">
        <v>9463</v>
      </c>
      <c r="P44" s="667" t="s">
        <v>10926</v>
      </c>
      <c r="Q44" s="322" t="s">
        <v>5708</v>
      </c>
      <c r="R44" s="322" t="s">
        <v>5350</v>
      </c>
      <c r="S44" s="346"/>
      <c r="T44" s="347"/>
      <c r="U44" s="326"/>
      <c r="V44" s="348"/>
      <c r="W44" s="347"/>
      <c r="X44" s="326"/>
      <c r="Y44" s="348"/>
      <c r="Z44" s="347"/>
      <c r="AA44" s="326"/>
      <c r="AB44" s="348"/>
      <c r="AC44" s="820"/>
      <c r="AD44" s="821"/>
      <c r="AE44" s="822"/>
      <c r="AF44" s="820"/>
      <c r="AG44" s="821"/>
      <c r="AH44" s="822"/>
      <c r="AI44" s="482">
        <v>6249</v>
      </c>
      <c r="AJ44" s="326">
        <v>0</v>
      </c>
      <c r="AK44" s="3917">
        <v>0</v>
      </c>
      <c r="AL44" s="349">
        <f t="shared" si="15"/>
        <v>6249</v>
      </c>
      <c r="AM44" s="2002"/>
      <c r="AN44" s="3357"/>
      <c r="AO44" s="695"/>
      <c r="AP44" s="3362"/>
      <c r="AQ44" s="3555"/>
      <c r="AR44" s="333"/>
      <c r="AS44" s="330"/>
      <c r="AT44" s="330"/>
      <c r="AU44" s="849"/>
      <c r="AV44" s="849"/>
      <c r="AW44" s="3156">
        <f t="shared" ref="AW44:AW51" si="16">ROUND(AL44*AQ44/G44,0)</f>
        <v>0</v>
      </c>
      <c r="AX44" s="3140"/>
    </row>
    <row r="45" spans="1:50" s="267" customFormat="1" ht="76.5">
      <c r="A45" s="1565" t="s">
        <v>5912</v>
      </c>
      <c r="B45" s="338" t="s">
        <v>7776</v>
      </c>
      <c r="C45" s="321" t="s">
        <v>1432</v>
      </c>
      <c r="D45" s="323">
        <v>40967</v>
      </c>
      <c r="E45" s="3051" t="s">
        <v>6390</v>
      </c>
      <c r="F45" s="324" t="s">
        <v>5913</v>
      </c>
      <c r="G45" s="2621">
        <v>1</v>
      </c>
      <c r="H45" s="332" t="s">
        <v>3778</v>
      </c>
      <c r="I45" s="339" t="s">
        <v>1433</v>
      </c>
      <c r="J45" s="322" t="s">
        <v>1434</v>
      </c>
      <c r="K45" s="340" t="s">
        <v>3777</v>
      </c>
      <c r="L45" s="339" t="s">
        <v>1812</v>
      </c>
      <c r="M45" s="322" t="s">
        <v>1810</v>
      </c>
      <c r="N45" s="339" t="s">
        <v>1487</v>
      </c>
      <c r="O45" s="332" t="s">
        <v>6196</v>
      </c>
      <c r="P45" s="345" t="s">
        <v>1488</v>
      </c>
      <c r="Q45" s="322" t="s">
        <v>1643</v>
      </c>
      <c r="R45" s="322" t="s">
        <v>1489</v>
      </c>
      <c r="S45" s="346"/>
      <c r="T45" s="347">
        <v>9095</v>
      </c>
      <c r="U45" s="326">
        <v>0</v>
      </c>
      <c r="V45" s="348">
        <f>T45-U45</f>
        <v>9095</v>
      </c>
      <c r="W45" s="347">
        <v>225</v>
      </c>
      <c r="X45" s="326">
        <v>0</v>
      </c>
      <c r="Y45" s="348">
        <f>W45-X45</f>
        <v>225</v>
      </c>
      <c r="Z45" s="347">
        <v>0</v>
      </c>
      <c r="AA45" s="326">
        <v>0</v>
      </c>
      <c r="AB45" s="348">
        <f>Z45-AA45</f>
        <v>0</v>
      </c>
      <c r="AC45" s="820">
        <v>0</v>
      </c>
      <c r="AD45" s="821">
        <v>0</v>
      </c>
      <c r="AE45" s="822">
        <f>AC45-AD45</f>
        <v>0</v>
      </c>
      <c r="AF45" s="820">
        <v>0</v>
      </c>
      <c r="AG45" s="821">
        <v>0</v>
      </c>
      <c r="AH45" s="822">
        <f>AF45-AG45</f>
        <v>0</v>
      </c>
      <c r="AI45" s="482">
        <f>T45+W45+Z45</f>
        <v>9320</v>
      </c>
      <c r="AJ45" s="326">
        <f>U45+X45+AA45</f>
        <v>0</v>
      </c>
      <c r="AK45" s="3917">
        <v>0</v>
      </c>
      <c r="AL45" s="349">
        <f t="shared" si="15"/>
        <v>9320</v>
      </c>
      <c r="AM45" s="3356"/>
      <c r="AN45" s="3357"/>
      <c r="AO45" s="695"/>
      <c r="AP45" s="2722"/>
      <c r="AQ45" s="2723"/>
      <c r="AR45" s="333">
        <v>0</v>
      </c>
      <c r="AS45" s="330">
        <v>0</v>
      </c>
      <c r="AT45" s="330">
        <v>0</v>
      </c>
      <c r="AU45" s="849">
        <v>0</v>
      </c>
      <c r="AV45" s="849">
        <v>0</v>
      </c>
      <c r="AW45" s="3156">
        <f t="shared" si="16"/>
        <v>0</v>
      </c>
      <c r="AX45" s="3140" t="s">
        <v>1728</v>
      </c>
    </row>
    <row r="46" spans="1:50" s="267" customFormat="1" ht="63.75">
      <c r="A46" s="1564" t="s">
        <v>4276</v>
      </c>
      <c r="B46" s="338" t="s">
        <v>7884</v>
      </c>
      <c r="C46" s="321">
        <v>0</v>
      </c>
      <c r="D46" s="323">
        <v>42489</v>
      </c>
      <c r="E46" s="829" t="s">
        <v>6387</v>
      </c>
      <c r="F46" s="830" t="s">
        <v>4932</v>
      </c>
      <c r="G46" s="2621">
        <v>1</v>
      </c>
      <c r="H46" s="332" t="s">
        <v>3770</v>
      </c>
      <c r="I46" s="339" t="s">
        <v>1436</v>
      </c>
      <c r="J46" s="322" t="s">
        <v>1437</v>
      </c>
      <c r="K46" s="340">
        <v>43968</v>
      </c>
      <c r="L46" s="339" t="s">
        <v>3774</v>
      </c>
      <c r="M46" s="322" t="s">
        <v>3775</v>
      </c>
      <c r="N46" s="339" t="s">
        <v>3771</v>
      </c>
      <c r="O46" s="332" t="s">
        <v>6337</v>
      </c>
      <c r="P46" s="345"/>
      <c r="Q46" s="322" t="s">
        <v>3772</v>
      </c>
      <c r="R46" s="322" t="s">
        <v>3773</v>
      </c>
      <c r="S46" s="346"/>
      <c r="T46" s="347">
        <v>28560</v>
      </c>
      <c r="U46" s="326">
        <v>0</v>
      </c>
      <c r="V46" s="348">
        <f>T46-U46</f>
        <v>28560</v>
      </c>
      <c r="W46" s="347">
        <v>2520</v>
      </c>
      <c r="X46" s="326">
        <v>0</v>
      </c>
      <c r="Y46" s="348">
        <f>W46-X46</f>
        <v>2520</v>
      </c>
      <c r="Z46" s="347">
        <v>0</v>
      </c>
      <c r="AA46" s="326">
        <v>0</v>
      </c>
      <c r="AB46" s="348">
        <f>Z46-AA46</f>
        <v>0</v>
      </c>
      <c r="AC46" s="820"/>
      <c r="AD46" s="821"/>
      <c r="AE46" s="822"/>
      <c r="AF46" s="820"/>
      <c r="AG46" s="821"/>
      <c r="AH46" s="822"/>
      <c r="AI46" s="482">
        <f>T46+W46+Z46+AC46+AF46</f>
        <v>31080</v>
      </c>
      <c r="AJ46" s="326">
        <f>U46+X46+AA46</f>
        <v>0</v>
      </c>
      <c r="AK46" s="3917">
        <v>0</v>
      </c>
      <c r="AL46" s="349">
        <f t="shared" si="15"/>
        <v>31080</v>
      </c>
      <c r="AM46" s="2002"/>
      <c r="AN46" s="3357"/>
      <c r="AO46" s="695"/>
      <c r="AP46" s="2722"/>
      <c r="AQ46" s="2723"/>
      <c r="AR46" s="333">
        <v>0</v>
      </c>
      <c r="AS46" s="330">
        <v>0</v>
      </c>
      <c r="AT46" s="330">
        <v>0</v>
      </c>
      <c r="AU46" s="849">
        <v>0</v>
      </c>
      <c r="AV46" s="849">
        <v>0</v>
      </c>
      <c r="AW46" s="3156">
        <f t="shared" si="16"/>
        <v>0</v>
      </c>
      <c r="AX46" s="3140"/>
    </row>
    <row r="47" spans="1:50" s="267" customFormat="1" ht="89.25">
      <c r="A47" s="1564" t="s">
        <v>4276</v>
      </c>
      <c r="B47" s="338" t="s">
        <v>10930</v>
      </c>
      <c r="C47" s="321">
        <v>0</v>
      </c>
      <c r="D47" s="323">
        <v>43941</v>
      </c>
      <c r="E47" s="3058" t="s">
        <v>7151</v>
      </c>
      <c r="F47" s="324" t="s">
        <v>6893</v>
      </c>
      <c r="G47" s="2621">
        <v>1.047839</v>
      </c>
      <c r="H47" s="2273" t="s">
        <v>7810</v>
      </c>
      <c r="I47" s="339" t="s">
        <v>7811</v>
      </c>
      <c r="J47" s="2399" t="s">
        <v>4306</v>
      </c>
      <c r="K47" s="340">
        <v>44671</v>
      </c>
      <c r="L47" s="339" t="s">
        <v>7813</v>
      </c>
      <c r="M47" s="322" t="s">
        <v>7814</v>
      </c>
      <c r="N47" s="339" t="s">
        <v>7815</v>
      </c>
      <c r="O47" s="322" t="s">
        <v>7814</v>
      </c>
      <c r="P47" s="667" t="s">
        <v>10929</v>
      </c>
      <c r="Q47" s="322" t="s">
        <v>5708</v>
      </c>
      <c r="R47" s="322" t="s">
        <v>5350</v>
      </c>
      <c r="S47" s="346"/>
      <c r="T47" s="347"/>
      <c r="U47" s="326"/>
      <c r="V47" s="348"/>
      <c r="W47" s="347"/>
      <c r="X47" s="326"/>
      <c r="Y47" s="348"/>
      <c r="Z47" s="347"/>
      <c r="AA47" s="326"/>
      <c r="AB47" s="348"/>
      <c r="AC47" s="820"/>
      <c r="AD47" s="821"/>
      <c r="AE47" s="822"/>
      <c r="AF47" s="820"/>
      <c r="AG47" s="821"/>
      <c r="AH47" s="822"/>
      <c r="AI47" s="482">
        <v>6249</v>
      </c>
      <c r="AJ47" s="326">
        <v>0</v>
      </c>
      <c r="AK47" s="3917">
        <v>0</v>
      </c>
      <c r="AL47" s="349">
        <f t="shared" si="15"/>
        <v>6249</v>
      </c>
      <c r="AM47" s="2002"/>
      <c r="AN47" s="3357"/>
      <c r="AO47" s="695"/>
      <c r="AP47" s="3362"/>
      <c r="AQ47" s="3555"/>
      <c r="AR47" s="333"/>
      <c r="AS47" s="330"/>
      <c r="AT47" s="330"/>
      <c r="AU47" s="849"/>
      <c r="AV47" s="849"/>
      <c r="AW47" s="3156">
        <f t="shared" si="16"/>
        <v>0</v>
      </c>
      <c r="AX47" s="3140"/>
    </row>
    <row r="48" spans="1:50" s="267" customFormat="1" ht="99">
      <c r="A48" s="1565" t="s">
        <v>5912</v>
      </c>
      <c r="B48" s="3216" t="s">
        <v>8013</v>
      </c>
      <c r="C48" s="2421" t="s">
        <v>1432</v>
      </c>
      <c r="D48" s="2422">
        <v>41464</v>
      </c>
      <c r="E48" s="3055" t="s">
        <v>6388</v>
      </c>
      <c r="F48" s="3138" t="s">
        <v>5914</v>
      </c>
      <c r="G48" s="3139">
        <v>1</v>
      </c>
      <c r="H48" s="3217" t="s">
        <v>4918</v>
      </c>
      <c r="I48" s="339" t="s">
        <v>1436</v>
      </c>
      <c r="J48" s="322" t="s">
        <v>1437</v>
      </c>
      <c r="K48" s="3218">
        <v>42921</v>
      </c>
      <c r="L48" s="339" t="s">
        <v>1828</v>
      </c>
      <c r="M48" s="322" t="s">
        <v>1829</v>
      </c>
      <c r="N48" s="3219" t="s">
        <v>1550</v>
      </c>
      <c r="O48" s="3217" t="s">
        <v>6199</v>
      </c>
      <c r="P48" s="345"/>
      <c r="Q48" s="322" t="s">
        <v>1684</v>
      </c>
      <c r="R48" s="322" t="s">
        <v>1435</v>
      </c>
      <c r="S48" s="346"/>
      <c r="T48" s="347">
        <v>60331</v>
      </c>
      <c r="U48" s="326">
        <v>0</v>
      </c>
      <c r="V48" s="348">
        <f t="shared" ref="V48:V54" si="17">T48-U48</f>
        <v>60331</v>
      </c>
      <c r="W48" s="347">
        <v>75414</v>
      </c>
      <c r="X48" s="326">
        <v>0</v>
      </c>
      <c r="Y48" s="348">
        <f t="shared" ref="Y48:Y54" si="18">W48-X48</f>
        <v>75414</v>
      </c>
      <c r="Z48" s="347">
        <v>15083</v>
      </c>
      <c r="AA48" s="326">
        <v>0</v>
      </c>
      <c r="AB48" s="348">
        <f t="shared" ref="AB48:AB54" si="19">Z48-AA48</f>
        <v>15083</v>
      </c>
      <c r="AC48" s="820">
        <v>0</v>
      </c>
      <c r="AD48" s="821">
        <v>0</v>
      </c>
      <c r="AE48" s="822">
        <f>AC48-AD48</f>
        <v>0</v>
      </c>
      <c r="AF48" s="820">
        <v>0</v>
      </c>
      <c r="AG48" s="821">
        <v>0</v>
      </c>
      <c r="AH48" s="822">
        <f>AF48-AG48</f>
        <v>0</v>
      </c>
      <c r="AI48" s="482">
        <f t="shared" ref="AI48:AJ51" si="20">T48+W48+Z48</f>
        <v>150828</v>
      </c>
      <c r="AJ48" s="326">
        <f t="shared" si="20"/>
        <v>0</v>
      </c>
      <c r="AK48" s="3917">
        <v>0</v>
      </c>
      <c r="AL48" s="349">
        <f>AI48-AJ48-AK48</f>
        <v>150828</v>
      </c>
      <c r="AM48" s="3356"/>
      <c r="AN48" s="3357"/>
      <c r="AO48" s="695"/>
      <c r="AP48" s="2722"/>
      <c r="AQ48" s="2723"/>
      <c r="AR48" s="333">
        <v>0</v>
      </c>
      <c r="AS48" s="330">
        <v>0</v>
      </c>
      <c r="AT48" s="330">
        <v>0</v>
      </c>
      <c r="AU48" s="849">
        <v>0</v>
      </c>
      <c r="AV48" s="849">
        <v>0</v>
      </c>
      <c r="AW48" s="3156">
        <f t="shared" si="16"/>
        <v>0</v>
      </c>
      <c r="AX48" s="3140" t="s">
        <v>1728</v>
      </c>
    </row>
    <row r="49" spans="1:50" s="267" customFormat="1" ht="97.5">
      <c r="A49" s="1565" t="s">
        <v>5912</v>
      </c>
      <c r="B49" s="3216" t="s">
        <v>8014</v>
      </c>
      <c r="C49" s="2421" t="s">
        <v>1432</v>
      </c>
      <c r="D49" s="2422">
        <v>41464</v>
      </c>
      <c r="E49" s="3055" t="s">
        <v>6388</v>
      </c>
      <c r="F49" s="3138" t="s">
        <v>5914</v>
      </c>
      <c r="G49" s="3139">
        <v>1</v>
      </c>
      <c r="H49" s="3217" t="s">
        <v>4919</v>
      </c>
      <c r="I49" s="339" t="s">
        <v>1436</v>
      </c>
      <c r="J49" s="322" t="s">
        <v>1437</v>
      </c>
      <c r="K49" s="3218">
        <v>42921</v>
      </c>
      <c r="L49" s="339" t="s">
        <v>1828</v>
      </c>
      <c r="M49" s="322" t="s">
        <v>1829</v>
      </c>
      <c r="N49" s="3219" t="s">
        <v>1550</v>
      </c>
      <c r="O49" s="3217" t="s">
        <v>6199</v>
      </c>
      <c r="P49" s="345"/>
      <c r="Q49" s="322" t="s">
        <v>1685</v>
      </c>
      <c r="R49" s="322" t="s">
        <v>1447</v>
      </c>
      <c r="S49" s="346"/>
      <c r="T49" s="347">
        <v>107255</v>
      </c>
      <c r="U49" s="326">
        <v>0</v>
      </c>
      <c r="V49" s="348">
        <f t="shared" si="17"/>
        <v>107255</v>
      </c>
      <c r="W49" s="347">
        <v>134069</v>
      </c>
      <c r="X49" s="326">
        <v>0</v>
      </c>
      <c r="Y49" s="348">
        <f t="shared" si="18"/>
        <v>134069</v>
      </c>
      <c r="Z49" s="347">
        <v>26814</v>
      </c>
      <c r="AA49" s="326">
        <v>0</v>
      </c>
      <c r="AB49" s="348">
        <f t="shared" si="19"/>
        <v>26814</v>
      </c>
      <c r="AC49" s="820">
        <v>0</v>
      </c>
      <c r="AD49" s="821">
        <v>0</v>
      </c>
      <c r="AE49" s="822">
        <f>AC49-AD49</f>
        <v>0</v>
      </c>
      <c r="AF49" s="820">
        <v>0</v>
      </c>
      <c r="AG49" s="821">
        <v>0</v>
      </c>
      <c r="AH49" s="822">
        <f>AF49-AG49</f>
        <v>0</v>
      </c>
      <c r="AI49" s="482">
        <f t="shared" si="20"/>
        <v>268138</v>
      </c>
      <c r="AJ49" s="326">
        <f t="shared" si="20"/>
        <v>0</v>
      </c>
      <c r="AK49" s="3917">
        <v>0</v>
      </c>
      <c r="AL49" s="349">
        <f>AI49-AJ49-AK49</f>
        <v>268138</v>
      </c>
      <c r="AM49" s="3356"/>
      <c r="AN49" s="3357"/>
      <c r="AO49" s="695"/>
      <c r="AP49" s="2722"/>
      <c r="AQ49" s="2723"/>
      <c r="AR49" s="333">
        <v>0</v>
      </c>
      <c r="AS49" s="330">
        <v>0</v>
      </c>
      <c r="AT49" s="330">
        <v>0</v>
      </c>
      <c r="AU49" s="849">
        <v>0</v>
      </c>
      <c r="AV49" s="849">
        <v>0</v>
      </c>
      <c r="AW49" s="3156">
        <f t="shared" si="16"/>
        <v>0</v>
      </c>
      <c r="AX49" s="3140" t="s">
        <v>1728</v>
      </c>
    </row>
    <row r="50" spans="1:50" s="267" customFormat="1" ht="99">
      <c r="A50" s="1565" t="s">
        <v>5912</v>
      </c>
      <c r="B50" s="3216" t="s">
        <v>8015</v>
      </c>
      <c r="C50" s="2421" t="s">
        <v>1432</v>
      </c>
      <c r="D50" s="2422">
        <v>41464</v>
      </c>
      <c r="E50" s="3055" t="s">
        <v>6388</v>
      </c>
      <c r="F50" s="3138" t="s">
        <v>5914</v>
      </c>
      <c r="G50" s="3139">
        <v>1</v>
      </c>
      <c r="H50" s="3217" t="s">
        <v>4920</v>
      </c>
      <c r="I50" s="339" t="s">
        <v>1436</v>
      </c>
      <c r="J50" s="322" t="s">
        <v>1437</v>
      </c>
      <c r="K50" s="3218">
        <v>42921</v>
      </c>
      <c r="L50" s="339" t="s">
        <v>1828</v>
      </c>
      <c r="M50" s="322" t="s">
        <v>1829</v>
      </c>
      <c r="N50" s="3219" t="s">
        <v>1550</v>
      </c>
      <c r="O50" s="3217" t="s">
        <v>6199</v>
      </c>
      <c r="P50" s="345"/>
      <c r="Q50" s="322" t="s">
        <v>1686</v>
      </c>
      <c r="R50" s="322" t="s">
        <v>1447</v>
      </c>
      <c r="S50" s="346"/>
      <c r="T50" s="347">
        <v>167586</v>
      </c>
      <c r="U50" s="326">
        <v>0</v>
      </c>
      <c r="V50" s="348">
        <f t="shared" si="17"/>
        <v>167586</v>
      </c>
      <c r="W50" s="347">
        <v>209483</v>
      </c>
      <c r="X50" s="326">
        <v>0</v>
      </c>
      <c r="Y50" s="348">
        <f t="shared" si="18"/>
        <v>209483</v>
      </c>
      <c r="Z50" s="347">
        <v>41897</v>
      </c>
      <c r="AA50" s="326">
        <v>0</v>
      </c>
      <c r="AB50" s="348">
        <f t="shared" si="19"/>
        <v>41897</v>
      </c>
      <c r="AC50" s="820">
        <v>0</v>
      </c>
      <c r="AD50" s="821">
        <v>0</v>
      </c>
      <c r="AE50" s="822">
        <f>AC50-AD50</f>
        <v>0</v>
      </c>
      <c r="AF50" s="820">
        <v>0</v>
      </c>
      <c r="AG50" s="821">
        <v>0</v>
      </c>
      <c r="AH50" s="822">
        <f>AF50-AG50</f>
        <v>0</v>
      </c>
      <c r="AI50" s="482">
        <f t="shared" si="20"/>
        <v>418966</v>
      </c>
      <c r="AJ50" s="326">
        <f t="shared" si="20"/>
        <v>0</v>
      </c>
      <c r="AK50" s="3917">
        <v>0</v>
      </c>
      <c r="AL50" s="349">
        <f>AI50-AJ50-AK50</f>
        <v>418966</v>
      </c>
      <c r="AM50" s="3356"/>
      <c r="AN50" s="3357"/>
      <c r="AO50" s="695"/>
      <c r="AP50" s="2722"/>
      <c r="AQ50" s="2723"/>
      <c r="AR50" s="333">
        <v>0</v>
      </c>
      <c r="AS50" s="330">
        <v>0</v>
      </c>
      <c r="AT50" s="330">
        <v>0</v>
      </c>
      <c r="AU50" s="849">
        <v>0</v>
      </c>
      <c r="AV50" s="849">
        <v>0</v>
      </c>
      <c r="AW50" s="3156">
        <f t="shared" si="16"/>
        <v>0</v>
      </c>
      <c r="AX50" s="3140" t="s">
        <v>1728</v>
      </c>
    </row>
    <row r="51" spans="1:50" s="267" customFormat="1" ht="99">
      <c r="A51" s="1565" t="s">
        <v>5912</v>
      </c>
      <c r="B51" s="3216" t="s">
        <v>8016</v>
      </c>
      <c r="C51" s="2421" t="s">
        <v>1432</v>
      </c>
      <c r="D51" s="2422">
        <v>41464</v>
      </c>
      <c r="E51" s="3055" t="s">
        <v>6388</v>
      </c>
      <c r="F51" s="3138" t="s">
        <v>5914</v>
      </c>
      <c r="G51" s="3139">
        <v>1</v>
      </c>
      <c r="H51" s="3217" t="s">
        <v>4921</v>
      </c>
      <c r="I51" s="339" t="s">
        <v>1436</v>
      </c>
      <c r="J51" s="322" t="s">
        <v>1437</v>
      </c>
      <c r="K51" s="3218">
        <v>42921</v>
      </c>
      <c r="L51" s="339" t="s">
        <v>1830</v>
      </c>
      <c r="M51" s="322" t="s">
        <v>1829</v>
      </c>
      <c r="N51" s="3219" t="s">
        <v>1550</v>
      </c>
      <c r="O51" s="3217" t="s">
        <v>6199</v>
      </c>
      <c r="P51" s="345"/>
      <c r="Q51" s="322" t="s">
        <v>1442</v>
      </c>
      <c r="R51" s="322" t="s">
        <v>1447</v>
      </c>
      <c r="S51" s="346"/>
      <c r="T51" s="347">
        <v>6703</v>
      </c>
      <c r="U51" s="326">
        <v>0</v>
      </c>
      <c r="V51" s="348">
        <f t="shared" si="17"/>
        <v>6703</v>
      </c>
      <c r="W51" s="347">
        <v>8379</v>
      </c>
      <c r="X51" s="326">
        <v>0</v>
      </c>
      <c r="Y51" s="348">
        <f t="shared" si="18"/>
        <v>8379</v>
      </c>
      <c r="Z51" s="347">
        <v>1676</v>
      </c>
      <c r="AA51" s="326">
        <v>0</v>
      </c>
      <c r="AB51" s="348">
        <f t="shared" si="19"/>
        <v>1676</v>
      </c>
      <c r="AC51" s="820">
        <v>0</v>
      </c>
      <c r="AD51" s="821">
        <v>0</v>
      </c>
      <c r="AE51" s="822">
        <f>AC51-AD51</f>
        <v>0</v>
      </c>
      <c r="AF51" s="820">
        <v>0</v>
      </c>
      <c r="AG51" s="821">
        <v>0</v>
      </c>
      <c r="AH51" s="822">
        <f>AF51-AG51</f>
        <v>0</v>
      </c>
      <c r="AI51" s="482">
        <f t="shared" si="20"/>
        <v>16758</v>
      </c>
      <c r="AJ51" s="326">
        <f t="shared" si="20"/>
        <v>0</v>
      </c>
      <c r="AK51" s="3917">
        <v>0</v>
      </c>
      <c r="AL51" s="349">
        <f>AI51-AJ51-AK51</f>
        <v>16758</v>
      </c>
      <c r="AM51" s="3356"/>
      <c r="AN51" s="3357"/>
      <c r="AO51" s="695"/>
      <c r="AP51" s="2722"/>
      <c r="AQ51" s="2723"/>
      <c r="AR51" s="333">
        <v>0</v>
      </c>
      <c r="AS51" s="330">
        <v>0</v>
      </c>
      <c r="AT51" s="330">
        <v>0</v>
      </c>
      <c r="AU51" s="849">
        <v>0</v>
      </c>
      <c r="AV51" s="849">
        <v>0</v>
      </c>
      <c r="AW51" s="3156">
        <f t="shared" si="16"/>
        <v>0</v>
      </c>
      <c r="AX51" s="3140" t="s">
        <v>1728</v>
      </c>
    </row>
    <row r="52" spans="1:50" s="267" customFormat="1" ht="140.25">
      <c r="A52" s="1565" t="s">
        <v>5912</v>
      </c>
      <c r="B52" s="338" t="s">
        <v>8213</v>
      </c>
      <c r="C52" s="321">
        <v>0</v>
      </c>
      <c r="D52" s="323">
        <v>42942</v>
      </c>
      <c r="E52" s="3051" t="s">
        <v>6385</v>
      </c>
      <c r="F52" s="324" t="s">
        <v>4154</v>
      </c>
      <c r="G52" s="2621">
        <v>1.0111000000000001</v>
      </c>
      <c r="H52" s="332" t="s">
        <v>4773</v>
      </c>
      <c r="I52" s="339" t="s">
        <v>1433</v>
      </c>
      <c r="J52" s="322" t="s">
        <v>1434</v>
      </c>
      <c r="K52" s="340">
        <v>44402</v>
      </c>
      <c r="L52" s="339" t="s">
        <v>4774</v>
      </c>
      <c r="M52" s="322" t="s">
        <v>4775</v>
      </c>
      <c r="N52" s="339" t="s">
        <v>4776</v>
      </c>
      <c r="O52" s="332" t="s">
        <v>6328</v>
      </c>
      <c r="P52" s="345" t="s">
        <v>4777</v>
      </c>
      <c r="Q52" s="322" t="s">
        <v>4778</v>
      </c>
      <c r="R52" s="322" t="s">
        <v>8214</v>
      </c>
      <c r="S52" s="346"/>
      <c r="T52" s="347">
        <v>0</v>
      </c>
      <c r="U52" s="326">
        <v>0</v>
      </c>
      <c r="V52" s="348">
        <f t="shared" si="17"/>
        <v>0</v>
      </c>
      <c r="W52" s="347">
        <v>0</v>
      </c>
      <c r="X52" s="326">
        <v>0</v>
      </c>
      <c r="Y52" s="348">
        <f t="shared" si="18"/>
        <v>0</v>
      </c>
      <c r="Z52" s="347">
        <v>0</v>
      </c>
      <c r="AA52" s="326">
        <v>0</v>
      </c>
      <c r="AB52" s="348">
        <f t="shared" si="19"/>
        <v>0</v>
      </c>
      <c r="AC52" s="820">
        <v>0</v>
      </c>
      <c r="AD52" s="821">
        <v>0</v>
      </c>
      <c r="AE52" s="822">
        <f>AC52-AD52</f>
        <v>0</v>
      </c>
      <c r="AF52" s="820">
        <v>0</v>
      </c>
      <c r="AG52" s="821">
        <v>0</v>
      </c>
      <c r="AH52" s="822">
        <f>AF52-AG52</f>
        <v>0</v>
      </c>
      <c r="AI52" s="482">
        <f>T52+W52+Z52+AC52+AF52</f>
        <v>0</v>
      </c>
      <c r="AJ52" s="326">
        <f>U52+X52+AA52+AD52+AG52</f>
        <v>0</v>
      </c>
      <c r="AK52" s="3917">
        <v>0</v>
      </c>
      <c r="AL52" s="349">
        <f>AI52-AJ52-AK52</f>
        <v>0</v>
      </c>
      <c r="AM52" s="2002"/>
      <c r="AN52" s="3357"/>
      <c r="AO52" s="695"/>
      <c r="AP52" s="2722"/>
      <c r="AQ52" s="2723"/>
      <c r="AR52" s="333">
        <v>0</v>
      </c>
      <c r="AS52" s="330">
        <v>0</v>
      </c>
      <c r="AT52" s="330">
        <v>0</v>
      </c>
      <c r="AU52" s="330">
        <v>0</v>
      </c>
      <c r="AV52" s="330">
        <v>0</v>
      </c>
      <c r="AW52" s="3156">
        <f>ROUND(AL52*AQ52/G52,0)</f>
        <v>0</v>
      </c>
      <c r="AX52" s="3140"/>
    </row>
    <row r="53" spans="1:50" s="267" customFormat="1" ht="63.75">
      <c r="A53" s="1564" t="s">
        <v>4276</v>
      </c>
      <c r="B53" s="1569" t="s">
        <v>8316</v>
      </c>
      <c r="C53" s="1570">
        <v>0</v>
      </c>
      <c r="D53" s="1571">
        <v>43427</v>
      </c>
      <c r="E53" s="3041" t="s">
        <v>6386</v>
      </c>
      <c r="F53" s="1572" t="s">
        <v>5757</v>
      </c>
      <c r="G53" s="2622">
        <v>1.0247219999999999</v>
      </c>
      <c r="H53" s="1573" t="s">
        <v>8315</v>
      </c>
      <c r="I53" s="1574" t="s">
        <v>1433</v>
      </c>
      <c r="J53" s="3208" t="s">
        <v>1434</v>
      </c>
      <c r="K53" s="4222">
        <v>45617</v>
      </c>
      <c r="L53" s="1574" t="s">
        <v>6036</v>
      </c>
      <c r="M53" s="3208" t="s">
        <v>1957</v>
      </c>
      <c r="N53" s="1574" t="s">
        <v>1454</v>
      </c>
      <c r="O53" s="1573" t="s">
        <v>6037</v>
      </c>
      <c r="P53" s="4220"/>
      <c r="Q53" s="3208" t="s">
        <v>6038</v>
      </c>
      <c r="R53" s="3208" t="s">
        <v>3576</v>
      </c>
      <c r="S53" s="1576" t="s">
        <v>3476</v>
      </c>
      <c r="T53" s="4858">
        <v>116144</v>
      </c>
      <c r="U53" s="1593">
        <v>116144</v>
      </c>
      <c r="V53" s="4859">
        <f t="shared" si="17"/>
        <v>0</v>
      </c>
      <c r="W53" s="4858">
        <v>20496</v>
      </c>
      <c r="X53" s="1593">
        <v>20496</v>
      </c>
      <c r="Y53" s="4859">
        <f t="shared" si="18"/>
        <v>0</v>
      </c>
      <c r="Z53" s="4858">
        <v>23267</v>
      </c>
      <c r="AA53" s="1593">
        <v>23267</v>
      </c>
      <c r="AB53" s="4859">
        <f t="shared" si="19"/>
        <v>0</v>
      </c>
      <c r="AC53" s="4858"/>
      <c r="AD53" s="1593"/>
      <c r="AE53" s="4859"/>
      <c r="AF53" s="4858"/>
      <c r="AG53" s="1593"/>
      <c r="AH53" s="4859"/>
      <c r="AI53" s="4860">
        <f>T53+W53+Z53+AC53+AF53</f>
        <v>159907</v>
      </c>
      <c r="AJ53" s="1593">
        <f>U53+X53+AA53+AD53+AG53</f>
        <v>159907</v>
      </c>
      <c r="AK53" s="4869">
        <v>0</v>
      </c>
      <c r="AL53" s="4862">
        <f>V53+Y53+AB53+AE53+AH53</f>
        <v>0</v>
      </c>
      <c r="AM53" s="4870"/>
      <c r="AN53" s="4871"/>
      <c r="AO53" s="4872"/>
      <c r="AP53" s="2983"/>
      <c r="AQ53" s="2984"/>
      <c r="AR53" s="4866">
        <f>ROUND($AQ53/$G53*V53,0)</f>
        <v>0</v>
      </c>
      <c r="AS53" s="4867">
        <f>ROUND($AQ53/$G53*Y53,0)</f>
        <v>0</v>
      </c>
      <c r="AT53" s="4867">
        <f>ROUND($AQ53/$G53*AB53,0)</f>
        <v>0</v>
      </c>
      <c r="AU53" s="4867"/>
      <c r="AV53" s="4867"/>
      <c r="AW53" s="4868">
        <f>ROUND(AL53*AQ53/G53,0)</f>
        <v>0</v>
      </c>
      <c r="AX53" s="3140"/>
    </row>
    <row r="54" spans="1:50" s="267" customFormat="1" ht="51">
      <c r="A54" s="1564" t="s">
        <v>4276</v>
      </c>
      <c r="B54" s="338" t="s">
        <v>8345</v>
      </c>
      <c r="C54" s="321">
        <v>0</v>
      </c>
      <c r="D54" s="323">
        <v>43551</v>
      </c>
      <c r="E54" s="3051" t="s">
        <v>6573</v>
      </c>
      <c r="F54" s="324" t="s">
        <v>5757</v>
      </c>
      <c r="G54" s="2621">
        <v>1.0247219999999999</v>
      </c>
      <c r="H54" s="332" t="s">
        <v>6574</v>
      </c>
      <c r="I54" s="339" t="s">
        <v>1433</v>
      </c>
      <c r="J54" s="322" t="s">
        <v>1434</v>
      </c>
      <c r="K54" s="340">
        <v>46010</v>
      </c>
      <c r="L54" s="339" t="s">
        <v>5105</v>
      </c>
      <c r="M54" s="322" t="s">
        <v>5106</v>
      </c>
      <c r="N54" s="339" t="s">
        <v>6576</v>
      </c>
      <c r="O54" s="332" t="s">
        <v>6575</v>
      </c>
      <c r="P54" s="930"/>
      <c r="Q54" s="322" t="s">
        <v>6577</v>
      </c>
      <c r="R54" s="322" t="s">
        <v>5107</v>
      </c>
      <c r="S54" s="346"/>
      <c r="T54" s="347">
        <v>251190</v>
      </c>
      <c r="U54" s="326">
        <v>0</v>
      </c>
      <c r="V54" s="348">
        <f t="shared" si="17"/>
        <v>251190</v>
      </c>
      <c r="W54" s="347">
        <v>313987</v>
      </c>
      <c r="X54" s="326">
        <v>0</v>
      </c>
      <c r="Y54" s="348">
        <f t="shared" si="18"/>
        <v>313987</v>
      </c>
      <c r="Z54" s="347">
        <v>62797</v>
      </c>
      <c r="AA54" s="326">
        <v>0</v>
      </c>
      <c r="AB54" s="348">
        <f t="shared" si="19"/>
        <v>62797</v>
      </c>
      <c r="AC54" s="820"/>
      <c r="AD54" s="821"/>
      <c r="AE54" s="822"/>
      <c r="AF54" s="820"/>
      <c r="AG54" s="821"/>
      <c r="AH54" s="822"/>
      <c r="AI54" s="482">
        <f t="shared" ref="AI54:AJ54" si="21">T54+W54+Z54+AC54+AF54</f>
        <v>627974</v>
      </c>
      <c r="AJ54" s="326">
        <f t="shared" si="21"/>
        <v>0</v>
      </c>
      <c r="AK54" s="3917">
        <v>0</v>
      </c>
      <c r="AL54" s="349">
        <f t="shared" ref="AL54" si="22">AI54-AJ54-AK54</f>
        <v>627974</v>
      </c>
      <c r="AM54" s="2002"/>
      <c r="AN54" s="3357"/>
      <c r="AO54" s="695"/>
      <c r="AP54" s="2722"/>
      <c r="AQ54" s="2723"/>
      <c r="AR54" s="333">
        <v>0</v>
      </c>
      <c r="AS54" s="330">
        <v>0</v>
      </c>
      <c r="AT54" s="330">
        <v>0</v>
      </c>
      <c r="AU54" s="849">
        <v>0</v>
      </c>
      <c r="AV54" s="849">
        <v>0</v>
      </c>
      <c r="AW54" s="3156">
        <f t="shared" ref="AW54" si="23">ROUND(AL54*AQ54/G54,0)</f>
        <v>0</v>
      </c>
      <c r="AX54" s="3140"/>
    </row>
    <row r="55" spans="1:50" s="267" customFormat="1" ht="89.25">
      <c r="A55" s="1564" t="s">
        <v>4276</v>
      </c>
      <c r="B55" s="338" t="s">
        <v>10931</v>
      </c>
      <c r="C55" s="321">
        <v>0</v>
      </c>
      <c r="D55" s="323">
        <v>44236</v>
      </c>
      <c r="E55" s="3058" t="s">
        <v>8170</v>
      </c>
      <c r="F55" s="324" t="s">
        <v>7957</v>
      </c>
      <c r="G55" s="2621">
        <v>1.0795220000000001</v>
      </c>
      <c r="H55" s="2273" t="s">
        <v>8528</v>
      </c>
      <c r="I55" s="2398" t="s">
        <v>8561</v>
      </c>
      <c r="J55" s="2399" t="s">
        <v>4306</v>
      </c>
      <c r="K55" s="340">
        <v>44966</v>
      </c>
      <c r="L55" s="339" t="s">
        <v>7257</v>
      </c>
      <c r="M55" s="322" t="s">
        <v>8529</v>
      </c>
      <c r="N55" s="339" t="s">
        <v>8530</v>
      </c>
      <c r="O55" s="332" t="s">
        <v>8531</v>
      </c>
      <c r="P55" s="667" t="s">
        <v>8594</v>
      </c>
      <c r="Q55" s="322" t="s">
        <v>5708</v>
      </c>
      <c r="R55" s="322" t="s">
        <v>5350</v>
      </c>
      <c r="S55" s="346"/>
      <c r="T55" s="347"/>
      <c r="U55" s="326"/>
      <c r="V55" s="348"/>
      <c r="W55" s="347"/>
      <c r="X55" s="326"/>
      <c r="Y55" s="348"/>
      <c r="Z55" s="347"/>
      <c r="AA55" s="326"/>
      <c r="AB55" s="348"/>
      <c r="AC55" s="820"/>
      <c r="AD55" s="821"/>
      <c r="AE55" s="822"/>
      <c r="AF55" s="820"/>
      <c r="AG55" s="821"/>
      <c r="AH55" s="822"/>
      <c r="AI55" s="482">
        <v>6437</v>
      </c>
      <c r="AJ55" s="326">
        <v>0</v>
      </c>
      <c r="AK55" s="3917">
        <v>0</v>
      </c>
      <c r="AL55" s="349">
        <f t="shared" ref="AL55:AL60" si="24">AI55-AJ55-AK55</f>
        <v>6437</v>
      </c>
      <c r="AM55" s="2002"/>
      <c r="AN55" s="3357"/>
      <c r="AO55" s="695"/>
      <c r="AP55" s="3362"/>
      <c r="AQ55" s="3555"/>
      <c r="AR55" s="333"/>
      <c r="AS55" s="330"/>
      <c r="AT55" s="330"/>
      <c r="AU55" s="849"/>
      <c r="AV55" s="849"/>
      <c r="AW55" s="3156">
        <f t="shared" ref="AW55:AW60" si="25">ROUND(AL55*AQ55/G55,0)</f>
        <v>0</v>
      </c>
      <c r="AX55" s="3140"/>
    </row>
    <row r="56" spans="1:50" s="267" customFormat="1" ht="153">
      <c r="A56" s="1564" t="s">
        <v>4276</v>
      </c>
      <c r="B56" s="3307" t="s">
        <v>8930</v>
      </c>
      <c r="C56" s="3308">
        <v>0</v>
      </c>
      <c r="D56" s="3309">
        <v>44068</v>
      </c>
      <c r="E56" s="4756" t="s">
        <v>7972</v>
      </c>
      <c r="F56" s="3310" t="s">
        <v>7957</v>
      </c>
      <c r="G56" s="3311">
        <v>1.0795220000000001</v>
      </c>
      <c r="H56" s="3305" t="s">
        <v>8927</v>
      </c>
      <c r="I56" s="339" t="s">
        <v>5753</v>
      </c>
      <c r="J56" s="322" t="s">
        <v>2712</v>
      </c>
      <c r="K56" s="340">
        <v>42921</v>
      </c>
      <c r="L56" s="339" t="s">
        <v>8006</v>
      </c>
      <c r="M56" s="322" t="s">
        <v>8009</v>
      </c>
      <c r="N56" s="3306" t="s">
        <v>1550</v>
      </c>
      <c r="O56" s="3305" t="s">
        <v>6199</v>
      </c>
      <c r="P56" s="345" t="s">
        <v>8036</v>
      </c>
      <c r="Q56" s="322" t="s">
        <v>8010</v>
      </c>
      <c r="R56" s="322" t="s">
        <v>7945</v>
      </c>
      <c r="S56" s="346"/>
      <c r="T56" s="347"/>
      <c r="U56" s="326"/>
      <c r="V56" s="348"/>
      <c r="W56" s="347"/>
      <c r="X56" s="326"/>
      <c r="Y56" s="348"/>
      <c r="Z56" s="347"/>
      <c r="AA56" s="326"/>
      <c r="AB56" s="348"/>
      <c r="AC56" s="820"/>
      <c r="AD56" s="821"/>
      <c r="AE56" s="822"/>
      <c r="AF56" s="820"/>
      <c r="AG56" s="821"/>
      <c r="AH56" s="822"/>
      <c r="AI56" s="482">
        <v>247230</v>
      </c>
      <c r="AJ56" s="326">
        <v>0</v>
      </c>
      <c r="AK56" s="3917">
        <v>0</v>
      </c>
      <c r="AL56" s="349">
        <f t="shared" si="24"/>
        <v>247230</v>
      </c>
      <c r="AM56" s="2002"/>
      <c r="AN56" s="3357"/>
      <c r="AO56" s="695"/>
      <c r="AP56" s="3362"/>
      <c r="AQ56" s="3555"/>
      <c r="AR56" s="333"/>
      <c r="AS56" s="330"/>
      <c r="AT56" s="330"/>
      <c r="AU56" s="849"/>
      <c r="AV56" s="849"/>
      <c r="AW56" s="3156">
        <f t="shared" si="25"/>
        <v>0</v>
      </c>
      <c r="AX56" s="3140"/>
    </row>
    <row r="57" spans="1:50" s="267" customFormat="1" ht="153">
      <c r="A57" s="1564" t="s">
        <v>4276</v>
      </c>
      <c r="B57" s="3307" t="s">
        <v>8929</v>
      </c>
      <c r="C57" s="3308">
        <v>0</v>
      </c>
      <c r="D57" s="3309">
        <v>44068</v>
      </c>
      <c r="E57" s="4756" t="s">
        <v>7972</v>
      </c>
      <c r="F57" s="3310" t="s">
        <v>7957</v>
      </c>
      <c r="G57" s="3311">
        <v>1.0795220000000001</v>
      </c>
      <c r="H57" s="3305" t="s">
        <v>8927</v>
      </c>
      <c r="I57" s="339" t="s">
        <v>5753</v>
      </c>
      <c r="J57" s="322" t="s">
        <v>2712</v>
      </c>
      <c r="K57" s="340">
        <v>42921</v>
      </c>
      <c r="L57" s="339" t="s">
        <v>8006</v>
      </c>
      <c r="M57" s="322" t="s">
        <v>8009</v>
      </c>
      <c r="N57" s="3306" t="s">
        <v>1550</v>
      </c>
      <c r="O57" s="3305" t="s">
        <v>6199</v>
      </c>
      <c r="P57" s="345" t="s">
        <v>8036</v>
      </c>
      <c r="Q57" s="322" t="s">
        <v>8012</v>
      </c>
      <c r="R57" s="322" t="s">
        <v>8007</v>
      </c>
      <c r="S57" s="346"/>
      <c r="T57" s="347"/>
      <c r="U57" s="326"/>
      <c r="V57" s="348"/>
      <c r="W57" s="347"/>
      <c r="X57" s="326"/>
      <c r="Y57" s="348"/>
      <c r="Z57" s="347"/>
      <c r="AA57" s="326"/>
      <c r="AB57" s="348"/>
      <c r="AC57" s="820"/>
      <c r="AD57" s="821"/>
      <c r="AE57" s="822"/>
      <c r="AF57" s="820"/>
      <c r="AG57" s="821"/>
      <c r="AH57" s="822"/>
      <c r="AI57" s="482">
        <v>339942</v>
      </c>
      <c r="AJ57" s="326">
        <v>0</v>
      </c>
      <c r="AK57" s="3917">
        <v>0</v>
      </c>
      <c r="AL57" s="349">
        <f t="shared" si="24"/>
        <v>339942</v>
      </c>
      <c r="AM57" s="2002"/>
      <c r="AN57" s="3357"/>
      <c r="AO57" s="695"/>
      <c r="AP57" s="3362"/>
      <c r="AQ57" s="3555"/>
      <c r="AR57" s="333"/>
      <c r="AS57" s="330"/>
      <c r="AT57" s="330"/>
      <c r="AU57" s="849"/>
      <c r="AV57" s="849"/>
      <c r="AW57" s="3156">
        <f t="shared" si="25"/>
        <v>0</v>
      </c>
      <c r="AX57" s="3140"/>
    </row>
    <row r="58" spans="1:50" s="267" customFormat="1" ht="153">
      <c r="A58" s="1564" t="s">
        <v>4276</v>
      </c>
      <c r="B58" s="3307" t="s">
        <v>8928</v>
      </c>
      <c r="C58" s="3308">
        <v>0</v>
      </c>
      <c r="D58" s="3309">
        <v>44068</v>
      </c>
      <c r="E58" s="4756" t="s">
        <v>7972</v>
      </c>
      <c r="F58" s="3310" t="s">
        <v>7957</v>
      </c>
      <c r="G58" s="3311">
        <v>1.0795220000000001</v>
      </c>
      <c r="H58" s="3305" t="s">
        <v>8927</v>
      </c>
      <c r="I58" s="339" t="s">
        <v>5753</v>
      </c>
      <c r="J58" s="322" t="s">
        <v>2712</v>
      </c>
      <c r="K58" s="340">
        <v>42921</v>
      </c>
      <c r="L58" s="339" t="s">
        <v>8006</v>
      </c>
      <c r="M58" s="322" t="s">
        <v>8009</v>
      </c>
      <c r="N58" s="3306" t="s">
        <v>1550</v>
      </c>
      <c r="O58" s="3305" t="s">
        <v>6199</v>
      </c>
      <c r="P58" s="345" t="s">
        <v>8036</v>
      </c>
      <c r="Q58" s="322" t="s">
        <v>8011</v>
      </c>
      <c r="R58" s="322" t="s">
        <v>8007</v>
      </c>
      <c r="S58" s="346"/>
      <c r="T58" s="347"/>
      <c r="U58" s="326"/>
      <c r="V58" s="348"/>
      <c r="W58" s="347"/>
      <c r="X58" s="326"/>
      <c r="Y58" s="348"/>
      <c r="Z58" s="347"/>
      <c r="AA58" s="326"/>
      <c r="AB58" s="348"/>
      <c r="AC58" s="820"/>
      <c r="AD58" s="821"/>
      <c r="AE58" s="822"/>
      <c r="AF58" s="820"/>
      <c r="AG58" s="821"/>
      <c r="AH58" s="822"/>
      <c r="AI58" s="482">
        <v>15451</v>
      </c>
      <c r="AJ58" s="326">
        <v>0</v>
      </c>
      <c r="AK58" s="3917">
        <v>0</v>
      </c>
      <c r="AL58" s="349">
        <f t="shared" si="24"/>
        <v>15451</v>
      </c>
      <c r="AM58" s="2002"/>
      <c r="AN58" s="3357"/>
      <c r="AO58" s="695"/>
      <c r="AP58" s="3362"/>
      <c r="AQ58" s="3555"/>
      <c r="AR58" s="333"/>
      <c r="AS58" s="330"/>
      <c r="AT58" s="330"/>
      <c r="AU58" s="849"/>
      <c r="AV58" s="849"/>
      <c r="AW58" s="3156">
        <f t="shared" si="25"/>
        <v>0</v>
      </c>
      <c r="AX58" s="3140"/>
    </row>
    <row r="59" spans="1:50" s="267" customFormat="1" ht="76.5">
      <c r="A59" s="1565" t="s">
        <v>5912</v>
      </c>
      <c r="B59" s="338" t="s">
        <v>8931</v>
      </c>
      <c r="C59" s="321" t="s">
        <v>1432</v>
      </c>
      <c r="D59" s="323">
        <v>41066</v>
      </c>
      <c r="E59" s="3051" t="s">
        <v>6390</v>
      </c>
      <c r="F59" s="324" t="s">
        <v>5913</v>
      </c>
      <c r="G59" s="2621">
        <v>1</v>
      </c>
      <c r="H59" s="332" t="s">
        <v>8125</v>
      </c>
      <c r="I59" s="339" t="s">
        <v>1433</v>
      </c>
      <c r="J59" s="322" t="s">
        <v>1434</v>
      </c>
      <c r="K59" s="340" t="s">
        <v>8303</v>
      </c>
      <c r="L59" s="339" t="s">
        <v>1840</v>
      </c>
      <c r="M59" s="322" t="s">
        <v>1832</v>
      </c>
      <c r="N59" s="339" t="s">
        <v>1507</v>
      </c>
      <c r="O59" s="332" t="s">
        <v>6197</v>
      </c>
      <c r="P59" s="345"/>
      <c r="Q59" s="322" t="s">
        <v>3533</v>
      </c>
      <c r="R59" s="322" t="s">
        <v>1508</v>
      </c>
      <c r="S59" s="346"/>
      <c r="T59" s="347">
        <v>9031</v>
      </c>
      <c r="U59" s="326">
        <v>0</v>
      </c>
      <c r="V59" s="348">
        <f>T59-U59</f>
        <v>9031</v>
      </c>
      <c r="W59" s="347">
        <v>1594</v>
      </c>
      <c r="X59" s="326">
        <v>0</v>
      </c>
      <c r="Y59" s="348">
        <f>W59-X59</f>
        <v>1594</v>
      </c>
      <c r="Z59" s="347">
        <v>0</v>
      </c>
      <c r="AA59" s="326">
        <v>0</v>
      </c>
      <c r="AB59" s="348">
        <f>Z59-AA59</f>
        <v>0</v>
      </c>
      <c r="AC59" s="820">
        <v>1310</v>
      </c>
      <c r="AD59" s="821">
        <v>0</v>
      </c>
      <c r="AE59" s="822">
        <f>AC59-AD59</f>
        <v>1310</v>
      </c>
      <c r="AF59" s="820">
        <v>1965</v>
      </c>
      <c r="AG59" s="821">
        <v>0</v>
      </c>
      <c r="AH59" s="822">
        <f>AF59-AG59</f>
        <v>1965</v>
      </c>
      <c r="AI59" s="482">
        <f>T59+W59+Z59</f>
        <v>10625</v>
      </c>
      <c r="AJ59" s="326">
        <f>U59+X59+AA59</f>
        <v>0</v>
      </c>
      <c r="AK59" s="3917">
        <v>0</v>
      </c>
      <c r="AL59" s="349">
        <f t="shared" si="24"/>
        <v>10625</v>
      </c>
      <c r="AM59" s="3356"/>
      <c r="AN59" s="3357"/>
      <c r="AO59" s="695"/>
      <c r="AP59" s="2722"/>
      <c r="AQ59" s="2723"/>
      <c r="AR59" s="333">
        <v>0</v>
      </c>
      <c r="AS59" s="330">
        <v>0</v>
      </c>
      <c r="AT59" s="330">
        <v>0</v>
      </c>
      <c r="AU59" s="849">
        <v>0</v>
      </c>
      <c r="AV59" s="849">
        <v>0</v>
      </c>
      <c r="AW59" s="3156">
        <f t="shared" si="25"/>
        <v>0</v>
      </c>
      <c r="AX59" s="3140" t="s">
        <v>1728</v>
      </c>
    </row>
    <row r="60" spans="1:50" s="267" customFormat="1" ht="89.25">
      <c r="A60" s="1564" t="s">
        <v>4276</v>
      </c>
      <c r="B60" s="338" t="s">
        <v>9098</v>
      </c>
      <c r="C60" s="321">
        <v>0</v>
      </c>
      <c r="D60" s="323">
        <v>44327</v>
      </c>
      <c r="E60" s="3058" t="s">
        <v>8170</v>
      </c>
      <c r="F60" s="324" t="s">
        <v>7957</v>
      </c>
      <c r="G60" s="2621">
        <v>1.0795220000000001</v>
      </c>
      <c r="H60" s="332" t="s">
        <v>8784</v>
      </c>
      <c r="I60" s="339" t="s">
        <v>1433</v>
      </c>
      <c r="J60" s="322" t="s">
        <v>1434</v>
      </c>
      <c r="K60" s="340">
        <v>46513</v>
      </c>
      <c r="L60" s="339" t="s">
        <v>8785</v>
      </c>
      <c r="M60" s="322" t="s">
        <v>8786</v>
      </c>
      <c r="N60" s="339" t="s">
        <v>8788</v>
      </c>
      <c r="O60" s="332" t="s">
        <v>8787</v>
      </c>
      <c r="P60" s="345"/>
      <c r="Q60" s="322" t="s">
        <v>5708</v>
      </c>
      <c r="R60" s="322" t="s">
        <v>8789</v>
      </c>
      <c r="S60" s="346"/>
      <c r="T60" s="347"/>
      <c r="U60" s="326"/>
      <c r="V60" s="348"/>
      <c r="W60" s="347"/>
      <c r="X60" s="326"/>
      <c r="Y60" s="348"/>
      <c r="Z60" s="347"/>
      <c r="AA60" s="326"/>
      <c r="AB60" s="348"/>
      <c r="AC60" s="820"/>
      <c r="AD60" s="821"/>
      <c r="AE60" s="822"/>
      <c r="AF60" s="820"/>
      <c r="AG60" s="821"/>
      <c r="AH60" s="822"/>
      <c r="AI60" s="482">
        <v>5484</v>
      </c>
      <c r="AJ60" s="326">
        <v>0</v>
      </c>
      <c r="AK60" s="3917">
        <v>0</v>
      </c>
      <c r="AL60" s="349">
        <f t="shared" si="24"/>
        <v>5484</v>
      </c>
      <c r="AM60" s="2002"/>
      <c r="AN60" s="3357"/>
      <c r="AO60" s="695"/>
      <c r="AP60" s="3362"/>
      <c r="AQ60" s="3555"/>
      <c r="AR60" s="333"/>
      <c r="AS60" s="330"/>
      <c r="AT60" s="330"/>
      <c r="AU60" s="849"/>
      <c r="AV60" s="849"/>
      <c r="AW60" s="3156">
        <f t="shared" si="25"/>
        <v>0</v>
      </c>
      <c r="AX60" s="3140"/>
    </row>
    <row r="61" spans="1:50" s="267" customFormat="1" ht="76.5">
      <c r="A61" s="1565" t="s">
        <v>5912</v>
      </c>
      <c r="B61" s="338" t="s">
        <v>10945</v>
      </c>
      <c r="C61" s="321">
        <v>0</v>
      </c>
      <c r="D61" s="323">
        <v>43228</v>
      </c>
      <c r="E61" s="3051" t="s">
        <v>6385</v>
      </c>
      <c r="F61" s="324" t="s">
        <v>5915</v>
      </c>
      <c r="G61" s="2621">
        <v>1.0119899999999999</v>
      </c>
      <c r="H61" s="2273" t="s">
        <v>8366</v>
      </c>
      <c r="I61" s="339" t="s">
        <v>5492</v>
      </c>
      <c r="J61" s="322" t="s">
        <v>4306</v>
      </c>
      <c r="K61" s="340" t="s">
        <v>8368</v>
      </c>
      <c r="L61" s="339" t="s">
        <v>5493</v>
      </c>
      <c r="M61" s="322" t="s">
        <v>5494</v>
      </c>
      <c r="N61" s="339" t="s">
        <v>5495</v>
      </c>
      <c r="O61" s="332" t="s">
        <v>6271</v>
      </c>
      <c r="P61" s="345"/>
      <c r="Q61" s="322" t="s">
        <v>5349</v>
      </c>
      <c r="R61" s="322" t="s">
        <v>5350</v>
      </c>
      <c r="S61" s="346"/>
      <c r="T61" s="347">
        <v>2334</v>
      </c>
      <c r="U61" s="326">
        <v>0</v>
      </c>
      <c r="V61" s="348">
        <f>T61-U61</f>
        <v>2334</v>
      </c>
      <c r="W61" s="347">
        <v>2917</v>
      </c>
      <c r="X61" s="326">
        <v>0</v>
      </c>
      <c r="Y61" s="348">
        <f>W61-X61</f>
        <v>2917</v>
      </c>
      <c r="Z61" s="347">
        <v>833</v>
      </c>
      <c r="AA61" s="326">
        <v>0</v>
      </c>
      <c r="AB61" s="348">
        <f>Z61-AA61</f>
        <v>833</v>
      </c>
      <c r="AC61" s="820"/>
      <c r="AD61" s="821"/>
      <c r="AE61" s="822"/>
      <c r="AF61" s="820"/>
      <c r="AG61" s="821"/>
      <c r="AH61" s="822"/>
      <c r="AI61" s="482">
        <f>T61+W61+Z61+AC61+AF61</f>
        <v>6084</v>
      </c>
      <c r="AJ61" s="326">
        <f>U61+X61+AA61+AD61+AG61</f>
        <v>0</v>
      </c>
      <c r="AK61" s="3917">
        <v>0</v>
      </c>
      <c r="AL61" s="349">
        <f t="shared" ref="AL61:AL66" si="26">AI61-AJ61-AK61</f>
        <v>6084</v>
      </c>
      <c r="AM61" s="2002"/>
      <c r="AN61" s="3357"/>
      <c r="AO61" s="695"/>
      <c r="AP61" s="2722"/>
      <c r="AQ61" s="2723"/>
      <c r="AR61" s="333">
        <v>0</v>
      </c>
      <c r="AS61" s="330">
        <v>0</v>
      </c>
      <c r="AT61" s="330">
        <v>0</v>
      </c>
      <c r="AU61" s="849">
        <v>0</v>
      </c>
      <c r="AV61" s="849">
        <v>0</v>
      </c>
      <c r="AW61" s="3156">
        <f t="shared" ref="AW61:AW66" si="27">ROUND(AL61*AQ61/G61,0)</f>
        <v>0</v>
      </c>
      <c r="AX61" s="3140"/>
    </row>
    <row r="62" spans="1:50" s="267" customFormat="1" ht="89.25">
      <c r="A62" s="1564" t="s">
        <v>4276</v>
      </c>
      <c r="B62" s="338" t="s">
        <v>10932</v>
      </c>
      <c r="C62" s="321">
        <v>0</v>
      </c>
      <c r="D62" s="323">
        <v>43531</v>
      </c>
      <c r="E62" s="3051" t="s">
        <v>6386</v>
      </c>
      <c r="F62" s="324" t="s">
        <v>5757</v>
      </c>
      <c r="G62" s="2621">
        <v>1.0247219999999999</v>
      </c>
      <c r="H62" s="2273" t="s">
        <v>6469</v>
      </c>
      <c r="I62" s="339" t="s">
        <v>6470</v>
      </c>
      <c r="J62" s="322" t="s">
        <v>4306</v>
      </c>
      <c r="K62" s="340">
        <v>44262</v>
      </c>
      <c r="L62" s="339" t="s">
        <v>6471</v>
      </c>
      <c r="M62" s="322" t="s">
        <v>6472</v>
      </c>
      <c r="N62" s="339" t="s">
        <v>6473</v>
      </c>
      <c r="O62" s="332" t="s">
        <v>6474</v>
      </c>
      <c r="P62" s="345"/>
      <c r="Q62" s="322" t="s">
        <v>5708</v>
      </c>
      <c r="R62" s="322" t="s">
        <v>5350</v>
      </c>
      <c r="S62" s="346"/>
      <c r="T62" s="347">
        <v>2444</v>
      </c>
      <c r="U62" s="326">
        <v>0</v>
      </c>
      <c r="V62" s="348">
        <f>T62-U62</f>
        <v>2444</v>
      </c>
      <c r="W62" s="347">
        <v>3056</v>
      </c>
      <c r="X62" s="326">
        <v>0</v>
      </c>
      <c r="Y62" s="348">
        <f>W62-X62</f>
        <v>3056</v>
      </c>
      <c r="Z62" s="347">
        <v>611</v>
      </c>
      <c r="AA62" s="326">
        <v>0</v>
      </c>
      <c r="AB62" s="348">
        <f>Z62-AA62</f>
        <v>611</v>
      </c>
      <c r="AC62" s="820"/>
      <c r="AD62" s="821"/>
      <c r="AE62" s="822"/>
      <c r="AF62" s="820"/>
      <c r="AG62" s="821"/>
      <c r="AH62" s="822"/>
      <c r="AI62" s="482">
        <f>T62+W62+Z62+AC62+AF62</f>
        <v>6111</v>
      </c>
      <c r="AJ62" s="326">
        <f>U62+X62+AA62+AD62+AG62</f>
        <v>0</v>
      </c>
      <c r="AK62" s="3917">
        <v>0</v>
      </c>
      <c r="AL62" s="349">
        <f t="shared" si="26"/>
        <v>6111</v>
      </c>
      <c r="AM62" s="2002"/>
      <c r="AN62" s="3357"/>
      <c r="AO62" s="695"/>
      <c r="AP62" s="2722"/>
      <c r="AQ62" s="2723"/>
      <c r="AR62" s="333">
        <v>0</v>
      </c>
      <c r="AS62" s="330">
        <v>0</v>
      </c>
      <c r="AT62" s="330">
        <v>0</v>
      </c>
      <c r="AU62" s="849">
        <v>0</v>
      </c>
      <c r="AV62" s="849">
        <v>0</v>
      </c>
      <c r="AW62" s="3156">
        <f t="shared" si="27"/>
        <v>0</v>
      </c>
      <c r="AX62" s="3140"/>
    </row>
    <row r="63" spans="1:50" s="267" customFormat="1" ht="178.5">
      <c r="A63" s="1564" t="s">
        <v>4276</v>
      </c>
      <c r="B63" s="338" t="s">
        <v>9239</v>
      </c>
      <c r="C63" s="321">
        <v>0</v>
      </c>
      <c r="D63" s="323">
        <v>44154</v>
      </c>
      <c r="E63" s="3058" t="s">
        <v>8170</v>
      </c>
      <c r="F63" s="324" t="s">
        <v>7957</v>
      </c>
      <c r="G63" s="2621">
        <v>1.0795220000000001</v>
      </c>
      <c r="H63" s="332" t="s">
        <v>8592</v>
      </c>
      <c r="I63" s="339" t="s">
        <v>5753</v>
      </c>
      <c r="J63" s="322" t="s">
        <v>8327</v>
      </c>
      <c r="K63" s="340">
        <v>45612</v>
      </c>
      <c r="L63" s="339" t="s">
        <v>3160</v>
      </c>
      <c r="M63" s="322" t="s">
        <v>3161</v>
      </c>
      <c r="N63" s="339" t="s">
        <v>8323</v>
      </c>
      <c r="O63" s="332" t="s">
        <v>8324</v>
      </c>
      <c r="P63" s="345" t="s">
        <v>8331</v>
      </c>
      <c r="Q63" s="322" t="s">
        <v>8325</v>
      </c>
      <c r="R63" s="322" t="s">
        <v>8326</v>
      </c>
      <c r="S63" s="346"/>
      <c r="T63" s="347"/>
      <c r="U63" s="326"/>
      <c r="V63" s="348"/>
      <c r="W63" s="347"/>
      <c r="X63" s="326"/>
      <c r="Y63" s="348"/>
      <c r="Z63" s="347"/>
      <c r="AA63" s="326"/>
      <c r="AB63" s="348"/>
      <c r="AC63" s="820"/>
      <c r="AD63" s="821"/>
      <c r="AE63" s="822"/>
      <c r="AF63" s="820"/>
      <c r="AG63" s="821"/>
      <c r="AH63" s="822"/>
      <c r="AI63" s="482">
        <v>18136</v>
      </c>
      <c r="AJ63" s="326">
        <v>0</v>
      </c>
      <c r="AK63" s="3917">
        <v>0</v>
      </c>
      <c r="AL63" s="349">
        <f t="shared" si="26"/>
        <v>18136</v>
      </c>
      <c r="AM63" s="2002"/>
      <c r="AN63" s="3357"/>
      <c r="AO63" s="695"/>
      <c r="AP63" s="2722"/>
      <c r="AQ63" s="2723"/>
      <c r="AR63" s="333"/>
      <c r="AS63" s="330"/>
      <c r="AT63" s="330"/>
      <c r="AU63" s="849"/>
      <c r="AV63" s="849"/>
      <c r="AW63" s="3156">
        <f t="shared" si="27"/>
        <v>0</v>
      </c>
      <c r="AX63" s="3140"/>
    </row>
    <row r="64" spans="1:50" s="267" customFormat="1" ht="63.75">
      <c r="A64" s="1565" t="s">
        <v>5912</v>
      </c>
      <c r="B64" s="338" t="s">
        <v>9370</v>
      </c>
      <c r="C64" s="321" t="s">
        <v>1432</v>
      </c>
      <c r="D64" s="323">
        <v>41059</v>
      </c>
      <c r="E64" s="3051" t="s">
        <v>6390</v>
      </c>
      <c r="F64" s="324" t="s">
        <v>5913</v>
      </c>
      <c r="G64" s="2621">
        <v>1</v>
      </c>
      <c r="H64" s="332" t="s">
        <v>9347</v>
      </c>
      <c r="I64" s="339" t="s">
        <v>1433</v>
      </c>
      <c r="J64" s="322" t="s">
        <v>1434</v>
      </c>
      <c r="K64" s="340" t="s">
        <v>7936</v>
      </c>
      <c r="L64" s="339" t="s">
        <v>1501</v>
      </c>
      <c r="M64" s="322" t="s">
        <v>1842</v>
      </c>
      <c r="N64" s="339" t="s">
        <v>1502</v>
      </c>
      <c r="O64" s="332" t="s">
        <v>6198</v>
      </c>
      <c r="P64" s="345"/>
      <c r="Q64" s="322" t="s">
        <v>1649</v>
      </c>
      <c r="R64" s="322" t="s">
        <v>1450</v>
      </c>
      <c r="S64" s="346"/>
      <c r="T64" s="347">
        <v>37818</v>
      </c>
      <c r="U64" s="326">
        <v>0</v>
      </c>
      <c r="V64" s="348">
        <f>T64-U64</f>
        <v>37818</v>
      </c>
      <c r="W64" s="347">
        <v>63030</v>
      </c>
      <c r="X64" s="326">
        <v>0</v>
      </c>
      <c r="Y64" s="348">
        <f>W64-X64</f>
        <v>63030</v>
      </c>
      <c r="Z64" s="347">
        <v>25212</v>
      </c>
      <c r="AA64" s="326">
        <v>0</v>
      </c>
      <c r="AB64" s="348">
        <f>Z64-AA64</f>
        <v>25212</v>
      </c>
      <c r="AC64" s="820">
        <v>29376</v>
      </c>
      <c r="AD64" s="821">
        <v>0</v>
      </c>
      <c r="AE64" s="822">
        <f>AC64-AD64</f>
        <v>29376</v>
      </c>
      <c r="AF64" s="820">
        <v>44064</v>
      </c>
      <c r="AG64" s="821">
        <v>0</v>
      </c>
      <c r="AH64" s="822">
        <f>AF64-AG64</f>
        <v>44064</v>
      </c>
      <c r="AI64" s="482">
        <f>T64+W64+Z64</f>
        <v>126060</v>
      </c>
      <c r="AJ64" s="326">
        <f>U64+X64+AA64</f>
        <v>0</v>
      </c>
      <c r="AK64" s="3917">
        <v>0</v>
      </c>
      <c r="AL64" s="349">
        <f t="shared" si="26"/>
        <v>126060</v>
      </c>
      <c r="AM64" s="3356"/>
      <c r="AN64" s="3357"/>
      <c r="AO64" s="695"/>
      <c r="AP64" s="2722"/>
      <c r="AQ64" s="2723"/>
      <c r="AR64" s="333">
        <v>0</v>
      </c>
      <c r="AS64" s="330">
        <v>0</v>
      </c>
      <c r="AT64" s="330">
        <v>0</v>
      </c>
      <c r="AU64" s="849">
        <v>0</v>
      </c>
      <c r="AV64" s="849">
        <v>0</v>
      </c>
      <c r="AW64" s="3156">
        <f t="shared" si="27"/>
        <v>0</v>
      </c>
      <c r="AX64" s="3140" t="s">
        <v>1728</v>
      </c>
    </row>
    <row r="65" spans="1:50" s="267" customFormat="1" ht="76.5">
      <c r="A65" s="1565" t="s">
        <v>5912</v>
      </c>
      <c r="B65" s="338" t="s">
        <v>9832</v>
      </c>
      <c r="C65" s="321">
        <v>0</v>
      </c>
      <c r="D65" s="323">
        <v>42908</v>
      </c>
      <c r="E65" s="3051" t="s">
        <v>6385</v>
      </c>
      <c r="F65" s="324" t="s">
        <v>4154</v>
      </c>
      <c r="G65" s="2621">
        <v>1.0111000000000001</v>
      </c>
      <c r="H65" s="332" t="s">
        <v>9833</v>
      </c>
      <c r="I65" s="339" t="s">
        <v>1433</v>
      </c>
      <c r="J65" s="322" t="s">
        <v>1434</v>
      </c>
      <c r="K65" s="2152" t="s">
        <v>9676</v>
      </c>
      <c r="L65" s="339" t="s">
        <v>4705</v>
      </c>
      <c r="M65" s="322" t="s">
        <v>4706</v>
      </c>
      <c r="N65" s="339" t="s">
        <v>4715</v>
      </c>
      <c r="O65" s="332" t="s">
        <v>6329</v>
      </c>
      <c r="P65" s="345" t="s">
        <v>4708</v>
      </c>
      <c r="Q65" s="322" t="s">
        <v>4707</v>
      </c>
      <c r="R65" s="322" t="s">
        <v>939</v>
      </c>
      <c r="S65" s="346"/>
      <c r="T65" s="347">
        <v>2638</v>
      </c>
      <c r="U65" s="326">
        <v>0</v>
      </c>
      <c r="V65" s="348">
        <f>T65-U65</f>
        <v>2638</v>
      </c>
      <c r="W65" s="347">
        <v>0</v>
      </c>
      <c r="X65" s="326">
        <v>0</v>
      </c>
      <c r="Y65" s="348">
        <f>W65-X65</f>
        <v>0</v>
      </c>
      <c r="Z65" s="347">
        <v>0</v>
      </c>
      <c r="AA65" s="326">
        <v>0</v>
      </c>
      <c r="AB65" s="348">
        <f>Z65-AA65</f>
        <v>0</v>
      </c>
      <c r="AC65" s="347"/>
      <c r="AD65" s="326"/>
      <c r="AE65" s="348"/>
      <c r="AF65" s="347"/>
      <c r="AG65" s="326"/>
      <c r="AH65" s="348"/>
      <c r="AI65" s="482">
        <f>T65+W65+Z65+AC65+AF65</f>
        <v>2638</v>
      </c>
      <c r="AJ65" s="326">
        <f>U65+X65+AA65+AD65+AG65</f>
        <v>0</v>
      </c>
      <c r="AK65" s="3917">
        <v>0</v>
      </c>
      <c r="AL65" s="349">
        <f t="shared" si="26"/>
        <v>2638</v>
      </c>
      <c r="AM65" s="2002"/>
      <c r="AN65" s="3357"/>
      <c r="AO65" s="695"/>
      <c r="AP65" s="2722"/>
      <c r="AQ65" s="2723"/>
      <c r="AR65" s="333">
        <v>0</v>
      </c>
      <c r="AS65" s="330">
        <v>0</v>
      </c>
      <c r="AT65" s="330">
        <v>0</v>
      </c>
      <c r="AU65" s="330">
        <v>0</v>
      </c>
      <c r="AV65" s="330">
        <v>0</v>
      </c>
      <c r="AW65" s="3156">
        <f t="shared" si="27"/>
        <v>0</v>
      </c>
      <c r="AX65" s="3140"/>
    </row>
    <row r="66" spans="1:50" s="267" customFormat="1" ht="89.25">
      <c r="A66" s="1564" t="s">
        <v>4276</v>
      </c>
      <c r="B66" s="338" t="s">
        <v>10933</v>
      </c>
      <c r="C66" s="321">
        <v>0</v>
      </c>
      <c r="D66" s="323">
        <v>44664</v>
      </c>
      <c r="E66" s="3058" t="s">
        <v>9156</v>
      </c>
      <c r="F66" s="830" t="s">
        <v>9005</v>
      </c>
      <c r="G66" s="5356">
        <v>1.0956269999999999</v>
      </c>
      <c r="H66" s="2273" t="s">
        <v>9837</v>
      </c>
      <c r="I66" s="339" t="s">
        <v>9839</v>
      </c>
      <c r="J66" s="2399" t="s">
        <v>4306</v>
      </c>
      <c r="K66" s="340">
        <v>45395</v>
      </c>
      <c r="L66" s="339" t="s">
        <v>9845</v>
      </c>
      <c r="M66" s="322" t="s">
        <v>9846</v>
      </c>
      <c r="N66" s="339" t="s">
        <v>9847</v>
      </c>
      <c r="O66" s="332" t="s">
        <v>9848</v>
      </c>
      <c r="P66" s="667" t="s">
        <v>9857</v>
      </c>
      <c r="Q66" s="322" t="s">
        <v>9047</v>
      </c>
      <c r="R66" s="322" t="s">
        <v>945</v>
      </c>
      <c r="S66" s="346"/>
      <c r="T66" s="347"/>
      <c r="U66" s="326"/>
      <c r="V66" s="348"/>
      <c r="W66" s="347"/>
      <c r="X66" s="326"/>
      <c r="Y66" s="348"/>
      <c r="Z66" s="347"/>
      <c r="AA66" s="326"/>
      <c r="AB66" s="348"/>
      <c r="AC66" s="820"/>
      <c r="AD66" s="821"/>
      <c r="AE66" s="822"/>
      <c r="AF66" s="820"/>
      <c r="AG66" s="821"/>
      <c r="AH66" s="822"/>
      <c r="AI66" s="482">
        <v>5567</v>
      </c>
      <c r="AJ66" s="326">
        <v>0</v>
      </c>
      <c r="AK66" s="3917">
        <v>0</v>
      </c>
      <c r="AL66" s="349">
        <f t="shared" si="26"/>
        <v>5567</v>
      </c>
      <c r="AM66" s="2002"/>
      <c r="AN66" s="3357"/>
      <c r="AO66" s="695"/>
      <c r="AP66" s="2722"/>
      <c r="AQ66" s="2723"/>
      <c r="AR66" s="333"/>
      <c r="AS66" s="330"/>
      <c r="AT66" s="330"/>
      <c r="AU66" s="849"/>
      <c r="AV66" s="849"/>
      <c r="AW66" s="3156">
        <f t="shared" si="27"/>
        <v>0</v>
      </c>
      <c r="AX66" s="3140"/>
    </row>
    <row r="67" spans="1:50" s="267" customFormat="1" ht="76.5">
      <c r="A67" s="1564" t="s">
        <v>4276</v>
      </c>
      <c r="B67" s="338" t="s">
        <v>10934</v>
      </c>
      <c r="C67" s="321">
        <v>0</v>
      </c>
      <c r="D67" s="323">
        <v>43410</v>
      </c>
      <c r="E67" s="3051" t="s">
        <v>6386</v>
      </c>
      <c r="F67" s="324" t="s">
        <v>5757</v>
      </c>
      <c r="G67" s="2621">
        <v>1.0247219999999999</v>
      </c>
      <c r="H67" s="2273" t="s">
        <v>10013</v>
      </c>
      <c r="I67" s="339" t="s">
        <v>6001</v>
      </c>
      <c r="J67" s="322" t="s">
        <v>4306</v>
      </c>
      <c r="K67" s="340">
        <v>44141</v>
      </c>
      <c r="L67" s="339" t="s">
        <v>313</v>
      </c>
      <c r="M67" s="322" t="s">
        <v>6002</v>
      </c>
      <c r="N67" s="339" t="s">
        <v>6003</v>
      </c>
      <c r="O67" s="332" t="s">
        <v>6290</v>
      </c>
      <c r="P67" s="667" t="s">
        <v>10935</v>
      </c>
      <c r="Q67" s="322" t="s">
        <v>5708</v>
      </c>
      <c r="R67" s="322" t="s">
        <v>4656</v>
      </c>
      <c r="S67" s="346"/>
      <c r="T67" s="347">
        <v>2444</v>
      </c>
      <c r="U67" s="326">
        <v>0</v>
      </c>
      <c r="V67" s="348">
        <f>T67-U67</f>
        <v>2444</v>
      </c>
      <c r="W67" s="347">
        <v>3056</v>
      </c>
      <c r="X67" s="326">
        <v>0</v>
      </c>
      <c r="Y67" s="348">
        <f>W67-X67</f>
        <v>3056</v>
      </c>
      <c r="Z67" s="347">
        <v>611</v>
      </c>
      <c r="AA67" s="326">
        <v>0</v>
      </c>
      <c r="AB67" s="348">
        <f>Z67-AA67</f>
        <v>611</v>
      </c>
      <c r="AC67" s="820"/>
      <c r="AD67" s="821"/>
      <c r="AE67" s="822"/>
      <c r="AF67" s="820"/>
      <c r="AG67" s="821"/>
      <c r="AH67" s="822"/>
      <c r="AI67" s="482">
        <f>T67+W67+Z67+AC67+AF67</f>
        <v>6111</v>
      </c>
      <c r="AJ67" s="326">
        <f>U67+X67+AA67+AD67+AG67</f>
        <v>0</v>
      </c>
      <c r="AK67" s="3917">
        <v>0</v>
      </c>
      <c r="AL67" s="349">
        <f t="shared" ref="AL67:AL72" si="28">AI67-AJ67-AK67</f>
        <v>6111</v>
      </c>
      <c r="AM67" s="2002"/>
      <c r="AN67" s="3357"/>
      <c r="AO67" s="695"/>
      <c r="AP67" s="2722"/>
      <c r="AQ67" s="2723"/>
      <c r="AR67" s="333">
        <v>0</v>
      </c>
      <c r="AS67" s="330">
        <v>0</v>
      </c>
      <c r="AT67" s="330">
        <v>0</v>
      </c>
      <c r="AU67" s="849">
        <v>0</v>
      </c>
      <c r="AV67" s="849">
        <v>0</v>
      </c>
      <c r="AW67" s="3156">
        <f t="shared" ref="AW67:AW72" si="29">ROUND(AL67*AQ67/G67,0)</f>
        <v>0</v>
      </c>
      <c r="AX67" s="3140"/>
    </row>
    <row r="68" spans="1:50" s="267" customFormat="1" ht="153">
      <c r="A68" s="1564" t="s">
        <v>4276</v>
      </c>
      <c r="B68" s="338" t="s">
        <v>10936</v>
      </c>
      <c r="C68" s="321">
        <v>0</v>
      </c>
      <c r="D68" s="323">
        <v>44756</v>
      </c>
      <c r="E68" s="3058" t="s">
        <v>9156</v>
      </c>
      <c r="F68" s="830" t="s">
        <v>10101</v>
      </c>
      <c r="G68" s="5356">
        <v>1.1100000000000001</v>
      </c>
      <c r="H68" s="2273" t="s">
        <v>10142</v>
      </c>
      <c r="I68" s="339" t="s">
        <v>10139</v>
      </c>
      <c r="J68" s="2399" t="s">
        <v>4306</v>
      </c>
      <c r="K68" s="340">
        <v>45423</v>
      </c>
      <c r="L68" s="339" t="s">
        <v>10143</v>
      </c>
      <c r="M68" s="322" t="s">
        <v>10144</v>
      </c>
      <c r="N68" s="339" t="s">
        <v>10154</v>
      </c>
      <c r="O68" s="332" t="s">
        <v>10155</v>
      </c>
      <c r="P68" s="667" t="s">
        <v>10157</v>
      </c>
      <c r="Q68" s="322" t="s">
        <v>10145</v>
      </c>
      <c r="R68" s="322" t="s">
        <v>10156</v>
      </c>
      <c r="S68" s="346"/>
      <c r="T68" s="347"/>
      <c r="U68" s="326"/>
      <c r="V68" s="348"/>
      <c r="W68" s="347"/>
      <c r="X68" s="326"/>
      <c r="Y68" s="348"/>
      <c r="Z68" s="347"/>
      <c r="AA68" s="326"/>
      <c r="AB68" s="348"/>
      <c r="AC68" s="347"/>
      <c r="AD68" s="326"/>
      <c r="AE68" s="348"/>
      <c r="AF68" s="347"/>
      <c r="AG68" s="326"/>
      <c r="AH68" s="348"/>
      <c r="AI68" s="482">
        <v>0</v>
      </c>
      <c r="AJ68" s="326">
        <v>0</v>
      </c>
      <c r="AK68" s="3917">
        <v>0</v>
      </c>
      <c r="AL68" s="349">
        <f t="shared" si="28"/>
        <v>0</v>
      </c>
      <c r="AM68" s="2002"/>
      <c r="AN68" s="3357"/>
      <c r="AO68" s="695"/>
      <c r="AP68" s="2722"/>
      <c r="AQ68" s="2723"/>
      <c r="AR68" s="333"/>
      <c r="AS68" s="330"/>
      <c r="AT68" s="330"/>
      <c r="AU68" s="330"/>
      <c r="AV68" s="330"/>
      <c r="AW68" s="3156">
        <f t="shared" si="29"/>
        <v>0</v>
      </c>
      <c r="AX68" s="3140"/>
    </row>
    <row r="69" spans="1:50" s="267" customFormat="1" ht="89.25">
      <c r="A69" s="1564" t="s">
        <v>4276</v>
      </c>
      <c r="B69" s="338" t="s">
        <v>10937</v>
      </c>
      <c r="C69" s="321">
        <v>0</v>
      </c>
      <c r="D69" s="323">
        <v>44790</v>
      </c>
      <c r="E69" s="3058" t="s">
        <v>9156</v>
      </c>
      <c r="F69" s="830" t="s">
        <v>10101</v>
      </c>
      <c r="G69" s="5356">
        <v>1.1100000000000001</v>
      </c>
      <c r="H69" s="2273" t="s">
        <v>10351</v>
      </c>
      <c r="I69" s="339" t="s">
        <v>9560</v>
      </c>
      <c r="J69" s="2399" t="s">
        <v>4306</v>
      </c>
      <c r="K69" s="340">
        <v>45521</v>
      </c>
      <c r="L69" s="339" t="s">
        <v>10234</v>
      </c>
      <c r="M69" s="322" t="s">
        <v>10235</v>
      </c>
      <c r="N69" s="339" t="s">
        <v>10236</v>
      </c>
      <c r="O69" s="322" t="s">
        <v>10235</v>
      </c>
      <c r="P69" s="667" t="s">
        <v>10368</v>
      </c>
      <c r="Q69" s="322" t="s">
        <v>9071</v>
      </c>
      <c r="R69" s="322" t="s">
        <v>536</v>
      </c>
      <c r="S69" s="346"/>
      <c r="T69" s="347"/>
      <c r="U69" s="326"/>
      <c r="V69" s="348"/>
      <c r="W69" s="347"/>
      <c r="X69" s="326"/>
      <c r="Y69" s="348"/>
      <c r="Z69" s="347"/>
      <c r="AA69" s="326"/>
      <c r="AB69" s="348"/>
      <c r="AC69" s="820"/>
      <c r="AD69" s="821"/>
      <c r="AE69" s="822"/>
      <c r="AF69" s="820"/>
      <c r="AG69" s="821"/>
      <c r="AH69" s="822"/>
      <c r="AI69" s="482">
        <v>6620</v>
      </c>
      <c r="AJ69" s="326">
        <v>0</v>
      </c>
      <c r="AK69" s="3917">
        <v>0</v>
      </c>
      <c r="AL69" s="349">
        <f t="shared" si="28"/>
        <v>6620</v>
      </c>
      <c r="AM69" s="2002"/>
      <c r="AN69" s="3357"/>
      <c r="AO69" s="695"/>
      <c r="AP69" s="2722"/>
      <c r="AQ69" s="2723"/>
      <c r="AR69" s="333"/>
      <c r="AS69" s="330"/>
      <c r="AT69" s="330"/>
      <c r="AU69" s="849"/>
      <c r="AV69" s="849"/>
      <c r="AW69" s="3156">
        <f t="shared" si="29"/>
        <v>0</v>
      </c>
      <c r="AX69" s="3140"/>
    </row>
    <row r="70" spans="1:50" s="267" customFormat="1" ht="102">
      <c r="A70" s="1564" t="s">
        <v>4276</v>
      </c>
      <c r="B70" s="338" t="s">
        <v>10575</v>
      </c>
      <c r="C70" s="695">
        <v>1</v>
      </c>
      <c r="D70" s="323" t="s">
        <v>6589</v>
      </c>
      <c r="E70" s="3054" t="s">
        <v>6386</v>
      </c>
      <c r="F70" s="1866" t="s">
        <v>5757</v>
      </c>
      <c r="G70" s="3207">
        <v>1.0247219999999999</v>
      </c>
      <c r="H70" s="332" t="s">
        <v>6590</v>
      </c>
      <c r="I70" s="339" t="s">
        <v>1433</v>
      </c>
      <c r="J70" s="322" t="s">
        <v>1434</v>
      </c>
      <c r="K70" s="340">
        <v>45378</v>
      </c>
      <c r="L70" s="339" t="s">
        <v>5188</v>
      </c>
      <c r="M70" s="322" t="s">
        <v>5189</v>
      </c>
      <c r="N70" s="339" t="s">
        <v>5190</v>
      </c>
      <c r="O70" s="332" t="s">
        <v>6315</v>
      </c>
      <c r="P70" s="345"/>
      <c r="Q70" s="322" t="s">
        <v>6591</v>
      </c>
      <c r="R70" s="322" t="s">
        <v>6592</v>
      </c>
      <c r="S70" s="346"/>
      <c r="T70" s="347">
        <v>0</v>
      </c>
      <c r="U70" s="326">
        <v>0</v>
      </c>
      <c r="V70" s="348">
        <f>T70-U70</f>
        <v>0</v>
      </c>
      <c r="W70" s="347">
        <v>0</v>
      </c>
      <c r="X70" s="326">
        <v>0</v>
      </c>
      <c r="Y70" s="348">
        <f>W70-X70</f>
        <v>0</v>
      </c>
      <c r="Z70" s="347">
        <v>14522</v>
      </c>
      <c r="AA70" s="326">
        <v>0</v>
      </c>
      <c r="AB70" s="348">
        <f>Z70-AA70</f>
        <v>14522</v>
      </c>
      <c r="AC70" s="820"/>
      <c r="AD70" s="821"/>
      <c r="AE70" s="822"/>
      <c r="AF70" s="820"/>
      <c r="AG70" s="821"/>
      <c r="AH70" s="822"/>
      <c r="AI70" s="482">
        <f>T70+W70+Z70+AC70+AF70</f>
        <v>14522</v>
      </c>
      <c r="AJ70" s="326">
        <f>U70+X70+AA70+AD70+AG70</f>
        <v>0</v>
      </c>
      <c r="AK70" s="3917">
        <v>0</v>
      </c>
      <c r="AL70" s="349">
        <f t="shared" si="28"/>
        <v>14522</v>
      </c>
      <c r="AM70" s="2002"/>
      <c r="AN70" s="3357"/>
      <c r="AO70" s="695"/>
      <c r="AP70" s="2722"/>
      <c r="AQ70" s="2723"/>
      <c r="AR70" s="333">
        <v>0</v>
      </c>
      <c r="AS70" s="330">
        <v>0</v>
      </c>
      <c r="AT70" s="330">
        <v>0</v>
      </c>
      <c r="AU70" s="849">
        <v>0</v>
      </c>
      <c r="AV70" s="849">
        <v>0</v>
      </c>
      <c r="AW70" s="3156">
        <f t="shared" si="29"/>
        <v>0</v>
      </c>
      <c r="AX70" s="3140"/>
    </row>
    <row r="71" spans="1:50" s="267" customFormat="1" ht="102">
      <c r="A71" s="1564" t="s">
        <v>4276</v>
      </c>
      <c r="B71" s="338" t="s">
        <v>10938</v>
      </c>
      <c r="C71" s="321">
        <v>0</v>
      </c>
      <c r="D71" s="323">
        <v>44636</v>
      </c>
      <c r="E71" s="3058" t="s">
        <v>9156</v>
      </c>
      <c r="F71" s="830" t="s">
        <v>9005</v>
      </c>
      <c r="G71" s="5356">
        <v>1.0956269999999999</v>
      </c>
      <c r="H71" s="2273" t="s">
        <v>9723</v>
      </c>
      <c r="I71" s="339" t="s">
        <v>9724</v>
      </c>
      <c r="J71" s="2399" t="s">
        <v>4306</v>
      </c>
      <c r="K71" s="340">
        <v>45367</v>
      </c>
      <c r="L71" s="339" t="s">
        <v>9725</v>
      </c>
      <c r="M71" s="322" t="s">
        <v>9726</v>
      </c>
      <c r="N71" s="339" t="s">
        <v>9727</v>
      </c>
      <c r="O71" s="332" t="s">
        <v>9728</v>
      </c>
      <c r="P71" s="345"/>
      <c r="Q71" s="322" t="s">
        <v>9047</v>
      </c>
      <c r="R71" s="322" t="s">
        <v>945</v>
      </c>
      <c r="S71" s="346"/>
      <c r="T71" s="347"/>
      <c r="U71" s="326"/>
      <c r="V71" s="348"/>
      <c r="W71" s="347"/>
      <c r="X71" s="326"/>
      <c r="Y71" s="348"/>
      <c r="Z71" s="347"/>
      <c r="AA71" s="326"/>
      <c r="AB71" s="348"/>
      <c r="AC71" s="820"/>
      <c r="AD71" s="821"/>
      <c r="AE71" s="822"/>
      <c r="AF71" s="820"/>
      <c r="AG71" s="821"/>
      <c r="AH71" s="822"/>
      <c r="AI71" s="482">
        <v>6534</v>
      </c>
      <c r="AJ71" s="326">
        <v>0</v>
      </c>
      <c r="AK71" s="3917">
        <v>0</v>
      </c>
      <c r="AL71" s="349">
        <f t="shared" si="28"/>
        <v>6534</v>
      </c>
      <c r="AM71" s="2002"/>
      <c r="AN71" s="3357"/>
      <c r="AO71" s="695"/>
      <c r="AP71" s="2722"/>
      <c r="AQ71" s="2723"/>
      <c r="AR71" s="333"/>
      <c r="AS71" s="330"/>
      <c r="AT71" s="330"/>
      <c r="AU71" s="330"/>
      <c r="AV71" s="330"/>
      <c r="AW71" s="3156">
        <f t="shared" si="29"/>
        <v>0</v>
      </c>
      <c r="AX71" s="3140"/>
    </row>
    <row r="72" spans="1:50" s="267" customFormat="1" ht="76.5">
      <c r="A72" s="1564" t="s">
        <v>4276</v>
      </c>
      <c r="B72" s="338" t="s">
        <v>10940</v>
      </c>
      <c r="C72" s="321">
        <v>0</v>
      </c>
      <c r="D72" s="323">
        <v>43913</v>
      </c>
      <c r="E72" s="3058" t="s">
        <v>7151</v>
      </c>
      <c r="F72" s="324" t="s">
        <v>6893</v>
      </c>
      <c r="G72" s="2621">
        <v>1.047839</v>
      </c>
      <c r="H72" s="2273" t="s">
        <v>8261</v>
      </c>
      <c r="I72" s="339" t="s">
        <v>7812</v>
      </c>
      <c r="J72" s="2399" t="s">
        <v>4306</v>
      </c>
      <c r="K72" s="340">
        <v>44643</v>
      </c>
      <c r="L72" s="339" t="s">
        <v>7719</v>
      </c>
      <c r="M72" s="322" t="s">
        <v>7720</v>
      </c>
      <c r="N72" s="339" t="s">
        <v>7721</v>
      </c>
      <c r="O72" s="332" t="s">
        <v>7722</v>
      </c>
      <c r="P72" s="345" t="s">
        <v>10939</v>
      </c>
      <c r="Q72" s="322" t="s">
        <v>10887</v>
      </c>
      <c r="R72" s="322" t="s">
        <v>10886</v>
      </c>
      <c r="S72" s="346"/>
      <c r="T72" s="347"/>
      <c r="U72" s="326"/>
      <c r="V72" s="348"/>
      <c r="W72" s="347"/>
      <c r="X72" s="326"/>
      <c r="Y72" s="348"/>
      <c r="Z72" s="347"/>
      <c r="AA72" s="326"/>
      <c r="AB72" s="348"/>
      <c r="AC72" s="820"/>
      <c r="AD72" s="821"/>
      <c r="AE72" s="822"/>
      <c r="AF72" s="820"/>
      <c r="AG72" s="821"/>
      <c r="AH72" s="822"/>
      <c r="AI72" s="482">
        <v>5624</v>
      </c>
      <c r="AJ72" s="326">
        <v>0</v>
      </c>
      <c r="AK72" s="3917">
        <v>0</v>
      </c>
      <c r="AL72" s="349">
        <f t="shared" si="28"/>
        <v>5624</v>
      </c>
      <c r="AM72" s="2002"/>
      <c r="AN72" s="3357"/>
      <c r="AO72" s="695"/>
      <c r="AP72" s="2722"/>
      <c r="AQ72" s="2723"/>
      <c r="AR72" s="333"/>
      <c r="AS72" s="330"/>
      <c r="AT72" s="330"/>
      <c r="AU72" s="330"/>
      <c r="AV72" s="330"/>
      <c r="AW72" s="3156">
        <f t="shared" si="29"/>
        <v>0</v>
      </c>
      <c r="AX72" s="3140"/>
    </row>
    <row r="73" spans="1:50" s="267" customFormat="1" ht="76.5">
      <c r="A73" s="1564" t="s">
        <v>4276</v>
      </c>
      <c r="B73" s="338" t="s">
        <v>10944</v>
      </c>
      <c r="C73" s="321">
        <v>0</v>
      </c>
      <c r="D73" s="323">
        <v>44624</v>
      </c>
      <c r="E73" s="3058" t="s">
        <v>9156</v>
      </c>
      <c r="F73" s="830" t="s">
        <v>9005</v>
      </c>
      <c r="G73" s="5356">
        <v>1.0956269999999999</v>
      </c>
      <c r="H73" s="332" t="s">
        <v>9687</v>
      </c>
      <c r="I73" s="339" t="s">
        <v>9560</v>
      </c>
      <c r="J73" s="2399" t="s">
        <v>4306</v>
      </c>
      <c r="K73" s="340">
        <v>46085</v>
      </c>
      <c r="L73" s="339" t="s">
        <v>9191</v>
      </c>
      <c r="M73" s="322" t="s">
        <v>8992</v>
      </c>
      <c r="N73" s="339" t="s">
        <v>9689</v>
      </c>
      <c r="O73" s="332" t="s">
        <v>9688</v>
      </c>
      <c r="P73" s="667" t="s">
        <v>10943</v>
      </c>
      <c r="Q73" s="322" t="s">
        <v>9071</v>
      </c>
      <c r="R73" s="322" t="s">
        <v>536</v>
      </c>
      <c r="S73" s="346"/>
      <c r="T73" s="347"/>
      <c r="U73" s="326"/>
      <c r="V73" s="348"/>
      <c r="W73" s="347"/>
      <c r="X73" s="326"/>
      <c r="Y73" s="348"/>
      <c r="Z73" s="347"/>
      <c r="AA73" s="326"/>
      <c r="AB73" s="348"/>
      <c r="AC73" s="820"/>
      <c r="AD73" s="821"/>
      <c r="AE73" s="822"/>
      <c r="AF73" s="820"/>
      <c r="AG73" s="821"/>
      <c r="AH73" s="822"/>
      <c r="AI73" s="482">
        <v>5567</v>
      </c>
      <c r="AJ73" s="326">
        <v>0</v>
      </c>
      <c r="AK73" s="3917">
        <v>0</v>
      </c>
      <c r="AL73" s="349">
        <f t="shared" ref="AL73:AL78" si="30">AI73-AJ73-AK73</f>
        <v>5567</v>
      </c>
      <c r="AM73" s="2002"/>
      <c r="AN73" s="3357"/>
      <c r="AO73" s="695"/>
      <c r="AP73" s="2722"/>
      <c r="AQ73" s="2723"/>
      <c r="AR73" s="333"/>
      <c r="AS73" s="330"/>
      <c r="AT73" s="330"/>
      <c r="AU73" s="849"/>
      <c r="AV73" s="849"/>
      <c r="AW73" s="3156">
        <f t="shared" ref="AW73:AW78" si="31">ROUND(AL73*AQ73/G73,0)</f>
        <v>0</v>
      </c>
      <c r="AX73" s="3140"/>
    </row>
    <row r="74" spans="1:50" s="267" customFormat="1" ht="89.25">
      <c r="A74" s="1564" t="s">
        <v>4276</v>
      </c>
      <c r="B74" s="338" t="s">
        <v>10942</v>
      </c>
      <c r="C74" s="321">
        <v>0</v>
      </c>
      <c r="D74" s="323">
        <v>44790</v>
      </c>
      <c r="E74" s="3058" t="s">
        <v>9156</v>
      </c>
      <c r="F74" s="830" t="s">
        <v>10101</v>
      </c>
      <c r="G74" s="5356">
        <v>1.1100000000000001</v>
      </c>
      <c r="H74" s="2273" t="s">
        <v>10352</v>
      </c>
      <c r="I74" s="339" t="s">
        <v>9560</v>
      </c>
      <c r="J74" s="2399" t="s">
        <v>4306</v>
      </c>
      <c r="K74" s="340">
        <v>45521</v>
      </c>
      <c r="L74" s="339" t="s">
        <v>10237</v>
      </c>
      <c r="M74" s="322" t="s">
        <v>10238</v>
      </c>
      <c r="N74" s="339" t="s">
        <v>10239</v>
      </c>
      <c r="O74" s="332" t="s">
        <v>10240</v>
      </c>
      <c r="P74" s="667" t="s">
        <v>10941</v>
      </c>
      <c r="Q74" s="322" t="s">
        <v>9071</v>
      </c>
      <c r="R74" s="322" t="s">
        <v>536</v>
      </c>
      <c r="S74" s="346"/>
      <c r="T74" s="347"/>
      <c r="U74" s="326"/>
      <c r="V74" s="348"/>
      <c r="W74" s="347"/>
      <c r="X74" s="326"/>
      <c r="Y74" s="348"/>
      <c r="Z74" s="347"/>
      <c r="AA74" s="326"/>
      <c r="AB74" s="348"/>
      <c r="AC74" s="820"/>
      <c r="AD74" s="821"/>
      <c r="AE74" s="822"/>
      <c r="AF74" s="820"/>
      <c r="AG74" s="821"/>
      <c r="AH74" s="822"/>
      <c r="AI74" s="482">
        <v>6620</v>
      </c>
      <c r="AJ74" s="326">
        <v>0</v>
      </c>
      <c r="AK74" s="3917">
        <v>0</v>
      </c>
      <c r="AL74" s="349">
        <f t="shared" si="30"/>
        <v>6620</v>
      </c>
      <c r="AM74" s="2002"/>
      <c r="AN74" s="3357"/>
      <c r="AO74" s="695"/>
      <c r="AP74" s="2722"/>
      <c r="AQ74" s="2723"/>
      <c r="AR74" s="333"/>
      <c r="AS74" s="330"/>
      <c r="AT74" s="330"/>
      <c r="AU74" s="849"/>
      <c r="AV74" s="849"/>
      <c r="AW74" s="3156">
        <f t="shared" si="31"/>
        <v>0</v>
      </c>
      <c r="AX74" s="3140"/>
    </row>
    <row r="75" spans="1:50" s="267" customFormat="1" ht="126" customHeight="1">
      <c r="A75" s="2418" t="s">
        <v>11004</v>
      </c>
      <c r="B75" s="338" t="s">
        <v>11364</v>
      </c>
      <c r="C75" s="321">
        <v>0</v>
      </c>
      <c r="D75" s="325" t="s">
        <v>7309</v>
      </c>
      <c r="E75" s="829" t="s">
        <v>7151</v>
      </c>
      <c r="F75" s="830" t="s">
        <v>6893</v>
      </c>
      <c r="G75" s="2620">
        <v>1.047839</v>
      </c>
      <c r="H75" s="332" t="s">
        <v>7310</v>
      </c>
      <c r="I75" s="339" t="s">
        <v>1433</v>
      </c>
      <c r="J75" s="322" t="s">
        <v>1434</v>
      </c>
      <c r="K75" s="340">
        <v>45965</v>
      </c>
      <c r="L75" s="339" t="s">
        <v>7311</v>
      </c>
      <c r="M75" s="322" t="s">
        <v>7312</v>
      </c>
      <c r="N75" s="339" t="s">
        <v>7313</v>
      </c>
      <c r="O75" s="332" t="s">
        <v>7314</v>
      </c>
      <c r="P75" s="345"/>
      <c r="Q75" s="322" t="s">
        <v>11704</v>
      </c>
      <c r="R75" s="322" t="s">
        <v>7315</v>
      </c>
      <c r="S75" s="346"/>
      <c r="T75" s="347"/>
      <c r="U75" s="326"/>
      <c r="V75" s="348"/>
      <c r="W75" s="347"/>
      <c r="X75" s="326"/>
      <c r="Y75" s="348"/>
      <c r="Z75" s="347"/>
      <c r="AA75" s="326"/>
      <c r="AB75" s="348"/>
      <c r="AC75" s="820"/>
      <c r="AD75" s="821"/>
      <c r="AE75" s="822"/>
      <c r="AF75" s="820"/>
      <c r="AG75" s="821"/>
      <c r="AH75" s="822"/>
      <c r="AI75" s="482">
        <v>62708</v>
      </c>
      <c r="AJ75" s="326">
        <v>0</v>
      </c>
      <c r="AK75" s="3917">
        <v>0</v>
      </c>
      <c r="AL75" s="349">
        <f t="shared" si="30"/>
        <v>62708</v>
      </c>
      <c r="AM75" s="2002"/>
      <c r="AN75" s="3357"/>
      <c r="AO75" s="695"/>
      <c r="AP75" s="2722"/>
      <c r="AQ75" s="2723"/>
      <c r="AR75" s="333"/>
      <c r="AS75" s="330"/>
      <c r="AT75" s="330"/>
      <c r="AU75" s="849"/>
      <c r="AV75" s="849"/>
      <c r="AW75" s="3156">
        <f t="shared" si="31"/>
        <v>0</v>
      </c>
      <c r="AX75" s="3140"/>
    </row>
    <row r="76" spans="1:50" s="267" customFormat="1" ht="89.25">
      <c r="A76" s="2418" t="s">
        <v>11030</v>
      </c>
      <c r="B76" s="338" t="s">
        <v>11705</v>
      </c>
      <c r="C76" s="321">
        <v>0</v>
      </c>
      <c r="D76" s="323">
        <v>44735</v>
      </c>
      <c r="E76" s="3058" t="s">
        <v>9156</v>
      </c>
      <c r="F76" s="830" t="s">
        <v>9005</v>
      </c>
      <c r="G76" s="5356">
        <v>1.0956269999999999</v>
      </c>
      <c r="H76" s="2273" t="s">
        <v>10069</v>
      </c>
      <c r="I76" s="339" t="s">
        <v>10070</v>
      </c>
      <c r="J76" s="2399" t="s">
        <v>4306</v>
      </c>
      <c r="K76" s="340">
        <v>45466</v>
      </c>
      <c r="L76" s="339" t="s">
        <v>10071</v>
      </c>
      <c r="M76" s="322" t="s">
        <v>9266</v>
      </c>
      <c r="N76" s="339" t="s">
        <v>10072</v>
      </c>
      <c r="O76" s="332" t="s">
        <v>10073</v>
      </c>
      <c r="P76" s="345" t="s">
        <v>10081</v>
      </c>
      <c r="Q76" s="6094" t="s">
        <v>9047</v>
      </c>
      <c r="R76" s="322" t="s">
        <v>10082</v>
      </c>
      <c r="S76" s="346"/>
      <c r="T76" s="347"/>
      <c r="U76" s="326"/>
      <c r="V76" s="348"/>
      <c r="W76" s="347"/>
      <c r="X76" s="326"/>
      <c r="Y76" s="348"/>
      <c r="Z76" s="347"/>
      <c r="AA76" s="326"/>
      <c r="AB76" s="348"/>
      <c r="AC76" s="820"/>
      <c r="AD76" s="821"/>
      <c r="AE76" s="822"/>
      <c r="AF76" s="820"/>
      <c r="AG76" s="821"/>
      <c r="AH76" s="822"/>
      <c r="AI76" s="482">
        <v>5567</v>
      </c>
      <c r="AJ76" s="326">
        <v>0</v>
      </c>
      <c r="AK76" s="3917">
        <v>0</v>
      </c>
      <c r="AL76" s="349">
        <f t="shared" si="30"/>
        <v>5567</v>
      </c>
      <c r="AM76" s="2002"/>
      <c r="AN76" s="3357"/>
      <c r="AO76" s="695"/>
      <c r="AP76" s="2722"/>
      <c r="AQ76" s="2723"/>
      <c r="AR76" s="333"/>
      <c r="AS76" s="330"/>
      <c r="AT76" s="330"/>
      <c r="AU76" s="849"/>
      <c r="AV76" s="849"/>
      <c r="AW76" s="3156">
        <f t="shared" si="31"/>
        <v>0</v>
      </c>
      <c r="AX76" s="3140"/>
    </row>
    <row r="77" spans="1:50" s="267" customFormat="1" ht="89.25">
      <c r="A77" s="2418" t="s">
        <v>4276</v>
      </c>
      <c r="B77" s="338" t="s">
        <v>11857</v>
      </c>
      <c r="C77" s="321">
        <v>0</v>
      </c>
      <c r="D77" s="323">
        <v>45239</v>
      </c>
      <c r="E77" s="3058" t="s">
        <v>10324</v>
      </c>
      <c r="F77" s="830" t="s">
        <v>11480</v>
      </c>
      <c r="G77" s="5356">
        <v>1.1576249999999999</v>
      </c>
      <c r="H77" s="2273" t="s">
        <v>11830</v>
      </c>
      <c r="I77" s="339" t="s">
        <v>11833</v>
      </c>
      <c r="J77" s="2399" t="s">
        <v>4306</v>
      </c>
      <c r="K77" s="340">
        <v>45954</v>
      </c>
      <c r="L77" s="339" t="s">
        <v>11836</v>
      </c>
      <c r="M77" s="322" t="s">
        <v>11837</v>
      </c>
      <c r="N77" s="339" t="s">
        <v>11838</v>
      </c>
      <c r="O77" s="322" t="s">
        <v>11837</v>
      </c>
      <c r="P77" s="667" t="s">
        <v>11858</v>
      </c>
      <c r="Q77" s="6094" t="s">
        <v>9071</v>
      </c>
      <c r="R77" s="322" t="s">
        <v>536</v>
      </c>
      <c r="S77" s="346"/>
      <c r="T77" s="347"/>
      <c r="U77" s="326"/>
      <c r="V77" s="348"/>
      <c r="W77" s="347"/>
      <c r="X77" s="326"/>
      <c r="Y77" s="348"/>
      <c r="Z77" s="347"/>
      <c r="AA77" s="326"/>
      <c r="AB77" s="348"/>
      <c r="AC77" s="820"/>
      <c r="AD77" s="821"/>
      <c r="AE77" s="822"/>
      <c r="AF77" s="820"/>
      <c r="AG77" s="821"/>
      <c r="AH77" s="822"/>
      <c r="AI77" s="482">
        <v>6903</v>
      </c>
      <c r="AJ77" s="326">
        <v>0</v>
      </c>
      <c r="AK77" s="3917">
        <v>0</v>
      </c>
      <c r="AL77" s="349">
        <f t="shared" si="30"/>
        <v>6903</v>
      </c>
      <c r="AM77" s="2002"/>
      <c r="AN77" s="3357"/>
      <c r="AO77" s="695"/>
      <c r="AP77" s="2722"/>
      <c r="AQ77" s="2723"/>
      <c r="AR77" s="333"/>
      <c r="AS77" s="330"/>
      <c r="AT77" s="330"/>
      <c r="AU77" s="849"/>
      <c r="AV77" s="849"/>
      <c r="AW77" s="3156">
        <f t="shared" si="31"/>
        <v>0</v>
      </c>
      <c r="AX77" s="3140"/>
    </row>
    <row r="78" spans="1:50" s="267" customFormat="1" ht="76.5">
      <c r="A78" s="6191" t="s">
        <v>10984</v>
      </c>
      <c r="B78" s="5796" t="s">
        <v>11982</v>
      </c>
      <c r="C78" s="5797">
        <v>0</v>
      </c>
      <c r="D78" s="5798">
        <v>45216</v>
      </c>
      <c r="E78" s="5799" t="s">
        <v>10324</v>
      </c>
      <c r="F78" s="5800" t="s">
        <v>11480</v>
      </c>
      <c r="G78" s="5801">
        <v>1.1576249999999999</v>
      </c>
      <c r="H78" s="5802" t="s">
        <v>11870</v>
      </c>
      <c r="I78" s="5803" t="s">
        <v>9560</v>
      </c>
      <c r="J78" s="6331" t="s">
        <v>4306</v>
      </c>
      <c r="K78" s="5805">
        <v>45978</v>
      </c>
      <c r="L78" s="5803" t="s">
        <v>473</v>
      </c>
      <c r="M78" s="5804" t="s">
        <v>2718</v>
      </c>
      <c r="N78" s="5803" t="s">
        <v>11872</v>
      </c>
      <c r="O78" s="5802" t="s">
        <v>11871</v>
      </c>
      <c r="P78" s="6348" t="s">
        <v>11983</v>
      </c>
      <c r="Q78" s="5804" t="s">
        <v>11879</v>
      </c>
      <c r="R78" s="5804" t="s">
        <v>11873</v>
      </c>
      <c r="S78" s="5807" t="s">
        <v>3476</v>
      </c>
      <c r="T78" s="5808"/>
      <c r="U78" s="5809"/>
      <c r="V78" s="5810"/>
      <c r="W78" s="5808"/>
      <c r="X78" s="5809"/>
      <c r="Y78" s="5810"/>
      <c r="Z78" s="5808"/>
      <c r="AA78" s="5809"/>
      <c r="AB78" s="5810"/>
      <c r="AC78" s="5808"/>
      <c r="AD78" s="5809"/>
      <c r="AE78" s="5810"/>
      <c r="AF78" s="5808"/>
      <c r="AG78" s="5809"/>
      <c r="AH78" s="5810"/>
      <c r="AI78" s="5811">
        <v>0</v>
      </c>
      <c r="AJ78" s="5809">
        <v>0</v>
      </c>
      <c r="AK78" s="5812">
        <v>0</v>
      </c>
      <c r="AL78" s="5813">
        <f t="shared" si="30"/>
        <v>0</v>
      </c>
      <c r="AM78" s="5814"/>
      <c r="AN78" s="5815"/>
      <c r="AO78" s="5816"/>
      <c r="AP78" s="6480"/>
      <c r="AQ78" s="6481"/>
      <c r="AR78" s="5819"/>
      <c r="AS78" s="5820"/>
      <c r="AT78" s="5820"/>
      <c r="AU78" s="5820"/>
      <c r="AV78" s="5820"/>
      <c r="AW78" s="5821">
        <f t="shared" si="31"/>
        <v>0</v>
      </c>
      <c r="AX78" s="3140"/>
    </row>
    <row r="79" spans="1:50" s="267" customFormat="1" ht="63.75">
      <c r="A79" s="2418" t="s">
        <v>11004</v>
      </c>
      <c r="B79" s="338" t="s">
        <v>12221</v>
      </c>
      <c r="C79" s="321">
        <v>0</v>
      </c>
      <c r="D79" s="323">
        <v>42752</v>
      </c>
      <c r="E79" s="3051" t="s">
        <v>6385</v>
      </c>
      <c r="F79" s="324" t="s">
        <v>4154</v>
      </c>
      <c r="G79" s="2621">
        <v>1.0111000000000001</v>
      </c>
      <c r="H79" s="332" t="s">
        <v>10840</v>
      </c>
      <c r="I79" s="339" t="s">
        <v>1433</v>
      </c>
      <c r="J79" s="322" t="s">
        <v>1434</v>
      </c>
      <c r="K79" s="340" t="s">
        <v>12222</v>
      </c>
      <c r="L79" s="339" t="s">
        <v>4281</v>
      </c>
      <c r="M79" s="322" t="s">
        <v>4282</v>
      </c>
      <c r="N79" s="339" t="s">
        <v>4283</v>
      </c>
      <c r="O79" s="332" t="s">
        <v>6220</v>
      </c>
      <c r="P79" s="345"/>
      <c r="Q79" s="322" t="s">
        <v>4285</v>
      </c>
      <c r="R79" s="322" t="s">
        <v>4284</v>
      </c>
      <c r="S79" s="346"/>
      <c r="T79" s="347">
        <v>1456</v>
      </c>
      <c r="U79" s="326">
        <v>0</v>
      </c>
      <c r="V79" s="348">
        <f>T79-U79</f>
        <v>1456</v>
      </c>
      <c r="W79" s="347">
        <v>1820</v>
      </c>
      <c r="X79" s="326">
        <v>0</v>
      </c>
      <c r="Y79" s="348">
        <f>W79-X79</f>
        <v>1820</v>
      </c>
      <c r="Z79" s="347">
        <v>364</v>
      </c>
      <c r="AA79" s="326">
        <v>0</v>
      </c>
      <c r="AB79" s="348">
        <f>Z79-AA79</f>
        <v>364</v>
      </c>
      <c r="AC79" s="347"/>
      <c r="AD79" s="326"/>
      <c r="AE79" s="348"/>
      <c r="AF79" s="347"/>
      <c r="AG79" s="326"/>
      <c r="AH79" s="348"/>
      <c r="AI79" s="482">
        <f>T79+W79+Z79+AC79+AF79</f>
        <v>3640</v>
      </c>
      <c r="AJ79" s="326">
        <f>U79+X79+AA79+AD79+AG79</f>
        <v>0</v>
      </c>
      <c r="AK79" s="3917">
        <v>0</v>
      </c>
      <c r="AL79" s="349">
        <f>AI79-AJ79-AK79</f>
        <v>3640</v>
      </c>
      <c r="AM79" s="2002"/>
      <c r="AN79" s="3357"/>
      <c r="AO79" s="695"/>
      <c r="AP79" s="2722"/>
      <c r="AQ79" s="2723"/>
      <c r="AR79" s="333">
        <v>0</v>
      </c>
      <c r="AS79" s="330">
        <v>0</v>
      </c>
      <c r="AT79" s="330">
        <v>0</v>
      </c>
      <c r="AU79" s="330">
        <v>0</v>
      </c>
      <c r="AV79" s="330">
        <v>0</v>
      </c>
      <c r="AW79" s="3156">
        <f>ROUND(AL79*AQ79/G79,0)</f>
        <v>0</v>
      </c>
      <c r="AX79" s="3140"/>
    </row>
    <row r="80" spans="1:50" s="267" customFormat="1" ht="89.25">
      <c r="A80" s="2418" t="s">
        <v>11006</v>
      </c>
      <c r="B80" s="338" t="s">
        <v>12496</v>
      </c>
      <c r="C80" s="321">
        <v>0</v>
      </c>
      <c r="D80" s="323">
        <v>44644</v>
      </c>
      <c r="E80" s="3058" t="s">
        <v>9156</v>
      </c>
      <c r="F80" s="830" t="s">
        <v>9005</v>
      </c>
      <c r="G80" s="5356">
        <v>1.0956269999999999</v>
      </c>
      <c r="H80" s="332" t="s">
        <v>9762</v>
      </c>
      <c r="I80" s="339" t="s">
        <v>9758</v>
      </c>
      <c r="J80" s="2399" t="s">
        <v>4306</v>
      </c>
      <c r="K80" s="340">
        <v>45375</v>
      </c>
      <c r="L80" s="339" t="s">
        <v>9759</v>
      </c>
      <c r="M80" s="322" t="s">
        <v>9760</v>
      </c>
      <c r="N80" s="339" t="s">
        <v>6495</v>
      </c>
      <c r="O80" s="332" t="s">
        <v>6496</v>
      </c>
      <c r="P80" s="667" t="s">
        <v>12497</v>
      </c>
      <c r="Q80" s="6094" t="s">
        <v>9047</v>
      </c>
      <c r="R80" s="322" t="s">
        <v>945</v>
      </c>
      <c r="S80" s="346"/>
      <c r="T80" s="347"/>
      <c r="U80" s="326"/>
      <c r="V80" s="348"/>
      <c r="W80" s="347"/>
      <c r="X80" s="326"/>
      <c r="Y80" s="348"/>
      <c r="Z80" s="347"/>
      <c r="AA80" s="326"/>
      <c r="AB80" s="348"/>
      <c r="AC80" s="347"/>
      <c r="AD80" s="326"/>
      <c r="AE80" s="348"/>
      <c r="AF80" s="347"/>
      <c r="AG80" s="326"/>
      <c r="AH80" s="348"/>
      <c r="AI80" s="482">
        <v>6534</v>
      </c>
      <c r="AJ80" s="326">
        <v>0</v>
      </c>
      <c r="AK80" s="3917">
        <v>0</v>
      </c>
      <c r="AL80" s="349">
        <f>AI80-AJ80-AK80</f>
        <v>6534</v>
      </c>
      <c r="AM80" s="2002"/>
      <c r="AN80" s="3357"/>
      <c r="AO80" s="695"/>
      <c r="AP80" s="3362"/>
      <c r="AQ80" s="3555"/>
      <c r="AR80" s="333"/>
      <c r="AS80" s="330"/>
      <c r="AT80" s="330"/>
      <c r="AU80" s="330"/>
      <c r="AV80" s="330"/>
      <c r="AW80" s="3156">
        <f>ROUND(AL80*AQ80/G80,0)</f>
        <v>0</v>
      </c>
      <c r="AX80" s="3140"/>
    </row>
    <row r="81" spans="1:50" s="267" customFormat="1" ht="63.75">
      <c r="A81" s="2418" t="s">
        <v>11004</v>
      </c>
      <c r="B81" s="338" t="s">
        <v>12516</v>
      </c>
      <c r="C81" s="321">
        <v>0</v>
      </c>
      <c r="D81" s="323">
        <v>43355</v>
      </c>
      <c r="E81" s="3051" t="s">
        <v>6385</v>
      </c>
      <c r="F81" s="324" t="s">
        <v>5757</v>
      </c>
      <c r="G81" s="2621">
        <v>1.0247219999999999</v>
      </c>
      <c r="H81" s="332" t="s">
        <v>5880</v>
      </c>
      <c r="I81" s="339" t="s">
        <v>1433</v>
      </c>
      <c r="J81" s="322" t="s">
        <v>1434</v>
      </c>
      <c r="K81" s="340">
        <v>45547</v>
      </c>
      <c r="L81" s="339" t="s">
        <v>5881</v>
      </c>
      <c r="M81" s="322" t="s">
        <v>1957</v>
      </c>
      <c r="N81" s="339" t="s">
        <v>5882</v>
      </c>
      <c r="O81" s="332" t="s">
        <v>6294</v>
      </c>
      <c r="P81" s="667" t="s">
        <v>12517</v>
      </c>
      <c r="Q81" s="322" t="s">
        <v>5883</v>
      </c>
      <c r="R81" s="322" t="s">
        <v>5350</v>
      </c>
      <c r="S81" s="346"/>
      <c r="T81" s="347">
        <v>27545</v>
      </c>
      <c r="U81" s="326">
        <v>0</v>
      </c>
      <c r="V81" s="348">
        <f>T81-U81</f>
        <v>27545</v>
      </c>
      <c r="W81" s="347">
        <v>34431</v>
      </c>
      <c r="X81" s="326">
        <v>0</v>
      </c>
      <c r="Y81" s="348">
        <f>W81-X81</f>
        <v>34431</v>
      </c>
      <c r="Z81" s="347">
        <v>6885</v>
      </c>
      <c r="AA81" s="326">
        <v>0</v>
      </c>
      <c r="AB81" s="348">
        <f>Z81-AA81</f>
        <v>6885</v>
      </c>
      <c r="AC81" s="820"/>
      <c r="AD81" s="821"/>
      <c r="AE81" s="822"/>
      <c r="AF81" s="820"/>
      <c r="AG81" s="821"/>
      <c r="AH81" s="822"/>
      <c r="AI81" s="482">
        <f>T81+W81+Z81+AC81+AF81</f>
        <v>68861</v>
      </c>
      <c r="AJ81" s="326">
        <f>U81+X81+AA81+AD81+AG81</f>
        <v>0</v>
      </c>
      <c r="AK81" s="3917">
        <v>0</v>
      </c>
      <c r="AL81" s="349">
        <f>AI81-AJ81-AK81</f>
        <v>68861</v>
      </c>
      <c r="AM81" s="2002"/>
      <c r="AN81" s="3357"/>
      <c r="AO81" s="695"/>
      <c r="AP81" s="2722"/>
      <c r="AQ81" s="2723"/>
      <c r="AR81" s="333">
        <v>0</v>
      </c>
      <c r="AS81" s="330">
        <v>0</v>
      </c>
      <c r="AT81" s="330">
        <v>0</v>
      </c>
      <c r="AU81" s="849">
        <v>0</v>
      </c>
      <c r="AV81" s="849">
        <v>0</v>
      </c>
      <c r="AW81" s="3156">
        <f>ROUND(AL81*AQ81/G81,0)</f>
        <v>0</v>
      </c>
      <c r="AX81" s="3140"/>
    </row>
    <row r="82" spans="1:50" s="267" customFormat="1" ht="89.25">
      <c r="A82" s="2418" t="s">
        <v>10984</v>
      </c>
      <c r="B82" s="338" t="s">
        <v>12535</v>
      </c>
      <c r="C82" s="321">
        <v>0</v>
      </c>
      <c r="D82" s="323">
        <v>45393</v>
      </c>
      <c r="E82" s="3058" t="s">
        <v>10324</v>
      </c>
      <c r="F82" s="830" t="s">
        <v>11480</v>
      </c>
      <c r="G82" s="5356">
        <v>1.1576249999999999</v>
      </c>
      <c r="H82" s="2273" t="s">
        <v>12249</v>
      </c>
      <c r="I82" s="339" t="s">
        <v>12250</v>
      </c>
      <c r="J82" s="2399" t="s">
        <v>4306</v>
      </c>
      <c r="K82" s="340">
        <v>46076</v>
      </c>
      <c r="L82" s="339" t="s">
        <v>12251</v>
      </c>
      <c r="M82" s="322" t="s">
        <v>12252</v>
      </c>
      <c r="N82" s="339" t="s">
        <v>12253</v>
      </c>
      <c r="O82" s="332" t="s">
        <v>12254</v>
      </c>
      <c r="P82" s="667" t="s">
        <v>12536</v>
      </c>
      <c r="Q82" s="6094" t="s">
        <v>9071</v>
      </c>
      <c r="R82" s="322" t="s">
        <v>536</v>
      </c>
      <c r="S82" s="346"/>
      <c r="T82" s="347"/>
      <c r="U82" s="326"/>
      <c r="V82" s="348"/>
      <c r="W82" s="347"/>
      <c r="X82" s="326"/>
      <c r="Y82" s="348"/>
      <c r="Z82" s="347"/>
      <c r="AA82" s="326"/>
      <c r="AB82" s="348"/>
      <c r="AC82" s="820"/>
      <c r="AD82" s="821"/>
      <c r="AE82" s="822"/>
      <c r="AF82" s="820"/>
      <c r="AG82" s="821"/>
      <c r="AH82" s="822"/>
      <c r="AI82" s="482">
        <v>6903</v>
      </c>
      <c r="AJ82" s="326">
        <v>0</v>
      </c>
      <c r="AK82" s="3917">
        <v>0</v>
      </c>
      <c r="AL82" s="349">
        <f>AI82-AJ82-AK82</f>
        <v>6903</v>
      </c>
      <c r="AM82" s="2002"/>
      <c r="AN82" s="3357"/>
      <c r="AO82" s="695"/>
      <c r="AP82" s="3362"/>
      <c r="AQ82" s="3555"/>
      <c r="AR82" s="333"/>
      <c r="AS82" s="330"/>
      <c r="AT82" s="330"/>
      <c r="AU82" s="849"/>
      <c r="AV82" s="849"/>
      <c r="AW82" s="3156">
        <f>ROUND(AL82*AQ82/G82,0)</f>
        <v>0</v>
      </c>
      <c r="AX82" s="3140"/>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EXPLANATORY</vt:lpstr>
      <vt:lpstr>1) PSP+ICP (Issued)</vt:lpstr>
      <vt:lpstr>2) AICN (Issued)</vt:lpstr>
      <vt:lpstr>3) PSP+ICP (Paid-NSA-2014+)</vt:lpstr>
      <vt:lpstr>4) AICN (Paid-NSA-2014+)</vt:lpstr>
      <vt:lpstr>5a) PSP+ICP (Lapsed-Cancelled)</vt:lpstr>
      <vt:lpstr>5b) AICN (Lapsed-Cancelled)</vt:lpstr>
      <vt:lpstr>'3) PSP+ICP (Paid-NSA-2014+)'!Print_Titles</vt:lpstr>
      <vt:lpstr>'5a) PSP+ICP (Lapsed-Cancelled)'!Print_Titles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Oddbjorn Ludvigsen</dc:creator>
  <cp:lastModifiedBy>Oddbjorn Ludvigsen</cp:lastModifiedBy>
  <cp:lastPrinted>2019-09-03T00:13:47Z</cp:lastPrinted>
  <dcterms:created xsi:type="dcterms:W3CDTF">2010-07-15T02:31:41Z</dcterms:created>
  <dcterms:modified xsi:type="dcterms:W3CDTF">2024-06-30T23:36:11Z</dcterms:modified>
</cp:coreProperties>
</file>